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comments4.xml" ContentType="application/vnd.openxmlformats-officedocument.spreadsheetml.comments+xml"/>
  <Override PartName="/xl/drawings/drawing13.xml" ContentType="application/vnd.openxmlformats-officedocument.drawing+xml"/>
  <Override PartName="/xl/comments5.xml" ContentType="application/vnd.openxmlformats-officedocument.spreadsheetml.comment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comments8.xml" ContentType="application/vnd.openxmlformats-officedocument.spreadsheetml.comments+xml"/>
  <Override PartName="/xl/drawings/drawing17.xml" ContentType="application/vnd.openxmlformats-officedocument.drawing+xml"/>
  <Override PartName="/xl/comments9.xml" ContentType="application/vnd.openxmlformats-officedocument.spreadsheetml.comments+xml"/>
  <Override PartName="/xl/drawings/drawing18.xml" ContentType="application/vnd.openxmlformats-officedocument.drawing+xml"/>
  <Override PartName="/xl/comments10.xml" ContentType="application/vnd.openxmlformats-officedocument.spreadsheetml.comments+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comments17.xml" ContentType="application/vnd.openxmlformats-officedocument.spreadsheetml.comments+xml"/>
  <Override PartName="/xl/drawings/drawing26.xml" ContentType="application/vnd.openxmlformats-officedocument.drawing+xml"/>
  <Override PartName="/xl/comments18.xml" ContentType="application/vnd.openxmlformats-officedocument.spreadsheetml.comments+xml"/>
  <Override PartName="/xl/drawings/drawing27.xml" ContentType="application/vnd.openxmlformats-officedocument.drawing+xml"/>
  <Override PartName="/xl/comments19.xml" ContentType="application/vnd.openxmlformats-officedocument.spreadsheetml.comments+xml"/>
  <Override PartName="/xl/drawings/drawing28.xml" ContentType="application/vnd.openxmlformats-officedocument.drawing+xml"/>
  <Override PartName="/xl/comments20.xml" ContentType="application/vnd.openxmlformats-officedocument.spreadsheetml.comments+xml"/>
  <Override PartName="/xl/drawings/drawing29.xml" ContentType="application/vnd.openxmlformats-officedocument.drawing+xml"/>
  <Override PartName="/xl/comments21.xml" ContentType="application/vnd.openxmlformats-officedocument.spreadsheetml.comments+xml"/>
  <Override PartName="/xl/drawings/drawing30.xml" ContentType="application/vnd.openxmlformats-officedocument.drawing+xml"/>
  <Override PartName="/xl/comments22.xml" ContentType="application/vnd.openxmlformats-officedocument.spreadsheetml.comments+xml"/>
  <Override PartName="/xl/drawings/drawing31.xml" ContentType="application/vnd.openxmlformats-officedocument.drawing+xml"/>
  <Override PartName="/xl/comments23.xml" ContentType="application/vnd.openxmlformats-officedocument.spreadsheetml.comments+xml"/>
  <Override PartName="/xl/drawings/drawing32.xml" ContentType="application/vnd.openxmlformats-officedocument.drawing+xml"/>
  <Override PartName="/xl/comments24.xml" ContentType="application/vnd.openxmlformats-officedocument.spreadsheetml.comments+xml"/>
  <Override PartName="/xl/drawings/drawing33.xml" ContentType="application/vnd.openxmlformats-officedocument.drawing+xml"/>
  <Override PartName="/xl/comments25.xml" ContentType="application/vnd.openxmlformats-officedocument.spreadsheetml.comments+xml"/>
  <Override PartName="/xl/drawings/drawing34.xml" ContentType="application/vnd.openxmlformats-officedocument.drawing+xml"/>
  <Override PartName="/xl/comments26.xml" ContentType="application/vnd.openxmlformats-officedocument.spreadsheetml.comments+xml"/>
  <Override PartName="/xl/drawings/drawing35.xml" ContentType="application/vnd.openxmlformats-officedocument.drawing+xml"/>
  <Override PartName="/xl/comments27.xml" ContentType="application/vnd.openxmlformats-officedocument.spreadsheetml.comments+xml"/>
  <Override PartName="/xl/drawings/drawing36.xml" ContentType="application/vnd.openxmlformats-officedocument.drawing+xml"/>
  <Override PartName="/xl/comments28.xml" ContentType="application/vnd.openxmlformats-officedocument.spreadsheetml.comments+xml"/>
  <Override PartName="/xl/drawings/drawing37.xml" ContentType="application/vnd.openxmlformats-officedocument.drawing+xml"/>
  <Override PartName="/xl/comments29.xml" ContentType="application/vnd.openxmlformats-officedocument.spreadsheetml.comments+xml"/>
  <Override PartName="/xl/drawings/drawing38.xml" ContentType="application/vnd.openxmlformats-officedocument.drawing+xml"/>
  <Override PartName="/xl/comments30.xml" ContentType="application/vnd.openxmlformats-officedocument.spreadsheetml.comments+xml"/>
  <Override PartName="/xl/drawings/drawing39.xml" ContentType="application/vnd.openxmlformats-officedocument.drawing+xml"/>
  <Override PartName="/xl/comments31.xml" ContentType="application/vnd.openxmlformats-officedocument.spreadsheetml.comments+xml"/>
  <Override PartName="/xl/drawings/drawing40.xml" ContentType="application/vnd.openxmlformats-officedocument.drawing+xml"/>
  <Override PartName="/xl/comments32.xml" ContentType="application/vnd.openxmlformats-officedocument.spreadsheetml.comments+xml"/>
  <Override PartName="/xl/drawings/drawing41.xml" ContentType="application/vnd.openxmlformats-officedocument.drawing+xml"/>
  <Override PartName="/xl/comments33.xml" ContentType="application/vnd.openxmlformats-officedocument.spreadsheetml.comments+xml"/>
  <Override PartName="/xl/drawings/drawing42.xml" ContentType="application/vnd.openxmlformats-officedocument.drawing+xml"/>
  <Override PartName="/xl/comments34.xml" ContentType="application/vnd.openxmlformats-officedocument.spreadsheetml.comments+xml"/>
  <Override PartName="/xl/drawings/drawing43.xml" ContentType="application/vnd.openxmlformats-officedocument.drawing+xml"/>
  <Override PartName="/xl/comments35.xml" ContentType="application/vnd.openxmlformats-officedocument.spreadsheetml.comments+xml"/>
  <Override PartName="/xl/drawings/drawing44.xml" ContentType="application/vnd.openxmlformats-officedocument.drawing+xml"/>
  <Override PartName="/xl/comments36.xml" ContentType="application/vnd.openxmlformats-officedocument.spreadsheetml.comments+xml"/>
  <Override PartName="/xl/drawings/drawing45.xml" ContentType="application/vnd.openxmlformats-officedocument.drawing+xml"/>
  <Override PartName="/xl/comments37.xml" ContentType="application/vnd.openxmlformats-officedocument.spreadsheetml.comments+xml"/>
  <Override PartName="/xl/drawings/drawing46.xml" ContentType="application/vnd.openxmlformats-officedocument.drawing+xml"/>
  <Override PartName="/xl/comments38.xml" ContentType="application/vnd.openxmlformats-officedocument.spreadsheetml.comments+xml"/>
  <Override PartName="/xl/drawings/drawing47.xml" ContentType="application/vnd.openxmlformats-officedocument.drawing+xml"/>
  <Override PartName="/xl/comments3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codeName="ThisWorkbook"/>
  <mc:AlternateContent xmlns:mc="http://schemas.openxmlformats.org/markup-compatibility/2006">
    <mc:Choice Requires="x15">
      <x15ac:absPath xmlns:x15ac="http://schemas.microsoft.com/office/spreadsheetml/2010/11/ac" url="https://beisgov.sharepoint.com/sites/NZHF/Shared Documents/07. Standards and Certification/02. Standard/01 Publications/01 Standard documents, annexes &amp; data annexes/LCHS V4/04_V4 Drafting/LCHS V4 - Hydrogen Emission Calculators/"/>
    </mc:Choice>
  </mc:AlternateContent>
  <xr:revisionPtr revIDLastSave="9019" documentId="8_{44E7BF51-66BB-4D46-82D6-D18CA10B05E6}" xr6:coauthVersionLast="47" xr6:coauthVersionMax="47" xr10:uidLastSave="{A1DF587B-D8D6-43BF-B53B-1D3160E8F88A}"/>
  <bookViews>
    <workbookView xWindow="28680" yWindow="-1245" windowWidth="29040" windowHeight="15720" tabRatio="875" firstSheet="11" activeTab="11" xr2:uid="{A6ADB12D-7303-4915-BB9D-0152DA4C8FA8}"/>
  </bookViews>
  <sheets>
    <sheet name="Title" sheetId="131" r:id="rId1"/>
    <sheet name="Navigation" sheetId="119" r:id="rId2"/>
    <sheet name="Guidance Initial_questions" sheetId="14" r:id="rId3"/>
    <sheet name="Guidance Processing" sheetId="127" r:id="rId4"/>
    <sheet name="Guidance Feedstock dLUC" sheetId="126" r:id="rId5"/>
    <sheet name="Guidance Summary GHG" sheetId="125" r:id="rId6"/>
    <sheet name="Initial_questions" sheetId="37" r:id="rId7"/>
    <sheet name="System_Boundary" sheetId="8" r:id="rId8"/>
    <sheet name="Dashboard" sheetId="128" r:id="rId9"/>
    <sheet name="Units" sheetId="7" r:id="rId10"/>
    <sheet name="Default data" sheetId="71" r:id="rId11"/>
    <sheet name="Typical data" sheetId="150" r:id="rId12"/>
    <sheet name="Non Typical data" sheetId="25" r:id="rId13"/>
    <sheet name="GHG_ELECTROLYSIS" sheetId="66" r:id="rId14"/>
    <sheet name="GHG_NG_REFORM_CCS" sheetId="69" r:id="rId15"/>
    <sheet name="GHG_ROG_REFORM_CCS" sheetId="141" r:id="rId16"/>
    <sheet name="GHG_NG_SPLITTING" sheetId="133" r:id="rId17"/>
    <sheet name="GHG_BIOMETHANE_REFORM" sheetId="70" r:id="rId18"/>
    <sheet name="GHG_BIOMASS_GASIFICATION" sheetId="39" r:id="rId19"/>
    <sheet name="GHG_WASTE_GASIFICATION" sheetId="68" r:id="rId20"/>
    <sheet name="GHG_GENERIC_OTHER" sheetId="115" r:id="rId21"/>
    <sheet name="Electrolysis" sheetId="107" r:id="rId22"/>
    <sheet name="NG_Collection" sheetId="15" r:id="rId23"/>
    <sheet name="NG_Transport" sheetId="89" r:id="rId24"/>
    <sheet name="NG_Processing" sheetId="90" r:id="rId25"/>
    <sheet name="NG_Further_Transport" sheetId="91" r:id="rId26"/>
    <sheet name="NG_Reforming_CCS" sheetId="4" r:id="rId27"/>
    <sheet name="NG_Splitting_SolidCarbon" sheetId="132" r:id="rId28"/>
    <sheet name="ROG_Counterfactual" sheetId="148" r:id="rId29"/>
    <sheet name="Crude_Collection" sheetId="151" r:id="rId30"/>
    <sheet name="Crude_Transport" sheetId="152" r:id="rId31"/>
    <sheet name="Crude_Refine" sheetId="153" r:id="rId32"/>
    <sheet name="ROG_Processing" sheetId="144" r:id="rId33"/>
    <sheet name="ROG_Transport" sheetId="143" r:id="rId34"/>
    <sheet name="ROG_Reforming_CCS" sheetId="145" r:id="rId35"/>
    <sheet name="Biogas_Feedstock_Cultivation" sheetId="117" r:id="rId36"/>
    <sheet name="Biogas_Feedstock_Harvesting" sheetId="121" r:id="rId37"/>
    <sheet name="Biogas_Feedstock_Collection" sheetId="92" r:id="rId38"/>
    <sheet name="Biogas_Feedstock_Transport" sheetId="93" r:id="rId39"/>
    <sheet name="Biogas+Biomethane_Upgrading" sheetId="94" r:id="rId40"/>
    <sheet name="Biomethane_Transport" sheetId="95" r:id="rId41"/>
    <sheet name="Biomethane_Reforming_CCS" sheetId="85" r:id="rId42"/>
    <sheet name="Biomass_Cultivation" sheetId="118" r:id="rId43"/>
    <sheet name="Biomass_Harvesting" sheetId="122" r:id="rId44"/>
    <sheet name="Biomass_Collection" sheetId="96" r:id="rId45"/>
    <sheet name="Biomass_Transport" sheetId="97" r:id="rId46"/>
    <sheet name="Biomass_Pre-Processing" sheetId="99" r:id="rId47"/>
    <sheet name="Biomass_Further_Transport" sheetId="100" r:id="rId48"/>
    <sheet name="Biomass_Gasification_CCS" sheetId="86" r:id="rId49"/>
    <sheet name="Waste_Fossil_Counterfactual" sheetId="140" r:id="rId50"/>
    <sheet name="Waste_Collection" sheetId="101" r:id="rId51"/>
    <sheet name="Waste_Transport" sheetId="102" r:id="rId52"/>
    <sheet name="Waste_Pre-Processing" sheetId="103" r:id="rId53"/>
    <sheet name="Waste_Further_Transport" sheetId="104" r:id="rId54"/>
    <sheet name="Waste_Gasification_CCS" sheetId="87" r:id="rId55"/>
    <sheet name="Generic_Fossil_Counterfactual" sheetId="149" r:id="rId56"/>
    <sheet name="Generic_Feedstock_Cultivation" sheetId="120" r:id="rId57"/>
    <sheet name="Generic_Feedstock_Harvesting" sheetId="123" r:id="rId58"/>
    <sheet name="Generic_Feedstock_Collection" sheetId="110" r:id="rId59"/>
    <sheet name="Generic_Feedstock_Transport" sheetId="111" r:id="rId60"/>
    <sheet name="Generic_Pre-Processing" sheetId="112" r:id="rId61"/>
    <sheet name="Generic_Further_Transport" sheetId="116" r:id="rId62"/>
    <sheet name="Generic_Conversion" sheetId="114" r:id="rId63"/>
  </sheets>
  <definedNames>
    <definedName name="__1234Graph_A" localSheetId="49" hidden="1">#REF!</definedName>
    <definedName name="__1234Graph_A" hidden="1">#REF!</definedName>
    <definedName name="__123Graph_A" localSheetId="49" hidden="1">#REF!</definedName>
    <definedName name="__123Graph_A" hidden="1">#REF!</definedName>
    <definedName name="__123Graph_B" localSheetId="49" hidden="1">#REF!</definedName>
    <definedName name="__123Graph_B" hidden="1">#REF!</definedName>
    <definedName name="__123Graph_C" localSheetId="49" hidden="1">#REF!</definedName>
    <definedName name="__123Graph_C" hidden="1">#REF!</definedName>
    <definedName name="__123Graph_D" localSheetId="49" hidden="1">#REF!</definedName>
    <definedName name="__123Graph_D" hidden="1">#REF!</definedName>
    <definedName name="__123Graph_E" localSheetId="49" hidden="1">#REF!</definedName>
    <definedName name="__123Graph_E" hidden="1">#REF!</definedName>
    <definedName name="__123Graph_F" localSheetId="49" hidden="1">#REF!</definedName>
    <definedName name="__123Graph_F" hidden="1">#REF!</definedName>
    <definedName name="__123Graph_X" localSheetId="49" hidden="1">#REF!</definedName>
    <definedName name="__123Graph_X" hidden="1">#REF!</definedName>
    <definedName name="_1234Graph_A_v2" hidden="1">#REF!</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Order1" hidden="1">255</definedName>
    <definedName name="_Order2" hidden="1">255</definedName>
    <definedName name="_Table1_In1" hidden="1">#REF!</definedName>
    <definedName name="_Table1_Out" localSheetId="49" hidden="1">#REF!</definedName>
    <definedName name="_Table1_Out" hidden="1">#REF!</definedName>
    <definedName name="aadsds"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adsds"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llData">Units!$B$113:$B$116</definedName>
    <definedName name="anscount" hidden="1">1</definedName>
    <definedName name="bbl_to_USgal">Units!$C$25</definedName>
    <definedName name="Bio">Units!$O$84:$O$90</definedName>
    <definedName name="Biomethane">Units!$Q$84:$Q$90</definedName>
    <definedName name="Capture">Units!$I$84:$I$89</definedName>
    <definedName name="Case">Units!$W$84:$W$87</definedName>
    <definedName name="CBWorkbookPriority" hidden="1">-1631513760</definedName>
    <definedName name="Conversion_kWh_to_MJ">Units!$C$8</definedName>
    <definedName name="Credit">Units!$K$84:$K$87</definedName>
    <definedName name="Data">Units!$F$84:$F$87</definedName>
    <definedName name="Def">Units!$R$85</definedName>
    <definedName name="Elec">Units!$P$84:$P$90</definedName>
    <definedName name="EnergySupplyData">Units!$D$113:$D$115</definedName>
    <definedName name="Feedstock">Units!$L$84:$L$96</definedName>
    <definedName name="FeedstockSupplyData">Units!$C$113:$C$115</definedName>
    <definedName name="Flow_units">Units!$Z$84:$Z$85</definedName>
    <definedName name="Fossil">Units!$G$84:$G$89</definedName>
    <definedName name="Gas">Units!$H$84:$H$89</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ydrogen_flow">Initial_questions!$E$81</definedName>
    <definedName name="iLUC">Units!$T$84:$T$90</definedName>
    <definedName name="InputMaterialsData">Units!$E$113:$E$115</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PAYOUT_RATIO" hidden="1">"c3492"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ACT_OR_EST" hidden="1">"c2214"</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39343.6573842593</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tion">Units!$E$84:$E$86</definedName>
    <definedName name="Master_Switch">Units!$B$108</definedName>
    <definedName name="mb_inputLocation" localSheetId="49" hidden="1">#REF!</definedName>
    <definedName name="mb_inputLocation" hidden="1">#REF!</definedName>
    <definedName name="Offset">Units!$M$84:$M$87</definedName>
    <definedName name="Operations_year">Initial_questions!$E$24</definedName>
    <definedName name="Output_pressure">Initial_questions!$E$84</definedName>
    <definedName name="Output_purity">Initial_questions!$E$85</definedName>
    <definedName name="Output_temperature">Initial_questions!$E$86</definedName>
    <definedName name="Path">Initial_questions!$E$21</definedName>
    <definedName name="Pathway_list">Units!$B$84:$B$103</definedName>
    <definedName name="Proj">Units!$R$84</definedName>
    <definedName name="Proj_grid_intensity_kWh">'Typical data'!$C$161:$C$186</definedName>
    <definedName name="Proj_grid_year">'Typical data'!$B$161:$B$186</definedName>
    <definedName name="Proj_or_def">Units!$R$84:$R$86</definedName>
    <definedName name="Proj_or_mix">Units!$S$84:$S$86</definedName>
    <definedName name="Project_location">Units!$AB$84:$AB$87</definedName>
    <definedName name="Risk">Units!$X$84:$X$86</definedName>
    <definedName name="RiskAfterRecalcMacro" hidden="1">"BetweenIterationsMacro"</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2009000</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TRUE</definedName>
    <definedName name="RiskUseMultipleCPUs" hidden="1">FALSE</definedName>
    <definedName name="SolidCarbon">Units!$J$84:$J$89</definedName>
    <definedName name="Status">Units!$D$84:$D$86</definedName>
    <definedName name="Sustainability">Units!$N$84:$N$86</definedName>
    <definedName name="Switch">Units!$V$84:$V$85</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Within_workbook">Units!$Y$84:$Y$87</definedName>
    <definedName name="wrn.My._.estimate._.report." localSheetId="9" hidden="1">{"Equipment",#N/A,FALSE,"A";"Summary",#N/A,FALSE,"B"}</definedName>
    <definedName name="wrn.My._.estimate._.report." localSheetId="49" hidden="1">{"Equipment",#N/A,FALSE,"A";"Summary",#N/A,FALSE,"B"}</definedName>
    <definedName name="wrn.My._.estimate._.report." hidden="1">{"Equipment",#N/A,FALSE,"A";"Summary",#N/A,FALSE,"B"}</definedName>
    <definedName name="x"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x"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Years">Units!$U$84:$U$111</definedName>
  </definedNames>
  <calcPr calcId="191028"/>
  <customWorkbookViews>
    <customWorkbookView name="Other" guid="{F03309BC-D3FA-4CF2-833B-D6D9A95FE1FB}" maximized="1" xWindow="-4" yWindow="-1088" windowWidth="1936" windowHeight="1056" tabRatio="875" activeSheetId="120"/>
    <customWorkbookView name="Natural gas reforming with CCS" guid="{EECBF9DF-6D77-4263-85DA-71E40216BADD}" maximized="1" xWindow="-4" yWindow="-1088" windowWidth="1936" windowHeight="1056" tabRatio="875" activeSheetId="4"/>
    <customWorkbookView name="Biomethane reforming" guid="{1C16EB38-F785-4168-9938-104594734038}" maximized="1" xWindow="-4" yWindow="-1088" windowWidth="1936" windowHeight="1056" tabRatio="875" activeSheetId="85"/>
    <customWorkbookView name="Electrolysis" guid="{0E935136-9A80-44B6-88D5-61E64D742049}" maximized="1" xWindow="-4" yWindow="-1088" windowWidth="1936" windowHeight="1056" tabRatio="875" activeSheetId="107"/>
    <customWorkbookView name="Biomass gasification" guid="{E6EFD927-84B2-4D06-BB59-59D9DF522DA2}" maximized="1" xWindow="-4" yWindow="-1088" windowWidth="1936" windowHeight="1056" tabRatio="875" activeSheetId="118"/>
    <customWorkbookView name="Natural gas splitting producing solid carbon" guid="{3F0A4FBA-5323-448F-A023-B3E14C54064C}" maximized="1" xWindow="-4" yWindow="-1088" windowWidth="1936" windowHeight="1056" tabRatio="875" activeSheetId="132"/>
    <customWorkbookView name="Refinery off gas reforming with CCS" guid="{D97B1299-69D0-4EE0-B673-CCF74742F96B}" maximized="1" xWindow="-4" yWindow="-1088" windowWidth="1936" windowHeight="1056" activeSheetId="151"/>
    <customWorkbookView name="Waste gasification" guid="{F468A2FD-7987-4A9D-8BAE-1AACE523607F}" maximized="1" xWindow="-4" yWindow="-1088" windowWidth="1936" windowHeight="1056" tabRatio="875" activeSheetId="140"/>
    <customWorkbookView name="All" guid="{2D920366-22B2-4182-A65D-0EDBE614FB37}" maximized="1" xWindow="1912" yWindow="-8" windowWidth="1936" windowHeight="1056" tabRatio="875" activeSheetId="37"/>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5" i="37" l="1" a="1"/>
  <c r="C65" i="37"/>
  <c r="C64" i="37" a="1"/>
  <c r="C64" i="37" s="1"/>
  <c r="C63" i="37" a="1"/>
  <c r="C63" i="37" s="1"/>
  <c r="C67" i="37" a="1"/>
  <c r="C67" i="37" s="1"/>
  <c r="C161" i="150" l="1"/>
  <c r="C6" i="128"/>
  <c r="C162" i="150"/>
  <c r="C163" i="150"/>
  <c r="C164" i="150"/>
  <c r="C165" i="150"/>
  <c r="C166" i="150"/>
  <c r="C167" i="150"/>
  <c r="C168" i="150"/>
  <c r="C169" i="150"/>
  <c r="C170" i="150"/>
  <c r="C171" i="150"/>
  <c r="C172" i="150"/>
  <c r="C173" i="150"/>
  <c r="C174" i="150"/>
  <c r="C175" i="150"/>
  <c r="C176" i="150"/>
  <c r="C177" i="150"/>
  <c r="C178" i="150"/>
  <c r="C179" i="150"/>
  <c r="C180" i="150"/>
  <c r="C181" i="150"/>
  <c r="C182" i="150"/>
  <c r="C183" i="150"/>
  <c r="C184" i="150"/>
  <c r="C185" i="150"/>
  <c r="C186" i="150"/>
  <c r="B161" i="150" l="1"/>
  <c r="B162" i="150"/>
  <c r="B163" i="150"/>
  <c r="B164" i="150"/>
  <c r="B165" i="150"/>
  <c r="B166" i="150"/>
  <c r="B167" i="150"/>
  <c r="B168" i="150"/>
  <c r="B169" i="150"/>
  <c r="B170" i="150"/>
  <c r="B171" i="150"/>
  <c r="B172" i="150"/>
  <c r="B173" i="150"/>
  <c r="B174" i="150"/>
  <c r="B175" i="150"/>
  <c r="B176" i="150"/>
  <c r="B177" i="150"/>
  <c r="B178" i="150"/>
  <c r="B179" i="150"/>
  <c r="B180" i="150"/>
  <c r="B181" i="150"/>
  <c r="B182" i="150"/>
  <c r="B183" i="150"/>
  <c r="B184" i="150"/>
  <c r="B185" i="150"/>
  <c r="B186" i="150"/>
  <c r="D23" i="128" l="1" a="1"/>
  <c r="D23" i="128" s="1"/>
  <c r="D24" i="128" a="1"/>
  <c r="D24" i="128" s="1"/>
  <c r="C27" i="128"/>
  <c r="C26" i="128"/>
  <c r="B27" i="128"/>
  <c r="B26" i="128"/>
  <c r="C113" i="7" a="1"/>
  <c r="C113" i="7" s="1"/>
  <c r="E113" i="7" a="1"/>
  <c r="E113" i="7" s="1"/>
  <c r="B113" i="7" a="1"/>
  <c r="B113" i="7" s="1"/>
  <c r="L5" i="70" l="1" a="1"/>
  <c r="L5" i="70" s="1"/>
  <c r="D5" i="70" a="1"/>
  <c r="D5" i="70" s="1"/>
  <c r="D130" i="37" a="1"/>
  <c r="D130" i="37" s="1"/>
  <c r="B2" i="123"/>
  <c r="B2" i="121"/>
  <c r="B2" i="122"/>
  <c r="B2" i="120"/>
  <c r="B2" i="117"/>
  <c r="B2" i="118"/>
  <c r="D131" i="37" a="1"/>
  <c r="D131" i="37" l="1"/>
  <c r="E131" i="37" a="1"/>
  <c r="E131" i="37" l="1"/>
  <c r="D132" i="37" a="1"/>
  <c r="D132" i="37" s="1"/>
  <c r="D124" i="37" a="1"/>
  <c r="D124" i="37" s="1"/>
  <c r="D405" i="150"/>
  <c r="D382" i="150"/>
  <c r="D380" i="150"/>
  <c r="D40" i="66"/>
  <c r="D23" i="66"/>
  <c r="D6" i="66"/>
  <c r="D7" i="69"/>
  <c r="D9" i="141"/>
  <c r="D7" i="133"/>
  <c r="D9" i="70"/>
  <c r="D9" i="39"/>
  <c r="D31" i="68"/>
  <c r="D9" i="68"/>
  <c r="C115" i="37"/>
  <c r="C113" i="37" l="1" a="1"/>
  <c r="C113" i="37" s="1"/>
  <c r="F395" i="150" l="1"/>
  <c r="D381" i="150"/>
  <c r="E89" i="37"/>
  <c r="C9" i="149"/>
  <c r="C9" i="140"/>
  <c r="C9" i="148"/>
  <c r="T21" i="107"/>
  <c r="C14" i="128"/>
  <c r="D105" i="37"/>
  <c r="D96" i="37" a="1"/>
  <c r="D96" i="37" s="1"/>
  <c r="D388" i="150" l="1"/>
  <c r="D406" i="150" s="1"/>
  <c r="D407" i="150" s="1"/>
  <c r="F394" i="150"/>
  <c r="D383" i="150" s="1"/>
  <c r="D385" i="150" s="1"/>
  <c r="D387" i="150" s="1"/>
  <c r="F399" i="150"/>
  <c r="F397" i="150"/>
  <c r="F396" i="150"/>
  <c r="F398" i="150"/>
  <c r="T9" i="144"/>
  <c r="T9" i="143"/>
  <c r="T9" i="89"/>
  <c r="T64" i="132"/>
  <c r="T54" i="145"/>
  <c r="T12" i="94"/>
  <c r="T9" i="99"/>
  <c r="T9" i="104"/>
  <c r="T10" i="112"/>
  <c r="T61" i="132"/>
  <c r="T9" i="90"/>
  <c r="T65" i="132"/>
  <c r="T57" i="145"/>
  <c r="T9" i="95"/>
  <c r="T9" i="100"/>
  <c r="T66" i="87"/>
  <c r="T9" i="116"/>
  <c r="T9" i="103"/>
  <c r="T8" i="15"/>
  <c r="T9" i="97"/>
  <c r="T9" i="91"/>
  <c r="T66" i="132"/>
  <c r="T9" i="117"/>
  <c r="T54" i="85"/>
  <c r="T54" i="86"/>
  <c r="T69" i="87"/>
  <c r="T51" i="114"/>
  <c r="T10" i="94"/>
  <c r="T54" i="4"/>
  <c r="T8" i="151"/>
  <c r="T9" i="121"/>
  <c r="T57" i="85"/>
  <c r="T57" i="86"/>
  <c r="T8" i="120"/>
  <c r="T54" i="114"/>
  <c r="T56" i="132"/>
  <c r="T9" i="111"/>
  <c r="T10" i="103"/>
  <c r="T29" i="107"/>
  <c r="T57" i="4"/>
  <c r="T9" i="152"/>
  <c r="T9" i="92"/>
  <c r="T9" i="118"/>
  <c r="T8" i="101"/>
  <c r="T9" i="123"/>
  <c r="T59" i="114"/>
  <c r="T79" i="107"/>
  <c r="T9" i="96"/>
  <c r="T11" i="94"/>
  <c r="T9" i="112"/>
  <c r="T76" i="107"/>
  <c r="T53" i="132"/>
  <c r="T9" i="153"/>
  <c r="T9" i="93"/>
  <c r="T9" i="122"/>
  <c r="T9" i="102"/>
  <c r="T9" i="110"/>
  <c r="D389" i="150" l="1"/>
  <c r="C10" i="128"/>
  <c r="E80" i="145" l="1"/>
  <c r="A1" i="153"/>
  <c r="A1" i="152"/>
  <c r="A1" i="151"/>
  <c r="A1" i="148"/>
  <c r="E3" i="69" l="1"/>
  <c r="I3" i="141"/>
  <c r="J3" i="141" s="1"/>
  <c r="G3" i="141"/>
  <c r="H3" i="141" s="1"/>
  <c r="F3" i="141"/>
  <c r="E3" i="141"/>
  <c r="D3" i="141"/>
  <c r="C3" i="141"/>
  <c r="B3" i="141"/>
  <c r="K3" i="141" l="1"/>
  <c r="N65" i="114"/>
  <c r="N61" i="114"/>
  <c r="N62" i="114"/>
  <c r="N63" i="114"/>
  <c r="N64" i="114"/>
  <c r="T62" i="114"/>
  <c r="S62" i="114"/>
  <c r="T63" i="114"/>
  <c r="S63" i="114"/>
  <c r="S64" i="132"/>
  <c r="N64" i="132"/>
  <c r="S65" i="132"/>
  <c r="N65" i="132"/>
  <c r="E94" i="114"/>
  <c r="E93" i="114"/>
  <c r="E96" i="132"/>
  <c r="E97" i="132"/>
  <c r="T61" i="114"/>
  <c r="T64" i="114"/>
  <c r="S64" i="114"/>
  <c r="S61" i="114"/>
  <c r="S60" i="114"/>
  <c r="T65" i="114"/>
  <c r="S65" i="114"/>
  <c r="T60" i="114"/>
  <c r="N60" i="114"/>
  <c r="S59" i="114"/>
  <c r="N59" i="114"/>
  <c r="S58" i="114"/>
  <c r="N58" i="114"/>
  <c r="S56" i="132"/>
  <c r="N56" i="132"/>
  <c r="S57" i="132"/>
  <c r="N57" i="132"/>
  <c r="T55" i="132"/>
  <c r="S55" i="132"/>
  <c r="N55" i="132"/>
  <c r="T54" i="132"/>
  <c r="S54" i="132"/>
  <c r="N54" i="132"/>
  <c r="S53" i="132"/>
  <c r="N53" i="132"/>
  <c r="S52" i="132"/>
  <c r="N52" i="132"/>
  <c r="C101" i="37"/>
  <c r="B101" i="37"/>
  <c r="B92" i="37" a="1"/>
  <c r="B92" i="37" s="1"/>
  <c r="C108" i="37"/>
  <c r="C99" i="37" a="1"/>
  <c r="C99" i="37" s="1"/>
  <c r="C107" i="37"/>
  <c r="C98" i="37" a="1"/>
  <c r="C98" i="37" s="1"/>
  <c r="C106" i="37"/>
  <c r="C97" i="37" a="1"/>
  <c r="C97" i="37" s="1"/>
  <c r="C104" i="37"/>
  <c r="C95" i="37" a="1"/>
  <c r="C95" i="37" s="1"/>
  <c r="C103" i="37"/>
  <c r="C94" i="37" a="1"/>
  <c r="C94" i="37" s="1"/>
  <c r="C102" i="37"/>
  <c r="C93" i="37" a="1"/>
  <c r="C93" i="37" s="1"/>
  <c r="C92" i="37" a="1"/>
  <c r="C92" i="37" s="1"/>
  <c r="N74" i="132"/>
  <c r="N73" i="132"/>
  <c r="N72" i="132"/>
  <c r="N71" i="132"/>
  <c r="N77" i="114"/>
  <c r="N76" i="114"/>
  <c r="N75" i="114"/>
  <c r="N74" i="114"/>
  <c r="E34" i="37" l="1" a="1"/>
  <c r="E34" i="37" s="1"/>
  <c r="E35" i="37" a="1"/>
  <c r="E35" i="37" s="1"/>
  <c r="D39" i="37" s="1"/>
  <c r="E36" i="37" a="1"/>
  <c r="E36" i="37" s="1"/>
  <c r="D26" i="128" s="1"/>
  <c r="E26" i="128" s="1"/>
  <c r="E37" i="37" a="1"/>
  <c r="E37" i="37" s="1"/>
  <c r="D40" i="37" s="1"/>
  <c r="E38" i="37" a="1"/>
  <c r="E38" i="37" s="1"/>
  <c r="D113" i="7" s="1" a="1"/>
  <c r="D113" i="7" s="1"/>
  <c r="E41" i="37" l="1"/>
  <c r="T37" i="107" s="1"/>
  <c r="C114" i="37"/>
  <c r="D27" i="128"/>
  <c r="E27" i="128" s="1"/>
  <c r="E40" i="37"/>
  <c r="T33" i="107" s="1"/>
  <c r="E39" i="37"/>
  <c r="T25" i="107" s="1"/>
  <c r="D41" i="37"/>
  <c r="A1" i="94"/>
  <c r="A1" i="93"/>
  <c r="D125" i="37" a="1"/>
  <c r="D125" i="37" s="1"/>
  <c r="D122" i="37" a="1"/>
  <c r="D122" i="37" s="1"/>
  <c r="Q23" i="153"/>
  <c r="Q24" i="153"/>
  <c r="Q25" i="153"/>
  <c r="Q26" i="153"/>
  <c r="Q27" i="153"/>
  <c r="Q28" i="153"/>
  <c r="Q29" i="153"/>
  <c r="Q30" i="153"/>
  <c r="N23" i="153"/>
  <c r="N24" i="153"/>
  <c r="N25" i="153"/>
  <c r="N26" i="153"/>
  <c r="N27" i="153"/>
  <c r="N28" i="153"/>
  <c r="N29" i="153"/>
  <c r="N30" i="153"/>
  <c r="D133" i="37" a="1"/>
  <c r="E43" i="37" l="1"/>
  <c r="D4" i="128" s="1" a="1"/>
  <c r="D4" i="128" s="1"/>
  <c r="D133" i="37"/>
  <c r="T58" i="114" l="1"/>
  <c r="T23" i="85"/>
  <c r="T52" i="132"/>
  <c r="T75" i="107"/>
  <c r="T23" i="145"/>
  <c r="T50" i="114"/>
  <c r="T22" i="85"/>
  <c r="T23" i="132"/>
  <c r="T53" i="145"/>
  <c r="T21" i="132"/>
  <c r="T20" i="114"/>
  <c r="T21" i="85"/>
  <c r="T22" i="132"/>
  <c r="T53" i="4"/>
  <c r="T53" i="86"/>
  <c r="T22" i="145"/>
  <c r="T23" i="4"/>
  <c r="T60" i="132"/>
  <c r="T21" i="86"/>
  <c r="T21" i="145"/>
  <c r="T22" i="4"/>
  <c r="T53" i="85"/>
  <c r="T21" i="4"/>
  <c r="T65" i="87"/>
  <c r="T21" i="87"/>
  <c r="A1" i="115"/>
  <c r="A1" i="68"/>
  <c r="A1" i="39"/>
  <c r="A1" i="149"/>
  <c r="A1" i="140" l="1"/>
  <c r="A1" i="101"/>
  <c r="A1" i="118"/>
  <c r="A1" i="117"/>
  <c r="A1" i="70"/>
  <c r="A1" i="69"/>
  <c r="A1" i="66"/>
  <c r="A1" i="107"/>
  <c r="A1" i="4"/>
  <c r="A1" i="89"/>
  <c r="A1" i="15"/>
  <c r="A1" i="91" a="1"/>
  <c r="A1" i="91" s="1"/>
  <c r="A1" i="90" a="1"/>
  <c r="A1" i="90" s="1"/>
  <c r="E9" i="145" l="1"/>
  <c r="D42" i="37" l="1"/>
  <c r="I6" i="141" l="1"/>
  <c r="J6" i="141" s="1"/>
  <c r="J5" i="141" s="1"/>
  <c r="J4" i="141" s="1"/>
  <c r="I5" i="141"/>
  <c r="I4" i="141"/>
  <c r="B23" i="128" a="1"/>
  <c r="B23" i="128" s="1"/>
  <c r="L58" i="66"/>
  <c r="G6" i="141" l="1"/>
  <c r="G5" i="141"/>
  <c r="G4" i="141"/>
  <c r="F6" i="141"/>
  <c r="E4" i="141"/>
  <c r="E6" i="141"/>
  <c r="E5" i="141"/>
  <c r="B6" i="141"/>
  <c r="B5" i="141"/>
  <c r="B4" i="141"/>
  <c r="H6" i="141" l="1"/>
  <c r="K6" i="141" s="1"/>
  <c r="F5" i="141"/>
  <c r="F4" i="141" s="1"/>
  <c r="H4" i="141" s="1"/>
  <c r="K4" i="141" s="1"/>
  <c r="H5" i="141" l="1"/>
  <c r="K5" i="141" s="1"/>
  <c r="C9" i="128" l="1"/>
  <c r="L4" i="141" l="1"/>
  <c r="N40" i="153"/>
  <c r="N39" i="153"/>
  <c r="N38" i="153"/>
  <c r="S37" i="153"/>
  <c r="N37" i="153"/>
  <c r="E36" i="153"/>
  <c r="N36" i="153" s="1"/>
  <c r="N35" i="153"/>
  <c r="N34" i="153"/>
  <c r="N33" i="153"/>
  <c r="N32" i="153"/>
  <c r="N31" i="153"/>
  <c r="Q22" i="153"/>
  <c r="N22" i="153"/>
  <c r="Q21" i="153"/>
  <c r="N21" i="153"/>
  <c r="Q20" i="153"/>
  <c r="N20" i="153"/>
  <c r="T17" i="153"/>
  <c r="S17" i="153"/>
  <c r="N17" i="153"/>
  <c r="T16" i="153"/>
  <c r="S16" i="153"/>
  <c r="N16" i="153"/>
  <c r="T15" i="153"/>
  <c r="S15" i="153"/>
  <c r="N15" i="153"/>
  <c r="T14" i="153"/>
  <c r="S14" i="153"/>
  <c r="N14" i="153"/>
  <c r="T13" i="153"/>
  <c r="S13" i="153"/>
  <c r="N13" i="153"/>
  <c r="T12" i="153"/>
  <c r="S12" i="153"/>
  <c r="N12" i="153"/>
  <c r="T11" i="153"/>
  <c r="S11" i="153"/>
  <c r="N11" i="153"/>
  <c r="T10" i="153"/>
  <c r="S10" i="153"/>
  <c r="N10" i="153"/>
  <c r="S9" i="153"/>
  <c r="N9" i="153"/>
  <c r="N8" i="153"/>
  <c r="N32" i="151"/>
  <c r="N31" i="151"/>
  <c r="N30" i="151"/>
  <c r="S29" i="151"/>
  <c r="N29" i="151"/>
  <c r="E28" i="151"/>
  <c r="S27" i="151"/>
  <c r="N27" i="151"/>
  <c r="N26" i="151"/>
  <c r="N25" i="151"/>
  <c r="N24" i="151"/>
  <c r="N23" i="151"/>
  <c r="Q22" i="151"/>
  <c r="N22" i="151"/>
  <c r="Q21" i="151"/>
  <c r="N21" i="151"/>
  <c r="Q20" i="151"/>
  <c r="N20" i="151"/>
  <c r="V32" i="151" s="1"/>
  <c r="T17" i="151"/>
  <c r="S17" i="151"/>
  <c r="N17" i="151"/>
  <c r="T16" i="151"/>
  <c r="S16" i="151"/>
  <c r="N16" i="151"/>
  <c r="T15" i="151"/>
  <c r="S15" i="151"/>
  <c r="N15" i="151"/>
  <c r="T14" i="151"/>
  <c r="S14" i="151"/>
  <c r="N14" i="151"/>
  <c r="T13" i="151"/>
  <c r="S13" i="151"/>
  <c r="N13" i="151"/>
  <c r="T12" i="151"/>
  <c r="S12" i="151"/>
  <c r="N12" i="151"/>
  <c r="T11" i="151"/>
  <c r="S11" i="151"/>
  <c r="N11" i="151"/>
  <c r="T10" i="151"/>
  <c r="S10" i="151"/>
  <c r="N10" i="151"/>
  <c r="T9" i="151"/>
  <c r="S9" i="151"/>
  <c r="N9" i="151"/>
  <c r="S8" i="151"/>
  <c r="N8" i="151"/>
  <c r="N31" i="152"/>
  <c r="N30" i="152"/>
  <c r="N29" i="152"/>
  <c r="S28" i="152"/>
  <c r="N28" i="152"/>
  <c r="S27" i="152"/>
  <c r="N27" i="152"/>
  <c r="N26" i="152"/>
  <c r="N25" i="152"/>
  <c r="N24" i="152"/>
  <c r="N23" i="152"/>
  <c r="Q22" i="152"/>
  <c r="N22" i="152"/>
  <c r="Q21" i="152"/>
  <c r="N21" i="152"/>
  <c r="Q20" i="152"/>
  <c r="N20" i="152"/>
  <c r="V31" i="152" s="1"/>
  <c r="T17" i="152"/>
  <c r="S17" i="152"/>
  <c r="N17" i="152"/>
  <c r="T16" i="152"/>
  <c r="S16" i="152"/>
  <c r="N16" i="152"/>
  <c r="T15" i="152"/>
  <c r="S15" i="152"/>
  <c r="N15" i="152"/>
  <c r="T14" i="152"/>
  <c r="S14" i="152"/>
  <c r="N14" i="152"/>
  <c r="T13" i="152"/>
  <c r="S13" i="152"/>
  <c r="N13" i="152"/>
  <c r="T12" i="152"/>
  <c r="S12" i="152"/>
  <c r="N12" i="152"/>
  <c r="T11" i="152"/>
  <c r="S11" i="152"/>
  <c r="N11" i="152"/>
  <c r="T10" i="152"/>
  <c r="S10" i="152"/>
  <c r="N10" i="152"/>
  <c r="S9" i="152"/>
  <c r="N9" i="152"/>
  <c r="N8" i="152"/>
  <c r="D58" i="66"/>
  <c r="C24" i="128" a="1"/>
  <c r="C24" i="128" s="1"/>
  <c r="E24" i="128" s="1" a="1"/>
  <c r="E24" i="128" s="1"/>
  <c r="A1" i="121"/>
  <c r="A1" i="92"/>
  <c r="A1" i="95"/>
  <c r="A1" i="85"/>
  <c r="A1" i="122"/>
  <c r="A1" i="96"/>
  <c r="A1" i="97"/>
  <c r="A1" i="99"/>
  <c r="A1" i="100"/>
  <c r="A1" i="86"/>
  <c r="A1" i="114"/>
  <c r="A1" i="116"/>
  <c r="A1" i="112"/>
  <c r="A1" i="111"/>
  <c r="A1" i="110"/>
  <c r="A1" i="123"/>
  <c r="A1" i="120"/>
  <c r="A1" i="87"/>
  <c r="A1" i="104"/>
  <c r="A1" i="103"/>
  <c r="A1" i="102"/>
  <c r="A1" i="145"/>
  <c r="A1" i="143"/>
  <c r="A1" i="144"/>
  <c r="A1" i="132"/>
  <c r="A1" i="133"/>
  <c r="A1" i="141"/>
  <c r="C7" i="148"/>
  <c r="C7" i="149"/>
  <c r="C8" i="149" s="1"/>
  <c r="V17" i="153" l="1"/>
  <c r="V8" i="151"/>
  <c r="V28" i="152"/>
  <c r="V10" i="152"/>
  <c r="V13" i="152"/>
  <c r="V15" i="151"/>
  <c r="V15" i="152"/>
  <c r="V11" i="153"/>
  <c r="R22" i="153"/>
  <c r="R21" i="153"/>
  <c r="V17" i="152"/>
  <c r="R20" i="153"/>
  <c r="R28" i="153"/>
  <c r="R27" i="153"/>
  <c r="R29" i="153"/>
  <c r="R26" i="153"/>
  <c r="R25" i="153"/>
  <c r="R23" i="153"/>
  <c r="R30" i="153"/>
  <c r="R24" i="153"/>
  <c r="V9" i="153"/>
  <c r="V13" i="153"/>
  <c r="V36" i="153"/>
  <c r="R20" i="152"/>
  <c r="V37" i="153"/>
  <c r="V17" i="151"/>
  <c r="R20" i="151"/>
  <c r="V30" i="151"/>
  <c r="V11" i="151"/>
  <c r="V13" i="151"/>
  <c r="V9" i="152"/>
  <c r="V9" i="151"/>
  <c r="V14" i="151"/>
  <c r="V16" i="151"/>
  <c r="V16" i="153"/>
  <c r="V40" i="153"/>
  <c r="V16" i="152"/>
  <c r="R21" i="152"/>
  <c r="V12" i="151"/>
  <c r="V27" i="151"/>
  <c r="V14" i="153"/>
  <c r="V11" i="152"/>
  <c r="V14" i="152"/>
  <c r="V10" i="151"/>
  <c r="R22" i="151"/>
  <c r="V28" i="151"/>
  <c r="V12" i="153"/>
  <c r="V12" i="152"/>
  <c r="R22" i="152"/>
  <c r="O20" i="153"/>
  <c r="V10" i="153"/>
  <c r="V15" i="153"/>
  <c r="E33" i="107"/>
  <c r="N33" i="107" s="1"/>
  <c r="E110" i="107"/>
  <c r="E109" i="107"/>
  <c r="V35" i="153"/>
  <c r="V38" i="153"/>
  <c r="V39" i="153"/>
  <c r="N28" i="151"/>
  <c r="R21" i="151"/>
  <c r="V29" i="151"/>
  <c r="V31" i="151"/>
  <c r="V29" i="152"/>
  <c r="V30" i="152"/>
  <c r="V27" i="152"/>
  <c r="O20" i="152"/>
  <c r="V34" i="151" l="1"/>
  <c r="V42" i="153"/>
  <c r="V33" i="152"/>
  <c r="S11" i="144" l="1"/>
  <c r="T11" i="144" l="1"/>
  <c r="N13" i="145"/>
  <c r="Q13" i="145"/>
  <c r="B24" i="128" l="1" a="1"/>
  <c r="B24" i="128" s="1"/>
  <c r="C7" i="140" l="1"/>
  <c r="Q2" i="69" l="1"/>
  <c r="P2" i="69"/>
  <c r="O2" i="69"/>
  <c r="O3" i="69"/>
  <c r="L8" i="133" l="1"/>
  <c r="L7" i="133"/>
  <c r="L3" i="133"/>
  <c r="D3" i="69"/>
  <c r="L10" i="141"/>
  <c r="L9" i="141"/>
  <c r="N75" i="145" l="1"/>
  <c r="N74" i="145"/>
  <c r="N73" i="145"/>
  <c r="N72" i="145"/>
  <c r="N71" i="145"/>
  <c r="N70" i="145"/>
  <c r="N69" i="145"/>
  <c r="S68" i="145"/>
  <c r="N68" i="145"/>
  <c r="N65" i="145"/>
  <c r="N64" i="145"/>
  <c r="N63" i="145"/>
  <c r="N62" i="145"/>
  <c r="E61" i="145"/>
  <c r="N61" i="145" s="1"/>
  <c r="N58" i="145"/>
  <c r="S57" i="145"/>
  <c r="N57" i="145"/>
  <c r="T56" i="145"/>
  <c r="S56" i="145"/>
  <c r="N56" i="145"/>
  <c r="T55" i="145"/>
  <c r="S55" i="145"/>
  <c r="N55" i="145"/>
  <c r="S54" i="145"/>
  <c r="N54" i="145"/>
  <c r="S53" i="145"/>
  <c r="N53" i="145"/>
  <c r="N50" i="145"/>
  <c r="N49" i="145"/>
  <c r="N48" i="145"/>
  <c r="N47" i="145"/>
  <c r="N46" i="145"/>
  <c r="N43" i="145"/>
  <c r="N42" i="145"/>
  <c r="N41" i="145"/>
  <c r="N40" i="145"/>
  <c r="N39" i="145"/>
  <c r="N38" i="145"/>
  <c r="N37" i="145"/>
  <c r="N36" i="145"/>
  <c r="N35" i="145"/>
  <c r="N34" i="145"/>
  <c r="T30" i="145"/>
  <c r="S30" i="145"/>
  <c r="N30" i="145"/>
  <c r="T29" i="145"/>
  <c r="S29" i="145"/>
  <c r="N29" i="145"/>
  <c r="T28" i="145"/>
  <c r="S28" i="145"/>
  <c r="N28" i="145"/>
  <c r="T27" i="145"/>
  <c r="S27" i="145"/>
  <c r="N27" i="145"/>
  <c r="T26" i="145"/>
  <c r="S26" i="145"/>
  <c r="N26" i="145"/>
  <c r="T25" i="145"/>
  <c r="S25" i="145"/>
  <c r="N25" i="145"/>
  <c r="T24" i="145"/>
  <c r="S24" i="145"/>
  <c r="N24" i="145"/>
  <c r="S23" i="145"/>
  <c r="N23" i="145"/>
  <c r="S22" i="145"/>
  <c r="N22" i="145"/>
  <c r="S21" i="145"/>
  <c r="N21" i="145"/>
  <c r="N17" i="145"/>
  <c r="N16" i="145"/>
  <c r="N15" i="145"/>
  <c r="N14" i="145"/>
  <c r="Q12" i="145"/>
  <c r="N12" i="145"/>
  <c r="Q11" i="145"/>
  <c r="N11" i="145"/>
  <c r="Q10" i="145"/>
  <c r="N10" i="145"/>
  <c r="N9" i="145"/>
  <c r="N8" i="145"/>
  <c r="N32" i="144"/>
  <c r="N31" i="144"/>
  <c r="N30" i="144"/>
  <c r="S29" i="144"/>
  <c r="N29" i="144"/>
  <c r="N28" i="144"/>
  <c r="E28" i="144"/>
  <c r="N27" i="144"/>
  <c r="N26" i="144"/>
  <c r="N25" i="144"/>
  <c r="N24" i="144"/>
  <c r="N23" i="144"/>
  <c r="Q22" i="144"/>
  <c r="N22" i="144"/>
  <c r="Q21" i="144"/>
  <c r="N21" i="144"/>
  <c r="Q20" i="144"/>
  <c r="N20" i="144"/>
  <c r="V30" i="144" s="1"/>
  <c r="T17" i="144"/>
  <c r="S17" i="144"/>
  <c r="N17" i="144"/>
  <c r="T16" i="144"/>
  <c r="S16" i="144"/>
  <c r="N16" i="144"/>
  <c r="T15" i="144"/>
  <c r="S15" i="144"/>
  <c r="V15" i="144" s="1"/>
  <c r="N15" i="144"/>
  <c r="T14" i="144"/>
  <c r="S14" i="144"/>
  <c r="N14" i="144"/>
  <c r="T13" i="144"/>
  <c r="S13" i="144"/>
  <c r="N13" i="144"/>
  <c r="T12" i="144"/>
  <c r="S12" i="144"/>
  <c r="N12" i="144"/>
  <c r="N11" i="144"/>
  <c r="T10" i="144"/>
  <c r="S10" i="144"/>
  <c r="N10" i="144"/>
  <c r="S9" i="144"/>
  <c r="N9" i="144"/>
  <c r="N8" i="144"/>
  <c r="N31" i="143"/>
  <c r="N30" i="143"/>
  <c r="N29" i="143"/>
  <c r="S28" i="143"/>
  <c r="N28" i="143"/>
  <c r="S27" i="143"/>
  <c r="N27" i="143"/>
  <c r="N26" i="143"/>
  <c r="N25" i="143"/>
  <c r="N24" i="143"/>
  <c r="N23" i="143"/>
  <c r="Q22" i="143"/>
  <c r="N22" i="143"/>
  <c r="Q21" i="143"/>
  <c r="N21" i="143"/>
  <c r="Q20" i="143"/>
  <c r="N20" i="143"/>
  <c r="V27" i="143" s="1"/>
  <c r="T17" i="143"/>
  <c r="S17" i="143"/>
  <c r="N17" i="143"/>
  <c r="T16" i="143"/>
  <c r="S16" i="143"/>
  <c r="N16" i="143"/>
  <c r="T15" i="143"/>
  <c r="S15" i="143"/>
  <c r="N15" i="143"/>
  <c r="T14" i="143"/>
  <c r="S14" i="143"/>
  <c r="N14" i="143"/>
  <c r="T13" i="143"/>
  <c r="S13" i="143"/>
  <c r="N13" i="143"/>
  <c r="T12" i="143"/>
  <c r="S12" i="143"/>
  <c r="N12" i="143"/>
  <c r="T11" i="143"/>
  <c r="S11" i="143"/>
  <c r="N11" i="143"/>
  <c r="T10" i="143"/>
  <c r="S10" i="143"/>
  <c r="N10" i="143"/>
  <c r="S9" i="143"/>
  <c r="N9" i="143"/>
  <c r="N8" i="143"/>
  <c r="D10" i="141"/>
  <c r="B32" i="145" s="1"/>
  <c r="B19" i="145"/>
  <c r="V15" i="143" l="1"/>
  <c r="V12" i="144"/>
  <c r="V17" i="144"/>
  <c r="V9" i="144"/>
  <c r="V28" i="144"/>
  <c r="R22" i="144"/>
  <c r="V30" i="145"/>
  <c r="V9" i="143"/>
  <c r="V12" i="143"/>
  <c r="V17" i="143"/>
  <c r="O20" i="144"/>
  <c r="E7" i="141" s="1"/>
  <c r="V13" i="144"/>
  <c r="R20" i="143"/>
  <c r="I8" i="141" s="1"/>
  <c r="V31" i="144"/>
  <c r="V13" i="143"/>
  <c r="V11" i="144"/>
  <c r="V16" i="144"/>
  <c r="V10" i="144"/>
  <c r="V10" i="143"/>
  <c r="V14" i="144"/>
  <c r="V32" i="144"/>
  <c r="V29" i="143"/>
  <c r="O20" i="143"/>
  <c r="E8" i="141" s="1"/>
  <c r="V31" i="143"/>
  <c r="R20" i="144"/>
  <c r="I7" i="141" s="1"/>
  <c r="V29" i="144"/>
  <c r="V25" i="145"/>
  <c r="V28" i="145"/>
  <c r="V11" i="143"/>
  <c r="V16" i="143"/>
  <c r="R22" i="143"/>
  <c r="V14" i="143"/>
  <c r="R21" i="144"/>
  <c r="V26" i="145"/>
  <c r="V72" i="145"/>
  <c r="V63" i="145"/>
  <c r="V58" i="145"/>
  <c r="V40" i="145"/>
  <c r="V36" i="145"/>
  <c r="V69" i="145"/>
  <c r="V37" i="145"/>
  <c r="V49" i="145"/>
  <c r="V64" i="145"/>
  <c r="V41" i="145"/>
  <c r="V75" i="145"/>
  <c r="V71" i="145"/>
  <c r="V62" i="145"/>
  <c r="V55" i="145"/>
  <c r="V43" i="145"/>
  <c r="V39" i="145"/>
  <c r="V35" i="145"/>
  <c r="V47" i="145"/>
  <c r="V50" i="145"/>
  <c r="V46" i="145"/>
  <c r="V48" i="145"/>
  <c r="V74" i="145"/>
  <c r="V70" i="145"/>
  <c r="V65" i="145"/>
  <c r="V42" i="145"/>
  <c r="V38" i="145"/>
  <c r="V34" i="145"/>
  <c r="O9" i="145"/>
  <c r="E9" i="141" s="1"/>
  <c r="F8" i="141" s="1"/>
  <c r="V73" i="145"/>
  <c r="V56" i="145"/>
  <c r="V29" i="145"/>
  <c r="V24" i="145"/>
  <c r="V27" i="145"/>
  <c r="V54" i="145"/>
  <c r="V57" i="145"/>
  <c r="V68" i="145"/>
  <c r="V61" i="145"/>
  <c r="Q9" i="145"/>
  <c r="V27" i="144"/>
  <c r="V28" i="143"/>
  <c r="V30" i="143"/>
  <c r="R21" i="143"/>
  <c r="E18" i="141" l="1"/>
  <c r="R13" i="145"/>
  <c r="V34" i="144"/>
  <c r="G7" i="141" s="1"/>
  <c r="V33" i="143"/>
  <c r="G8" i="141" s="1"/>
  <c r="H8" i="141" s="1"/>
  <c r="F7" i="141"/>
  <c r="V45" i="145"/>
  <c r="G11" i="141" s="1"/>
  <c r="V60" i="145"/>
  <c r="G13" i="141" s="1"/>
  <c r="R12" i="145"/>
  <c r="R9" i="145"/>
  <c r="I9" i="141" s="1"/>
  <c r="R10" i="145"/>
  <c r="R11" i="145"/>
  <c r="V67" i="145"/>
  <c r="G14" i="141" s="1"/>
  <c r="V33" i="145"/>
  <c r="G10" i="141" s="1"/>
  <c r="H7" i="141" l="1"/>
  <c r="V43" i="103"/>
  <c r="V42" i="103"/>
  <c r="C8" i="140" l="1"/>
  <c r="E28" i="15"/>
  <c r="I3" i="115"/>
  <c r="G3" i="115"/>
  <c r="B25" i="128" l="1"/>
  <c r="D17" i="128" l="1"/>
  <c r="C111" i="37" l="1" a="1"/>
  <c r="C111" i="37" s="1"/>
  <c r="E9" i="132"/>
  <c r="E9" i="114"/>
  <c r="E9" i="87"/>
  <c r="E9" i="86"/>
  <c r="B62" i="37" a="1"/>
  <c r="B62" i="37" s="1"/>
  <c r="G26" i="68" l="1"/>
  <c r="E28" i="90"/>
  <c r="E30" i="94"/>
  <c r="E29" i="94"/>
  <c r="E30" i="99"/>
  <c r="E29" i="99"/>
  <c r="E43" i="103"/>
  <c r="E38" i="103"/>
  <c r="E30" i="103"/>
  <c r="E29" i="103"/>
  <c r="E30" i="112"/>
  <c r="E29" i="112"/>
  <c r="N20" i="15"/>
  <c r="B35" i="107"/>
  <c r="V28" i="15" l="1"/>
  <c r="V27" i="15"/>
  <c r="V16" i="15"/>
  <c r="V32" i="15"/>
  <c r="V31" i="15"/>
  <c r="V14" i="15"/>
  <c r="V9" i="15"/>
  <c r="V17" i="15"/>
  <c r="V12" i="15"/>
  <c r="V10" i="15"/>
  <c r="V11" i="15"/>
  <c r="V15" i="15"/>
  <c r="V29" i="15"/>
  <c r="V30" i="15"/>
  <c r="V13" i="15"/>
  <c r="V21" i="145" l="1"/>
  <c r="V53" i="145"/>
  <c r="V52" i="145" s="1"/>
  <c r="G12" i="141" s="1"/>
  <c r="V23" i="145"/>
  <c r="V22" i="145"/>
  <c r="D78" i="37" a="1"/>
  <c r="D78" i="37" s="1"/>
  <c r="D74" i="37" a="1"/>
  <c r="D74" i="37" s="1"/>
  <c r="C70" i="37" a="1"/>
  <c r="C70" i="37" s="1"/>
  <c r="C69" i="37" a="1"/>
  <c r="C69" i="37" s="1"/>
  <c r="C66" i="37" a="1"/>
  <c r="C66" i="37" s="1"/>
  <c r="C12" i="128"/>
  <c r="V20" i="145" l="1"/>
  <c r="C27" i="37" a="1"/>
  <c r="C27" i="37" s="1"/>
  <c r="G9" i="141" l="1"/>
  <c r="V77" i="145"/>
  <c r="E4" i="70"/>
  <c r="E3" i="70"/>
  <c r="I4" i="70"/>
  <c r="I3" i="70"/>
  <c r="I5" i="115"/>
  <c r="I4" i="115"/>
  <c r="E4" i="39"/>
  <c r="I4" i="39"/>
  <c r="E5" i="115"/>
  <c r="E4" i="115"/>
  <c r="E3" i="133" l="1"/>
  <c r="E27" i="68" l="1"/>
  <c r="E5" i="68"/>
  <c r="C62" i="37" l="1" a="1"/>
  <c r="C62" i="37" s="1"/>
  <c r="B76" i="37" a="1"/>
  <c r="B76" i="37" s="1"/>
  <c r="C77" i="37" a="1"/>
  <c r="C77" i="37" s="1"/>
  <c r="C76" i="37" a="1"/>
  <c r="C76" i="37" s="1"/>
  <c r="N32" i="120" l="1"/>
  <c r="N24" i="89"/>
  <c r="N8" i="15"/>
  <c r="N12" i="107"/>
  <c r="Q10" i="107"/>
  <c r="Q11" i="107"/>
  <c r="Q12" i="107"/>
  <c r="Q13" i="107"/>
  <c r="N76" i="107"/>
  <c r="N77" i="107"/>
  <c r="N78" i="107"/>
  <c r="N79" i="107"/>
  <c r="N80" i="107"/>
  <c r="N75" i="107"/>
  <c r="N68" i="107"/>
  <c r="N69" i="107"/>
  <c r="N70" i="107"/>
  <c r="N71" i="107"/>
  <c r="N67" i="107"/>
  <c r="N55" i="107"/>
  <c r="N56" i="107"/>
  <c r="N57" i="107"/>
  <c r="N58" i="107"/>
  <c r="N59" i="107"/>
  <c r="N60" i="107"/>
  <c r="N61" i="107"/>
  <c r="N62" i="107"/>
  <c r="N63" i="107"/>
  <c r="N54" i="107"/>
  <c r="N42" i="107"/>
  <c r="N43" i="107"/>
  <c r="N44" i="107"/>
  <c r="N45" i="107"/>
  <c r="N46" i="107"/>
  <c r="N47" i="107"/>
  <c r="N48" i="107"/>
  <c r="N49" i="107"/>
  <c r="N50" i="107"/>
  <c r="N41" i="107"/>
  <c r="N10" i="107"/>
  <c r="N11" i="107"/>
  <c r="N13" i="107"/>
  <c r="N14" i="107"/>
  <c r="N15" i="107"/>
  <c r="N16" i="107"/>
  <c r="N17" i="107"/>
  <c r="N32" i="15" l="1"/>
  <c r="N31" i="15"/>
  <c r="N30" i="15"/>
  <c r="N29" i="15"/>
  <c r="N27" i="15"/>
  <c r="N26" i="15"/>
  <c r="N25" i="15"/>
  <c r="N24" i="15"/>
  <c r="N23" i="15"/>
  <c r="Q22" i="15"/>
  <c r="N22" i="15"/>
  <c r="Q21" i="15"/>
  <c r="N21" i="15"/>
  <c r="Q20" i="15"/>
  <c r="N17" i="15"/>
  <c r="N16" i="15"/>
  <c r="N15" i="15"/>
  <c r="N14" i="15"/>
  <c r="N13" i="15"/>
  <c r="N12" i="15"/>
  <c r="N11" i="15"/>
  <c r="N10" i="15"/>
  <c r="N9" i="15"/>
  <c r="N32" i="117"/>
  <c r="N31" i="117"/>
  <c r="N30" i="117"/>
  <c r="N29" i="117"/>
  <c r="N28" i="117"/>
  <c r="N27" i="117"/>
  <c r="N26" i="117"/>
  <c r="N25" i="117"/>
  <c r="N24" i="117"/>
  <c r="N23" i="117"/>
  <c r="Q22" i="117"/>
  <c r="N22" i="117"/>
  <c r="Q21" i="117"/>
  <c r="N21" i="117"/>
  <c r="Q20" i="117"/>
  <c r="N20" i="117"/>
  <c r="N17" i="117"/>
  <c r="N16" i="117"/>
  <c r="N15" i="117"/>
  <c r="N14" i="117"/>
  <c r="N13" i="117"/>
  <c r="N12" i="117"/>
  <c r="N11" i="117"/>
  <c r="N10" i="117"/>
  <c r="N9" i="117"/>
  <c r="N8" i="117"/>
  <c r="Q21" i="118"/>
  <c r="Q22" i="118"/>
  <c r="Q20" i="118"/>
  <c r="N21" i="118"/>
  <c r="N22" i="118"/>
  <c r="N23" i="118"/>
  <c r="N24" i="118"/>
  <c r="N25" i="118"/>
  <c r="N26" i="118"/>
  <c r="N27" i="118"/>
  <c r="N28" i="118"/>
  <c r="N29" i="118"/>
  <c r="N30" i="118"/>
  <c r="N31" i="118"/>
  <c r="N32" i="118"/>
  <c r="N20" i="118"/>
  <c r="N9" i="118"/>
  <c r="N10" i="118"/>
  <c r="N11" i="118"/>
  <c r="N12" i="118"/>
  <c r="N13" i="118"/>
  <c r="N14" i="118"/>
  <c r="N15" i="118"/>
  <c r="N16" i="118"/>
  <c r="N17" i="118"/>
  <c r="N8" i="118"/>
  <c r="N31" i="101"/>
  <c r="N30" i="101"/>
  <c r="N29" i="101"/>
  <c r="N28" i="101"/>
  <c r="N27" i="101"/>
  <c r="N26" i="101"/>
  <c r="N25" i="101"/>
  <c r="N24" i="101"/>
  <c r="N23" i="101"/>
  <c r="Q22" i="101"/>
  <c r="N22" i="101"/>
  <c r="Q21" i="101"/>
  <c r="N21" i="101"/>
  <c r="Q20" i="101"/>
  <c r="N20" i="101"/>
  <c r="N17" i="101"/>
  <c r="N16" i="101"/>
  <c r="N15" i="101"/>
  <c r="N14" i="101"/>
  <c r="N13" i="101"/>
  <c r="N12" i="101"/>
  <c r="N11" i="101"/>
  <c r="N10" i="101"/>
  <c r="N9" i="101"/>
  <c r="N8" i="101"/>
  <c r="N31" i="89"/>
  <c r="N30" i="89"/>
  <c r="N29" i="89"/>
  <c r="N28" i="89"/>
  <c r="N27" i="89"/>
  <c r="N26" i="89"/>
  <c r="N25" i="89"/>
  <c r="N23" i="89"/>
  <c r="Q22" i="89"/>
  <c r="N22" i="89"/>
  <c r="Q21" i="89"/>
  <c r="N21" i="89"/>
  <c r="Q20" i="89"/>
  <c r="N20" i="89"/>
  <c r="N17" i="89"/>
  <c r="N16" i="89"/>
  <c r="N15" i="89"/>
  <c r="N14" i="89"/>
  <c r="N13" i="89"/>
  <c r="N12" i="89"/>
  <c r="N11" i="89"/>
  <c r="N10" i="89"/>
  <c r="N9" i="89"/>
  <c r="N8" i="89"/>
  <c r="Q21" i="90"/>
  <c r="Q22" i="90"/>
  <c r="Q20" i="90"/>
  <c r="N21" i="90"/>
  <c r="N22" i="90"/>
  <c r="N23" i="90"/>
  <c r="N24" i="90"/>
  <c r="N25" i="90"/>
  <c r="N26" i="90"/>
  <c r="N27" i="90"/>
  <c r="N29" i="90"/>
  <c r="N30" i="90"/>
  <c r="N31" i="90"/>
  <c r="N32" i="90"/>
  <c r="N20" i="90"/>
  <c r="N9" i="90"/>
  <c r="N10" i="90"/>
  <c r="N11" i="90"/>
  <c r="N12" i="90"/>
  <c r="N13" i="90"/>
  <c r="N14" i="90"/>
  <c r="N15" i="90"/>
  <c r="N16" i="90"/>
  <c r="N17" i="90"/>
  <c r="N8" i="90"/>
  <c r="N31" i="91"/>
  <c r="N30" i="91"/>
  <c r="N29" i="91"/>
  <c r="N28" i="91"/>
  <c r="N27" i="91"/>
  <c r="N26" i="91"/>
  <c r="N25" i="91"/>
  <c r="N24" i="91"/>
  <c r="N23" i="91"/>
  <c r="Q22" i="91"/>
  <c r="N22" i="91"/>
  <c r="Q21" i="91"/>
  <c r="N21" i="91"/>
  <c r="Q20" i="91"/>
  <c r="N20" i="91"/>
  <c r="N17" i="91"/>
  <c r="N16" i="91"/>
  <c r="N15" i="91"/>
  <c r="N14" i="91"/>
  <c r="N13" i="91"/>
  <c r="N12" i="91"/>
  <c r="N11" i="91"/>
  <c r="N10" i="91"/>
  <c r="N9" i="91"/>
  <c r="N8" i="91"/>
  <c r="N75" i="4"/>
  <c r="N74" i="4"/>
  <c r="N73" i="4"/>
  <c r="N72" i="4"/>
  <c r="N71" i="4"/>
  <c r="N70" i="4"/>
  <c r="N69" i="4"/>
  <c r="N68" i="4"/>
  <c r="N65" i="4"/>
  <c r="N64" i="4"/>
  <c r="N63" i="4"/>
  <c r="N62" i="4"/>
  <c r="N58" i="4"/>
  <c r="N57" i="4"/>
  <c r="N56" i="4"/>
  <c r="N55" i="4"/>
  <c r="N54" i="4"/>
  <c r="N53" i="4"/>
  <c r="N50" i="4"/>
  <c r="N49" i="4"/>
  <c r="N48" i="4"/>
  <c r="N47" i="4"/>
  <c r="N46" i="4"/>
  <c r="N43" i="4"/>
  <c r="N42" i="4"/>
  <c r="N41" i="4"/>
  <c r="N40" i="4"/>
  <c r="N39" i="4"/>
  <c r="N38" i="4"/>
  <c r="N37" i="4"/>
  <c r="N36" i="4"/>
  <c r="N35" i="4"/>
  <c r="N34" i="4"/>
  <c r="N30" i="4"/>
  <c r="N29" i="4"/>
  <c r="N28" i="4"/>
  <c r="N27" i="4"/>
  <c r="N26" i="4"/>
  <c r="N25" i="4"/>
  <c r="N24" i="4"/>
  <c r="N23" i="4"/>
  <c r="N22" i="4"/>
  <c r="N21" i="4"/>
  <c r="N17" i="4"/>
  <c r="N16" i="4"/>
  <c r="N15" i="4"/>
  <c r="N14" i="4"/>
  <c r="Q13" i="4"/>
  <c r="N13" i="4"/>
  <c r="Q12" i="4"/>
  <c r="N12" i="4"/>
  <c r="Q11" i="4"/>
  <c r="N11" i="4"/>
  <c r="Q10" i="4"/>
  <c r="N10" i="4"/>
  <c r="N8" i="4"/>
  <c r="N91" i="132"/>
  <c r="N90" i="132"/>
  <c r="N89" i="132"/>
  <c r="N88" i="132"/>
  <c r="N87" i="132"/>
  <c r="N86" i="132"/>
  <c r="N85" i="132"/>
  <c r="N84" i="132"/>
  <c r="N81" i="132"/>
  <c r="N80" i="132"/>
  <c r="N79" i="132"/>
  <c r="N78" i="132"/>
  <c r="N67" i="132"/>
  <c r="N66" i="132"/>
  <c r="N63" i="132"/>
  <c r="N62" i="132"/>
  <c r="N61" i="132"/>
  <c r="N60" i="132"/>
  <c r="N49" i="132"/>
  <c r="N48" i="132"/>
  <c r="N47" i="132"/>
  <c r="N46" i="132"/>
  <c r="N45" i="132"/>
  <c r="N42" i="132"/>
  <c r="N41" i="132"/>
  <c r="N40" i="132"/>
  <c r="N39" i="132"/>
  <c r="N38" i="132"/>
  <c r="N37" i="132"/>
  <c r="N36" i="132"/>
  <c r="N35" i="132"/>
  <c r="N34" i="132"/>
  <c r="N33" i="132"/>
  <c r="N30" i="132"/>
  <c r="N29" i="132"/>
  <c r="N28" i="132"/>
  <c r="N27" i="132"/>
  <c r="N26" i="132"/>
  <c r="N25" i="132"/>
  <c r="N24" i="132"/>
  <c r="N23" i="132"/>
  <c r="N22" i="132"/>
  <c r="N21" i="132"/>
  <c r="N17" i="132"/>
  <c r="N16" i="132"/>
  <c r="N15" i="132"/>
  <c r="N14" i="132"/>
  <c r="Q13" i="132"/>
  <c r="N13" i="132"/>
  <c r="Q12" i="132"/>
  <c r="N12" i="132"/>
  <c r="Q11" i="132"/>
  <c r="N11" i="132"/>
  <c r="Q10" i="132"/>
  <c r="N10" i="132"/>
  <c r="Q9" i="132"/>
  <c r="N9" i="132"/>
  <c r="V64" i="132" s="1"/>
  <c r="N8" i="132"/>
  <c r="N31" i="121"/>
  <c r="N30" i="121"/>
  <c r="N29" i="121"/>
  <c r="N28" i="121"/>
  <c r="N27" i="121"/>
  <c r="N26" i="121"/>
  <c r="N25" i="121"/>
  <c r="N24" i="121"/>
  <c r="N23" i="121"/>
  <c r="Q22" i="121"/>
  <c r="N22" i="121"/>
  <c r="Q21" i="121"/>
  <c r="N21" i="121"/>
  <c r="Q20" i="121"/>
  <c r="N20" i="121"/>
  <c r="N17" i="121"/>
  <c r="N16" i="121"/>
  <c r="N15" i="121"/>
  <c r="N14" i="121"/>
  <c r="N13" i="121"/>
  <c r="N12" i="121"/>
  <c r="N11" i="121"/>
  <c r="N10" i="121"/>
  <c r="N9" i="121"/>
  <c r="N8" i="121"/>
  <c r="N31" i="92"/>
  <c r="N30" i="92"/>
  <c r="N29" i="92"/>
  <c r="N28" i="92"/>
  <c r="N27" i="92"/>
  <c r="N26" i="92"/>
  <c r="N25" i="92"/>
  <c r="N24" i="92"/>
  <c r="N23" i="92"/>
  <c r="Q22" i="92"/>
  <c r="N22" i="92"/>
  <c r="Q21" i="92"/>
  <c r="N21" i="92"/>
  <c r="Q20" i="92"/>
  <c r="N20" i="92"/>
  <c r="N17" i="92"/>
  <c r="N16" i="92"/>
  <c r="N15" i="92"/>
  <c r="N14" i="92"/>
  <c r="N13" i="92"/>
  <c r="N12" i="92"/>
  <c r="N11" i="92"/>
  <c r="N10" i="92"/>
  <c r="N9" i="92"/>
  <c r="N8" i="92"/>
  <c r="N31" i="93"/>
  <c r="N30" i="93"/>
  <c r="N29" i="93"/>
  <c r="N28" i="93"/>
  <c r="N27" i="93"/>
  <c r="N26" i="93"/>
  <c r="N25" i="93"/>
  <c r="N24" i="93"/>
  <c r="N23" i="93"/>
  <c r="Q22" i="93"/>
  <c r="N22" i="93"/>
  <c r="Q21" i="93"/>
  <c r="N21" i="93"/>
  <c r="Q20" i="93"/>
  <c r="N20" i="93"/>
  <c r="N17" i="93"/>
  <c r="N16" i="93"/>
  <c r="N15" i="93"/>
  <c r="N14" i="93"/>
  <c r="N13" i="93"/>
  <c r="N12" i="93"/>
  <c r="N11" i="93"/>
  <c r="N10" i="93"/>
  <c r="N9" i="93"/>
  <c r="N8" i="93"/>
  <c r="N34" i="94"/>
  <c r="N33" i="94"/>
  <c r="N32" i="94"/>
  <c r="N31" i="94"/>
  <c r="N30" i="94"/>
  <c r="N29" i="94"/>
  <c r="N28" i="94"/>
  <c r="N27" i="94"/>
  <c r="N26" i="94"/>
  <c r="N25" i="94"/>
  <c r="N24" i="94"/>
  <c r="N23" i="94"/>
  <c r="Q22" i="94"/>
  <c r="N22" i="94"/>
  <c r="Q21" i="94"/>
  <c r="N21" i="94"/>
  <c r="Q20" i="94"/>
  <c r="N20" i="94"/>
  <c r="N17" i="94"/>
  <c r="N16" i="94"/>
  <c r="N15" i="94"/>
  <c r="N14" i="94"/>
  <c r="N13" i="94"/>
  <c r="N12" i="94"/>
  <c r="N11" i="94"/>
  <c r="N10" i="94"/>
  <c r="N9" i="94"/>
  <c r="N8" i="94"/>
  <c r="N31" i="95"/>
  <c r="N30" i="95"/>
  <c r="N29" i="95"/>
  <c r="N28" i="95"/>
  <c r="N27" i="95"/>
  <c r="N26" i="95"/>
  <c r="N25" i="95"/>
  <c r="N24" i="95"/>
  <c r="N23" i="95"/>
  <c r="Q22" i="95"/>
  <c r="N22" i="95"/>
  <c r="Q21" i="95"/>
  <c r="N21" i="95"/>
  <c r="Q20" i="95"/>
  <c r="N20" i="95"/>
  <c r="N17" i="95"/>
  <c r="N16" i="95"/>
  <c r="N15" i="95"/>
  <c r="N14" i="95"/>
  <c r="N13" i="95"/>
  <c r="N12" i="95"/>
  <c r="N11" i="95"/>
  <c r="N10" i="95"/>
  <c r="N9" i="95"/>
  <c r="N8" i="95"/>
  <c r="N9" i="96"/>
  <c r="N8" i="97"/>
  <c r="N31" i="122"/>
  <c r="N30" i="122"/>
  <c r="N29" i="122"/>
  <c r="N28" i="122"/>
  <c r="N27" i="122"/>
  <c r="N26" i="122"/>
  <c r="N25" i="122"/>
  <c r="N24" i="122"/>
  <c r="N23" i="122"/>
  <c r="Q22" i="122"/>
  <c r="N22" i="122"/>
  <c r="Q21" i="122"/>
  <c r="N21" i="122"/>
  <c r="Q20" i="122"/>
  <c r="N20" i="122"/>
  <c r="N17" i="122"/>
  <c r="N16" i="122"/>
  <c r="N15" i="122"/>
  <c r="N14" i="122"/>
  <c r="N13" i="122"/>
  <c r="N12" i="122"/>
  <c r="N11" i="122"/>
  <c r="N10" i="122"/>
  <c r="N9" i="122"/>
  <c r="N8" i="122"/>
  <c r="Q21" i="96"/>
  <c r="Q22" i="96"/>
  <c r="Q20" i="96"/>
  <c r="N21" i="96"/>
  <c r="N22" i="96"/>
  <c r="N23" i="96"/>
  <c r="N24" i="96"/>
  <c r="N25" i="96"/>
  <c r="N26" i="96"/>
  <c r="N27" i="96"/>
  <c r="N28" i="96"/>
  <c r="N29" i="96"/>
  <c r="N30" i="96"/>
  <c r="N31" i="96"/>
  <c r="N20" i="96"/>
  <c r="N10" i="96"/>
  <c r="N11" i="96"/>
  <c r="N12" i="96"/>
  <c r="N13" i="96"/>
  <c r="N14" i="96"/>
  <c r="N15" i="96"/>
  <c r="N16" i="96"/>
  <c r="N17" i="96"/>
  <c r="N8" i="96"/>
  <c r="N31" i="97"/>
  <c r="N30" i="97"/>
  <c r="N29" i="97"/>
  <c r="N28" i="97"/>
  <c r="N27" i="97"/>
  <c r="N26" i="97"/>
  <c r="N25" i="97"/>
  <c r="N24" i="97"/>
  <c r="N23" i="97"/>
  <c r="Q22" i="97"/>
  <c r="N22" i="97"/>
  <c r="Q21" i="97"/>
  <c r="N21" i="97"/>
  <c r="Q20" i="97"/>
  <c r="N20" i="97"/>
  <c r="N17" i="97"/>
  <c r="N16" i="97"/>
  <c r="N15" i="97"/>
  <c r="N14" i="97"/>
  <c r="N13" i="97"/>
  <c r="N12" i="97"/>
  <c r="N11" i="97"/>
  <c r="N10" i="97"/>
  <c r="N9" i="97"/>
  <c r="N34" i="99"/>
  <c r="N33" i="99"/>
  <c r="N32" i="99"/>
  <c r="N31" i="99"/>
  <c r="N30" i="99"/>
  <c r="N29" i="99"/>
  <c r="N28" i="99"/>
  <c r="N27" i="99"/>
  <c r="N26" i="99"/>
  <c r="N25" i="99"/>
  <c r="N24" i="99"/>
  <c r="N23" i="99"/>
  <c r="Q22" i="99"/>
  <c r="N22" i="99"/>
  <c r="Q21" i="99"/>
  <c r="N21" i="99"/>
  <c r="Q20" i="99"/>
  <c r="N20" i="99"/>
  <c r="N17" i="99"/>
  <c r="N16" i="99"/>
  <c r="N15" i="99"/>
  <c r="N14" i="99"/>
  <c r="N13" i="99"/>
  <c r="N12" i="99"/>
  <c r="N11" i="99"/>
  <c r="N10" i="99"/>
  <c r="N9" i="99"/>
  <c r="N8" i="99"/>
  <c r="N31" i="100"/>
  <c r="N30" i="100"/>
  <c r="N29" i="100"/>
  <c r="N28" i="100"/>
  <c r="N27" i="100"/>
  <c r="N26" i="100"/>
  <c r="N25" i="100"/>
  <c r="N24" i="100"/>
  <c r="N23" i="100"/>
  <c r="Q22" i="100"/>
  <c r="N22" i="100"/>
  <c r="Q21" i="100"/>
  <c r="N21" i="100"/>
  <c r="Q20" i="100"/>
  <c r="N20" i="100"/>
  <c r="N17" i="100"/>
  <c r="N16" i="100"/>
  <c r="N15" i="100"/>
  <c r="N14" i="100"/>
  <c r="N13" i="100"/>
  <c r="N12" i="100"/>
  <c r="N11" i="100"/>
  <c r="N10" i="100"/>
  <c r="N9" i="100"/>
  <c r="N8" i="100"/>
  <c r="N31" i="102"/>
  <c r="N30" i="102"/>
  <c r="N29" i="102"/>
  <c r="N28" i="102"/>
  <c r="N27" i="102"/>
  <c r="N26" i="102"/>
  <c r="N25" i="102"/>
  <c r="N24" i="102"/>
  <c r="N23" i="102"/>
  <c r="Q22" i="102"/>
  <c r="N22" i="102"/>
  <c r="Q21" i="102"/>
  <c r="N21" i="102"/>
  <c r="Q20" i="102"/>
  <c r="N20" i="102"/>
  <c r="N17" i="102"/>
  <c r="N16" i="102"/>
  <c r="N15" i="102"/>
  <c r="N14" i="102"/>
  <c r="N13" i="102"/>
  <c r="N12" i="102"/>
  <c r="N11" i="102"/>
  <c r="N10" i="102"/>
  <c r="N9" i="102"/>
  <c r="N8" i="102"/>
  <c r="N44" i="103"/>
  <c r="N42" i="103"/>
  <c r="N39" i="103"/>
  <c r="N37" i="103"/>
  <c r="N34" i="103"/>
  <c r="N33" i="103"/>
  <c r="N32" i="103"/>
  <c r="N31" i="103"/>
  <c r="N28" i="103"/>
  <c r="N27" i="103"/>
  <c r="N26" i="103"/>
  <c r="N25" i="103"/>
  <c r="N24" i="103"/>
  <c r="N23" i="103"/>
  <c r="Q22" i="103"/>
  <c r="N22" i="103"/>
  <c r="Q21" i="103"/>
  <c r="N21" i="103"/>
  <c r="Q20" i="103"/>
  <c r="N20" i="103"/>
  <c r="N17" i="103"/>
  <c r="N16" i="103"/>
  <c r="N15" i="103"/>
  <c r="N14" i="103"/>
  <c r="N13" i="103"/>
  <c r="N12" i="103"/>
  <c r="N11" i="103"/>
  <c r="N10" i="103"/>
  <c r="N9" i="103"/>
  <c r="N8" i="103"/>
  <c r="N31" i="104"/>
  <c r="N30" i="104"/>
  <c r="N29" i="104"/>
  <c r="N28" i="104"/>
  <c r="N27" i="104"/>
  <c r="N26" i="104"/>
  <c r="N25" i="104"/>
  <c r="N24" i="104"/>
  <c r="N23" i="104"/>
  <c r="Q22" i="104"/>
  <c r="N22" i="104"/>
  <c r="Q21" i="104"/>
  <c r="N21" i="104"/>
  <c r="Q20" i="104"/>
  <c r="N20" i="104"/>
  <c r="N17" i="104"/>
  <c r="N16" i="104"/>
  <c r="N15" i="104"/>
  <c r="N14" i="104"/>
  <c r="N13" i="104"/>
  <c r="N12" i="104"/>
  <c r="N11" i="104"/>
  <c r="N10" i="104"/>
  <c r="N9" i="104"/>
  <c r="N8" i="104"/>
  <c r="N31" i="120"/>
  <c r="N30" i="120"/>
  <c r="N29" i="120"/>
  <c r="N28" i="120"/>
  <c r="N27" i="120"/>
  <c r="N26" i="120"/>
  <c r="N25" i="120"/>
  <c r="N24" i="120"/>
  <c r="N23" i="120"/>
  <c r="Q22" i="120"/>
  <c r="N22" i="120"/>
  <c r="Q21" i="120"/>
  <c r="N21" i="120"/>
  <c r="Q20" i="120"/>
  <c r="N20" i="120"/>
  <c r="N17" i="120"/>
  <c r="N16" i="120"/>
  <c r="N15" i="120"/>
  <c r="N14" i="120"/>
  <c r="N13" i="120"/>
  <c r="N12" i="120"/>
  <c r="N11" i="120"/>
  <c r="N10" i="120"/>
  <c r="N9" i="120"/>
  <c r="N8" i="120"/>
  <c r="N31" i="123"/>
  <c r="N30" i="123"/>
  <c r="N29" i="123"/>
  <c r="N28" i="123"/>
  <c r="N27" i="123"/>
  <c r="N26" i="123"/>
  <c r="N25" i="123"/>
  <c r="N24" i="123"/>
  <c r="N23" i="123"/>
  <c r="Q22" i="123"/>
  <c r="N22" i="123"/>
  <c r="Q21" i="123"/>
  <c r="N21" i="123"/>
  <c r="Q20" i="123"/>
  <c r="N20" i="123"/>
  <c r="N17" i="123"/>
  <c r="N16" i="123"/>
  <c r="N15" i="123"/>
  <c r="N14" i="123"/>
  <c r="N13" i="123"/>
  <c r="N12" i="123"/>
  <c r="N11" i="123"/>
  <c r="N10" i="123"/>
  <c r="N9" i="123"/>
  <c r="N8" i="123"/>
  <c r="Q21" i="110"/>
  <c r="Q22" i="110"/>
  <c r="Q20" i="110"/>
  <c r="N31" i="110"/>
  <c r="N30" i="110"/>
  <c r="N29" i="110"/>
  <c r="N28" i="110"/>
  <c r="N27" i="110"/>
  <c r="N26" i="110"/>
  <c r="N25" i="110"/>
  <c r="N24" i="110"/>
  <c r="N23" i="110"/>
  <c r="N22" i="110"/>
  <c r="N21" i="110"/>
  <c r="N20" i="110"/>
  <c r="N17" i="110"/>
  <c r="N16" i="110"/>
  <c r="N15" i="110"/>
  <c r="N14" i="110"/>
  <c r="N13" i="110"/>
  <c r="N12" i="110"/>
  <c r="N11" i="110"/>
  <c r="N10" i="110"/>
  <c r="N9" i="110"/>
  <c r="N8" i="110"/>
  <c r="Q21" i="111"/>
  <c r="Q22" i="111"/>
  <c r="Q20" i="111"/>
  <c r="N20" i="111"/>
  <c r="N31" i="111"/>
  <c r="N30" i="111"/>
  <c r="N29" i="111"/>
  <c r="N28" i="111"/>
  <c r="N27" i="111"/>
  <c r="N26" i="111"/>
  <c r="N25" i="111"/>
  <c r="N24" i="111"/>
  <c r="N23" i="111"/>
  <c r="N22" i="111"/>
  <c r="N21" i="111"/>
  <c r="N17" i="111"/>
  <c r="N16" i="111"/>
  <c r="N15" i="111"/>
  <c r="N14" i="111"/>
  <c r="N13" i="111"/>
  <c r="N12" i="111"/>
  <c r="N11" i="111"/>
  <c r="N10" i="111"/>
  <c r="N9" i="111"/>
  <c r="N8" i="111"/>
  <c r="Q21" i="112"/>
  <c r="Q22" i="112"/>
  <c r="Q20" i="112"/>
  <c r="N21" i="112"/>
  <c r="N22" i="112"/>
  <c r="N23" i="112"/>
  <c r="N24" i="112"/>
  <c r="N25" i="112"/>
  <c r="N26" i="112"/>
  <c r="N27" i="112"/>
  <c r="N28" i="112"/>
  <c r="N29" i="112"/>
  <c r="N30" i="112"/>
  <c r="N31" i="112"/>
  <c r="N32" i="112"/>
  <c r="N33" i="112"/>
  <c r="N34" i="112"/>
  <c r="N20" i="112"/>
  <c r="N9" i="112"/>
  <c r="N10" i="112"/>
  <c r="N11" i="112"/>
  <c r="N12" i="112"/>
  <c r="N13" i="112"/>
  <c r="N14" i="112"/>
  <c r="N15" i="112"/>
  <c r="N16" i="112"/>
  <c r="N17" i="112"/>
  <c r="N8" i="112"/>
  <c r="Q22" i="116"/>
  <c r="Q21" i="116"/>
  <c r="Q20" i="116"/>
  <c r="N21" i="116"/>
  <c r="N22" i="116"/>
  <c r="N23" i="116"/>
  <c r="N24" i="116"/>
  <c r="N25" i="116"/>
  <c r="N26" i="116"/>
  <c r="N27" i="116"/>
  <c r="N28" i="116"/>
  <c r="N29" i="116"/>
  <c r="N30" i="116"/>
  <c r="N31" i="116"/>
  <c r="N20" i="116"/>
  <c r="N9" i="116"/>
  <c r="N10" i="116"/>
  <c r="N11" i="116"/>
  <c r="N12" i="116"/>
  <c r="N13" i="116"/>
  <c r="N14" i="116"/>
  <c r="N15" i="116"/>
  <c r="N16" i="116"/>
  <c r="N17" i="116"/>
  <c r="N8" i="116"/>
  <c r="N8" i="114"/>
  <c r="V56" i="132" l="1"/>
  <c r="V65" i="132"/>
  <c r="V54" i="132"/>
  <c r="V55" i="132"/>
  <c r="V52" i="132"/>
  <c r="V53" i="132"/>
  <c r="V57" i="132"/>
  <c r="V74" i="132"/>
  <c r="V73" i="132"/>
  <c r="V72" i="132"/>
  <c r="V71" i="132"/>
  <c r="R20" i="110"/>
  <c r="R20" i="102"/>
  <c r="R20" i="96"/>
  <c r="R20" i="121"/>
  <c r="V91" i="132"/>
  <c r="V81" i="132"/>
  <c r="V90" i="132"/>
  <c r="V80" i="132"/>
  <c r="V40" i="132"/>
  <c r="V89" i="132"/>
  <c r="V79" i="132"/>
  <c r="V49" i="132"/>
  <c r="V39" i="132"/>
  <c r="V88" i="132"/>
  <c r="V78" i="132"/>
  <c r="V48" i="132"/>
  <c r="V38" i="132"/>
  <c r="V87" i="132"/>
  <c r="V77" i="132"/>
  <c r="V47" i="132"/>
  <c r="V37" i="132"/>
  <c r="V86" i="132"/>
  <c r="V67" i="132"/>
  <c r="V46" i="132"/>
  <c r="V36" i="132"/>
  <c r="V85" i="132"/>
  <c r="V45" i="132"/>
  <c r="V35" i="132"/>
  <c r="V41" i="132"/>
  <c r="V42" i="132"/>
  <c r="V34" i="132"/>
  <c r="V33" i="132"/>
  <c r="R21" i="116"/>
  <c r="R21" i="118"/>
  <c r="V15" i="123"/>
  <c r="V31" i="123"/>
  <c r="V14" i="123"/>
  <c r="V30" i="123"/>
  <c r="V13" i="123"/>
  <c r="V29" i="123"/>
  <c r="V12" i="123"/>
  <c r="V10" i="123"/>
  <c r="V28" i="123"/>
  <c r="V11" i="123"/>
  <c r="V27" i="123"/>
  <c r="V17" i="123"/>
  <c r="V16" i="123"/>
  <c r="V16" i="92"/>
  <c r="V15" i="92"/>
  <c r="V29" i="92"/>
  <c r="V31" i="92"/>
  <c r="V14" i="92"/>
  <c r="V12" i="92"/>
  <c r="V30" i="92"/>
  <c r="V13" i="92"/>
  <c r="V28" i="92"/>
  <c r="V11" i="92"/>
  <c r="V17" i="92"/>
  <c r="V27" i="92"/>
  <c r="V10" i="92"/>
  <c r="R22" i="116"/>
  <c r="R20" i="123"/>
  <c r="V32" i="120"/>
  <c r="V15" i="120"/>
  <c r="V31" i="120"/>
  <c r="V14" i="120"/>
  <c r="V28" i="120"/>
  <c r="V16" i="120"/>
  <c r="V30" i="120"/>
  <c r="V13" i="120"/>
  <c r="V29" i="120"/>
  <c r="V12" i="120"/>
  <c r="V11" i="120"/>
  <c r="V35" i="120"/>
  <c r="V27" i="120"/>
  <c r="V10" i="120"/>
  <c r="V36" i="120"/>
  <c r="V17" i="120"/>
  <c r="V9" i="120"/>
  <c r="V28" i="102"/>
  <c r="V11" i="102"/>
  <c r="V27" i="102"/>
  <c r="V10" i="102"/>
  <c r="V17" i="102"/>
  <c r="V15" i="102"/>
  <c r="V16" i="102"/>
  <c r="V12" i="102"/>
  <c r="V31" i="102"/>
  <c r="V14" i="102"/>
  <c r="V29" i="102"/>
  <c r="V30" i="102"/>
  <c r="V13" i="102"/>
  <c r="R21" i="97"/>
  <c r="R20" i="92"/>
  <c r="I5" i="70" s="1"/>
  <c r="V31" i="121"/>
  <c r="V14" i="121"/>
  <c r="V30" i="121"/>
  <c r="V13" i="121"/>
  <c r="V10" i="121"/>
  <c r="V17" i="121"/>
  <c r="V29" i="121"/>
  <c r="V12" i="121"/>
  <c r="V28" i="121"/>
  <c r="V11" i="121"/>
  <c r="V27" i="121"/>
  <c r="V15" i="121"/>
  <c r="V16" i="121"/>
  <c r="R22" i="91"/>
  <c r="R20" i="90"/>
  <c r="V32" i="117"/>
  <c r="V15" i="117"/>
  <c r="V31" i="117"/>
  <c r="V14" i="117"/>
  <c r="V10" i="117"/>
  <c r="V8" i="117"/>
  <c r="V30" i="117"/>
  <c r="V13" i="117"/>
  <c r="V11" i="117"/>
  <c r="V16" i="117"/>
  <c r="V29" i="117"/>
  <c r="V12" i="117"/>
  <c r="V28" i="117"/>
  <c r="V27" i="117"/>
  <c r="V35" i="117"/>
  <c r="V36" i="117"/>
  <c r="V17" i="117"/>
  <c r="V31" i="104"/>
  <c r="V14" i="104"/>
  <c r="V30" i="104"/>
  <c r="V13" i="104"/>
  <c r="V27" i="104"/>
  <c r="V29" i="104"/>
  <c r="V12" i="104"/>
  <c r="V10" i="104"/>
  <c r="V28" i="104"/>
  <c r="V11" i="104"/>
  <c r="V15" i="104"/>
  <c r="V17" i="104"/>
  <c r="V16" i="104"/>
  <c r="V16" i="100"/>
  <c r="V15" i="100"/>
  <c r="V29" i="100"/>
  <c r="V31" i="100"/>
  <c r="V14" i="100"/>
  <c r="V30" i="100"/>
  <c r="V13" i="100"/>
  <c r="V12" i="100"/>
  <c r="V17" i="100"/>
  <c r="V28" i="100"/>
  <c r="V11" i="100"/>
  <c r="V27" i="100"/>
  <c r="V10" i="100"/>
  <c r="V28" i="95"/>
  <c r="V11" i="95"/>
  <c r="V27" i="95"/>
  <c r="V10" i="95"/>
  <c r="V15" i="95"/>
  <c r="V12" i="95"/>
  <c r="V17" i="95"/>
  <c r="V29" i="95"/>
  <c r="V16" i="95"/>
  <c r="V31" i="95"/>
  <c r="V14" i="95"/>
  <c r="V30" i="95"/>
  <c r="V13" i="95"/>
  <c r="V10" i="99"/>
  <c r="V34" i="99"/>
  <c r="V17" i="99"/>
  <c r="V33" i="99"/>
  <c r="V16" i="99"/>
  <c r="V13" i="99"/>
  <c r="V32" i="99"/>
  <c r="V15" i="99"/>
  <c r="V30" i="99"/>
  <c r="V31" i="99"/>
  <c r="V14" i="99"/>
  <c r="V29" i="99"/>
  <c r="V12" i="99"/>
  <c r="V27" i="99"/>
  <c r="V28" i="99"/>
  <c r="V11" i="99"/>
  <c r="V29" i="94"/>
  <c r="V28" i="94"/>
  <c r="V15" i="94"/>
  <c r="V27" i="94"/>
  <c r="V16" i="94"/>
  <c r="V32" i="94"/>
  <c r="V34" i="94"/>
  <c r="V17" i="94"/>
  <c r="V9" i="94"/>
  <c r="V33" i="94"/>
  <c r="V30" i="94"/>
  <c r="V13" i="94"/>
  <c r="V31" i="94"/>
  <c r="V14" i="94"/>
  <c r="V31" i="91"/>
  <c r="V14" i="91"/>
  <c r="V30" i="91"/>
  <c r="V13" i="91"/>
  <c r="V10" i="91"/>
  <c r="V29" i="91"/>
  <c r="V12" i="91"/>
  <c r="V17" i="91"/>
  <c r="V28" i="91"/>
  <c r="V11" i="91"/>
  <c r="V27" i="91"/>
  <c r="V15" i="91"/>
  <c r="V16" i="91"/>
  <c r="R22" i="111"/>
  <c r="V31" i="103"/>
  <c r="V14" i="103"/>
  <c r="V30" i="103"/>
  <c r="V13" i="103"/>
  <c r="V39" i="103"/>
  <c r="V29" i="103"/>
  <c r="V12" i="103"/>
  <c r="V34" i="103"/>
  <c r="V38" i="103"/>
  <c r="V28" i="103"/>
  <c r="V11" i="103"/>
  <c r="V37" i="103"/>
  <c r="V27" i="103"/>
  <c r="V17" i="103"/>
  <c r="V33" i="103"/>
  <c r="V16" i="103"/>
  <c r="V44" i="103"/>
  <c r="V32" i="103"/>
  <c r="V15" i="103"/>
  <c r="V15" i="97"/>
  <c r="V31" i="97"/>
  <c r="V14" i="97"/>
  <c r="V30" i="97"/>
  <c r="V13" i="97"/>
  <c r="V28" i="97"/>
  <c r="V29" i="97"/>
  <c r="V12" i="97"/>
  <c r="V11" i="97"/>
  <c r="V16" i="97"/>
  <c r="V27" i="97"/>
  <c r="V10" i="97"/>
  <c r="V17" i="97"/>
  <c r="V30" i="89"/>
  <c r="V13" i="89"/>
  <c r="V28" i="89"/>
  <c r="V12" i="89"/>
  <c r="V27" i="89"/>
  <c r="V11" i="89"/>
  <c r="V29" i="89"/>
  <c r="V10" i="89"/>
  <c r="V17" i="89"/>
  <c r="V16" i="89"/>
  <c r="V14" i="89"/>
  <c r="V31" i="89"/>
  <c r="V15" i="89"/>
  <c r="V17" i="101"/>
  <c r="V9" i="101"/>
  <c r="V16" i="101"/>
  <c r="V30" i="101"/>
  <c r="V27" i="101"/>
  <c r="V15" i="101"/>
  <c r="V31" i="101"/>
  <c r="V14" i="101"/>
  <c r="V13" i="101"/>
  <c r="V29" i="101"/>
  <c r="V12" i="101"/>
  <c r="V10" i="101"/>
  <c r="V28" i="101"/>
  <c r="V11" i="101"/>
  <c r="V30" i="122"/>
  <c r="V13" i="122"/>
  <c r="V29" i="122"/>
  <c r="V12" i="122"/>
  <c r="V31" i="122"/>
  <c r="V28" i="122"/>
  <c r="V11" i="122"/>
  <c r="V17" i="122"/>
  <c r="V27" i="122"/>
  <c r="V10" i="122"/>
  <c r="V16" i="122"/>
  <c r="V14" i="122"/>
  <c r="V15" i="122"/>
  <c r="V28" i="93"/>
  <c r="V27" i="93"/>
  <c r="V10" i="93"/>
  <c r="V17" i="93"/>
  <c r="V31" i="93"/>
  <c r="V16" i="93"/>
  <c r="V13" i="93"/>
  <c r="V11" i="93"/>
  <c r="V15" i="93"/>
  <c r="V14" i="93"/>
  <c r="V30" i="93"/>
  <c r="V29" i="93"/>
  <c r="V12" i="93"/>
  <c r="R21" i="89"/>
  <c r="R22" i="94"/>
  <c r="R22" i="120"/>
  <c r="R22" i="117"/>
  <c r="R21" i="122"/>
  <c r="R21" i="93"/>
  <c r="R9" i="132"/>
  <c r="I7" i="133" s="1"/>
  <c r="R21" i="101"/>
  <c r="R20" i="120"/>
  <c r="R20" i="104"/>
  <c r="I30" i="68" s="1"/>
  <c r="R20" i="100"/>
  <c r="I8" i="39" s="1"/>
  <c r="R20" i="103"/>
  <c r="I29" i="68" s="1"/>
  <c r="R20" i="99"/>
  <c r="I7" i="39" s="1"/>
  <c r="R20" i="94"/>
  <c r="I7" i="70" s="1"/>
  <c r="R21" i="120"/>
  <c r="R21" i="104"/>
  <c r="R21" i="100"/>
  <c r="R21" i="95"/>
  <c r="O20" i="93"/>
  <c r="E6" i="70" s="1"/>
  <c r="R20" i="116"/>
  <c r="R21" i="94"/>
  <c r="R20" i="111"/>
  <c r="R22" i="97"/>
  <c r="R22" i="96"/>
  <c r="R20" i="95"/>
  <c r="I8" i="70" s="1"/>
  <c r="R21" i="92"/>
  <c r="R21" i="90"/>
  <c r="R22" i="89"/>
  <c r="R20" i="117"/>
  <c r="R22" i="112"/>
  <c r="R21" i="123"/>
  <c r="R21" i="102"/>
  <c r="R21" i="96"/>
  <c r="R22" i="122"/>
  <c r="R22" i="93"/>
  <c r="R21" i="121"/>
  <c r="R22" i="101"/>
  <c r="R22" i="90"/>
  <c r="R21" i="111"/>
  <c r="R22" i="110"/>
  <c r="R22" i="92"/>
  <c r="R20" i="91"/>
  <c r="R20" i="118"/>
  <c r="R21" i="117"/>
  <c r="R21" i="110"/>
  <c r="R22" i="123"/>
  <c r="R21" i="103"/>
  <c r="R22" i="102"/>
  <c r="R21" i="99"/>
  <c r="R22" i="121"/>
  <c r="R22" i="118"/>
  <c r="I28" i="68"/>
  <c r="I6" i="68"/>
  <c r="O20" i="123"/>
  <c r="R22" i="104"/>
  <c r="R22" i="100"/>
  <c r="R20" i="97"/>
  <c r="I6" i="39" s="1"/>
  <c r="R22" i="95"/>
  <c r="R21" i="91"/>
  <c r="R20" i="89"/>
  <c r="R22" i="103"/>
  <c r="R22" i="99"/>
  <c r="R20" i="122"/>
  <c r="R20" i="93"/>
  <c r="I6" i="70" s="1"/>
  <c r="R20" i="101"/>
  <c r="R13" i="132"/>
  <c r="R12" i="132"/>
  <c r="R10" i="132"/>
  <c r="R11" i="132"/>
  <c r="R20" i="15"/>
  <c r="R22" i="15"/>
  <c r="R21" i="15"/>
  <c r="O20" i="89"/>
  <c r="R20" i="112"/>
  <c r="O20" i="99"/>
  <c r="E7" i="39" s="1"/>
  <c r="O20" i="122"/>
  <c r="O20" i="94"/>
  <c r="E7" i="70" s="1"/>
  <c r="O20" i="121"/>
  <c r="R21" i="112"/>
  <c r="O20" i="102"/>
  <c r="O20" i="104"/>
  <c r="O20" i="100"/>
  <c r="E8" i="39" s="1"/>
  <c r="O20" i="97"/>
  <c r="E6" i="39" s="1"/>
  <c r="O20" i="91"/>
  <c r="O9" i="132"/>
  <c r="E7" i="133" s="1"/>
  <c r="O20" i="92"/>
  <c r="E5" i="70" s="1"/>
  <c r="O20" i="95"/>
  <c r="E8" i="70" s="1"/>
  <c r="O20" i="103"/>
  <c r="I26" i="68"/>
  <c r="V51" i="132" l="1"/>
  <c r="G10" i="133" s="1"/>
  <c r="I8" i="68"/>
  <c r="I7" i="68"/>
  <c r="E6" i="68"/>
  <c r="E28" i="68"/>
  <c r="I6" i="69"/>
  <c r="I6" i="133"/>
  <c r="I27" i="68"/>
  <c r="I5" i="68"/>
  <c r="E6" i="69"/>
  <c r="E6" i="133"/>
  <c r="E7" i="68"/>
  <c r="E29" i="68"/>
  <c r="I4" i="69"/>
  <c r="I4" i="133"/>
  <c r="E30" i="68"/>
  <c r="E8" i="68"/>
  <c r="E4" i="69"/>
  <c r="E4" i="133"/>
  <c r="I3" i="133"/>
  <c r="I3" i="69"/>
  <c r="N69" i="85"/>
  <c r="N70" i="85"/>
  <c r="N71" i="85"/>
  <c r="N72" i="85"/>
  <c r="N73" i="85"/>
  <c r="N74" i="85"/>
  <c r="N75" i="85"/>
  <c r="N68" i="85"/>
  <c r="N63" i="85"/>
  <c r="N64" i="85"/>
  <c r="N65" i="85"/>
  <c r="N54" i="85"/>
  <c r="N55" i="85"/>
  <c r="N56" i="85"/>
  <c r="N57" i="85"/>
  <c r="N58" i="85"/>
  <c r="N53" i="85"/>
  <c r="N47" i="85"/>
  <c r="N48" i="85"/>
  <c r="N49" i="85"/>
  <c r="N50" i="85"/>
  <c r="N46" i="85"/>
  <c r="N35" i="85"/>
  <c r="N36" i="85"/>
  <c r="N37" i="85"/>
  <c r="N38" i="85"/>
  <c r="N39" i="85"/>
  <c r="N40" i="85"/>
  <c r="N41" i="85"/>
  <c r="N42" i="85"/>
  <c r="N43" i="85"/>
  <c r="N34" i="85"/>
  <c r="N22" i="85"/>
  <c r="N23" i="85"/>
  <c r="N24" i="85"/>
  <c r="N25" i="85"/>
  <c r="N26" i="85"/>
  <c r="N27" i="85"/>
  <c r="N28" i="85"/>
  <c r="N29" i="85"/>
  <c r="N30" i="85"/>
  <c r="N21" i="85"/>
  <c r="N10" i="85"/>
  <c r="N11" i="85"/>
  <c r="N12" i="85"/>
  <c r="N13" i="85"/>
  <c r="N14" i="85"/>
  <c r="N15" i="85"/>
  <c r="N16" i="85"/>
  <c r="N17" i="85"/>
  <c r="N8" i="85"/>
  <c r="N8" i="86"/>
  <c r="Q13" i="85"/>
  <c r="Q12" i="85"/>
  <c r="Q11" i="85"/>
  <c r="Q10" i="85"/>
  <c r="N11" i="86"/>
  <c r="N69" i="86"/>
  <c r="N70" i="86"/>
  <c r="N71" i="86"/>
  <c r="N72" i="86"/>
  <c r="N73" i="86"/>
  <c r="N74" i="86"/>
  <c r="N75" i="86"/>
  <c r="N68" i="86"/>
  <c r="N63" i="86"/>
  <c r="N64" i="86"/>
  <c r="N65" i="86"/>
  <c r="N54" i="86"/>
  <c r="N55" i="86"/>
  <c r="N56" i="86"/>
  <c r="N57" i="86"/>
  <c r="N58" i="86"/>
  <c r="N53" i="86"/>
  <c r="N47" i="86"/>
  <c r="N48" i="86"/>
  <c r="N49" i="86"/>
  <c r="N50" i="86"/>
  <c r="N46" i="86"/>
  <c r="N35" i="86"/>
  <c r="N36" i="86"/>
  <c r="N37" i="86"/>
  <c r="N38" i="86"/>
  <c r="N39" i="86"/>
  <c r="N40" i="86"/>
  <c r="N41" i="86"/>
  <c r="N42" i="86"/>
  <c r="N43" i="86"/>
  <c r="N34" i="86"/>
  <c r="N22" i="86"/>
  <c r="N23" i="86"/>
  <c r="N24" i="86"/>
  <c r="N25" i="86"/>
  <c r="N26" i="86"/>
  <c r="N27" i="86"/>
  <c r="N28" i="86"/>
  <c r="N29" i="86"/>
  <c r="N30" i="86"/>
  <c r="N21" i="86"/>
  <c r="N10" i="86"/>
  <c r="N12" i="86"/>
  <c r="N13" i="86"/>
  <c r="N14" i="86"/>
  <c r="N15" i="86"/>
  <c r="N16" i="86"/>
  <c r="N17" i="86"/>
  <c r="N8" i="87"/>
  <c r="Q13" i="86"/>
  <c r="Q12" i="86"/>
  <c r="Q11" i="86"/>
  <c r="Q10" i="86"/>
  <c r="Q13" i="114"/>
  <c r="Q12" i="114"/>
  <c r="Q11" i="114"/>
  <c r="Q10" i="114"/>
  <c r="N82" i="114"/>
  <c r="N83" i="114"/>
  <c r="N84" i="114"/>
  <c r="N85" i="114"/>
  <c r="N86" i="114"/>
  <c r="N87" i="114"/>
  <c r="N88" i="114"/>
  <c r="N81" i="114"/>
  <c r="N78" i="114"/>
  <c r="N51" i="114"/>
  <c r="N52" i="114"/>
  <c r="N53" i="114"/>
  <c r="N54" i="114"/>
  <c r="N55" i="114"/>
  <c r="N50" i="114"/>
  <c r="N45" i="114"/>
  <c r="N46" i="114"/>
  <c r="N47" i="114"/>
  <c r="N44" i="114"/>
  <c r="N41" i="114"/>
  <c r="N40" i="114"/>
  <c r="N39" i="114"/>
  <c r="N38" i="114"/>
  <c r="N37" i="114"/>
  <c r="N36" i="114"/>
  <c r="N35" i="114"/>
  <c r="N34" i="114"/>
  <c r="N33" i="114"/>
  <c r="N32" i="114"/>
  <c r="N29" i="114"/>
  <c r="N28" i="114"/>
  <c r="N27" i="114"/>
  <c r="N26" i="114"/>
  <c r="N25" i="114"/>
  <c r="N24" i="114"/>
  <c r="N23" i="114"/>
  <c r="N22" i="114"/>
  <c r="N21" i="114"/>
  <c r="N20" i="114"/>
  <c r="N17" i="114"/>
  <c r="N16" i="114"/>
  <c r="N15" i="114"/>
  <c r="N14" i="114"/>
  <c r="N13" i="114"/>
  <c r="N12" i="114"/>
  <c r="N11" i="114"/>
  <c r="N10" i="114"/>
  <c r="N16" i="87"/>
  <c r="N93" i="87"/>
  <c r="N94" i="87"/>
  <c r="N95" i="87"/>
  <c r="N96" i="87"/>
  <c r="N97" i="87"/>
  <c r="N98" i="87"/>
  <c r="N99" i="87"/>
  <c r="N92" i="87"/>
  <c r="N88" i="87"/>
  <c r="N81" i="87"/>
  <c r="N82" i="87"/>
  <c r="N75" i="87"/>
  <c r="N76" i="87"/>
  <c r="N66" i="87"/>
  <c r="N67" i="87"/>
  <c r="N68" i="87"/>
  <c r="N69" i="87"/>
  <c r="N70" i="87"/>
  <c r="N65" i="87"/>
  <c r="N60" i="87"/>
  <c r="N61" i="87"/>
  <c r="N59" i="87"/>
  <c r="N54" i="87"/>
  <c r="N55" i="87"/>
  <c r="N53" i="87"/>
  <c r="N48" i="87"/>
  <c r="N49" i="87"/>
  <c r="N47" i="87"/>
  <c r="N35" i="87"/>
  <c r="N36" i="87"/>
  <c r="N37" i="87"/>
  <c r="N38" i="87"/>
  <c r="N39" i="87"/>
  <c r="N40" i="87"/>
  <c r="N41" i="87"/>
  <c r="N42" i="87"/>
  <c r="N43" i="87"/>
  <c r="N34" i="87"/>
  <c r="N22" i="87"/>
  <c r="N23" i="87"/>
  <c r="N24" i="87"/>
  <c r="N25" i="87"/>
  <c r="N26" i="87"/>
  <c r="N27" i="87"/>
  <c r="N28" i="87"/>
  <c r="N29" i="87"/>
  <c r="N30" i="87"/>
  <c r="N21" i="87"/>
  <c r="N10" i="87"/>
  <c r="N11" i="87"/>
  <c r="N12" i="87"/>
  <c r="N13" i="87"/>
  <c r="N14" i="87"/>
  <c r="N15" i="87"/>
  <c r="N17" i="87"/>
  <c r="N9" i="87"/>
  <c r="O9" i="87" l="1"/>
  <c r="Q10" i="87"/>
  <c r="Q11" i="87"/>
  <c r="Q12" i="87"/>
  <c r="Q13" i="87"/>
  <c r="Q9" i="87"/>
  <c r="E9" i="68" l="1"/>
  <c r="E31" i="68"/>
  <c r="R12" i="87"/>
  <c r="R9" i="87"/>
  <c r="I31" i="68" s="1"/>
  <c r="R13" i="87"/>
  <c r="R11" i="87"/>
  <c r="R10" i="87"/>
  <c r="C5" i="128"/>
  <c r="C72" i="37" a="1"/>
  <c r="C72" i="37" s="1"/>
  <c r="B72" i="37" l="1" a="1"/>
  <c r="B72" i="37" s="1"/>
  <c r="C73" i="37"/>
  <c r="D3" i="133" l="1"/>
  <c r="B2" i="15" l="1"/>
  <c r="B2" i="91"/>
  <c r="B2" i="89"/>
  <c r="B2" i="90"/>
  <c r="D8" i="133"/>
  <c r="S84" i="132"/>
  <c r="V84" i="132" s="1"/>
  <c r="V66" i="132"/>
  <c r="S66" i="132"/>
  <c r="T63" i="132"/>
  <c r="S63" i="132"/>
  <c r="V63" i="132" s="1"/>
  <c r="T62" i="132"/>
  <c r="S62" i="132"/>
  <c r="V62" i="132" s="1"/>
  <c r="V61" i="132"/>
  <c r="S61" i="132"/>
  <c r="S60" i="132"/>
  <c r="T30" i="132"/>
  <c r="V30" i="132" s="1"/>
  <c r="S30" i="132"/>
  <c r="T29" i="132"/>
  <c r="V29" i="132" s="1"/>
  <c r="S29" i="132"/>
  <c r="T28" i="132"/>
  <c r="S28" i="132"/>
  <c r="V28" i="132" s="1"/>
  <c r="T27" i="132"/>
  <c r="S27" i="132"/>
  <c r="V27" i="132" s="1"/>
  <c r="T26" i="132"/>
  <c r="S26" i="132"/>
  <c r="V26" i="132" s="1"/>
  <c r="T25" i="132"/>
  <c r="V25" i="132" s="1"/>
  <c r="S25" i="132"/>
  <c r="T24" i="132"/>
  <c r="V24" i="132" s="1"/>
  <c r="S24" i="132"/>
  <c r="S23" i="132"/>
  <c r="S22" i="132"/>
  <c r="S21" i="132"/>
  <c r="N77" i="132" l="1"/>
  <c r="E70" i="132"/>
  <c r="V44" i="132"/>
  <c r="G9" i="133" s="1"/>
  <c r="V76" i="132"/>
  <c r="G13" i="133" s="1"/>
  <c r="H13" i="133" s="1"/>
  <c r="V32" i="132"/>
  <c r="G8" i="133" s="1"/>
  <c r="V83" i="132"/>
  <c r="G14" i="133" s="1"/>
  <c r="N70" i="132" l="1"/>
  <c r="V70" i="132"/>
  <c r="V69" i="132" s="1"/>
  <c r="G12" i="133" s="1"/>
  <c r="D89" i="37"/>
  <c r="D88" i="37"/>
  <c r="C68" i="37" a="1"/>
  <c r="C68" i="37" s="1"/>
  <c r="N9" i="86"/>
  <c r="E9" i="85"/>
  <c r="E9" i="4"/>
  <c r="E9" i="107"/>
  <c r="N9" i="107" l="1"/>
  <c r="V33" i="107" s="1"/>
  <c r="V32" i="107" s="1"/>
  <c r="Q9" i="107"/>
  <c r="Q9" i="4"/>
  <c r="N9" i="4"/>
  <c r="Q9" i="85"/>
  <c r="N9" i="85"/>
  <c r="N9" i="114"/>
  <c r="Q9" i="114"/>
  <c r="Q9" i="86"/>
  <c r="P27" i="68"/>
  <c r="Q27" i="68"/>
  <c r="P31" i="68"/>
  <c r="Q31" i="68"/>
  <c r="P32" i="68"/>
  <c r="Q32" i="68"/>
  <c r="P33" i="68"/>
  <c r="Q33" i="68"/>
  <c r="P34" i="68"/>
  <c r="Q34" i="68"/>
  <c r="P35" i="68"/>
  <c r="Q35" i="68"/>
  <c r="P36" i="68"/>
  <c r="Q36" i="68"/>
  <c r="O36" i="68"/>
  <c r="O35" i="68"/>
  <c r="O34" i="68"/>
  <c r="O33" i="68"/>
  <c r="O32" i="68"/>
  <c r="O31" i="68"/>
  <c r="O27" i="68"/>
  <c r="O14" i="68"/>
  <c r="P18" i="68"/>
  <c r="Q18" i="68"/>
  <c r="P9" i="68"/>
  <c r="Q9" i="68"/>
  <c r="P10" i="68"/>
  <c r="Q10" i="68"/>
  <c r="P11" i="68"/>
  <c r="Q11" i="68"/>
  <c r="P12" i="68"/>
  <c r="Q12" i="68"/>
  <c r="P13" i="68"/>
  <c r="Q13" i="68"/>
  <c r="P14" i="68"/>
  <c r="Q14" i="68"/>
  <c r="O18" i="68"/>
  <c r="O13" i="68"/>
  <c r="O12" i="68"/>
  <c r="O11" i="68"/>
  <c r="O10" i="68"/>
  <c r="O9" i="68"/>
  <c r="P5" i="68"/>
  <c r="Q5" i="68"/>
  <c r="O5" i="68"/>
  <c r="P18" i="39"/>
  <c r="Q18" i="39"/>
  <c r="P9" i="39"/>
  <c r="Q9" i="39"/>
  <c r="P10" i="39"/>
  <c r="Q10" i="39"/>
  <c r="P11" i="39"/>
  <c r="Q11" i="39"/>
  <c r="P12" i="39"/>
  <c r="Q12" i="39"/>
  <c r="P13" i="39"/>
  <c r="Q13" i="39"/>
  <c r="P14" i="39"/>
  <c r="Q14" i="39"/>
  <c r="O10" i="39"/>
  <c r="O11" i="39"/>
  <c r="O12" i="39"/>
  <c r="O13" i="39"/>
  <c r="O14" i="39"/>
  <c r="O18" i="39"/>
  <c r="O9" i="39"/>
  <c r="O5" i="39"/>
  <c r="P5" i="39"/>
  <c r="Q5" i="39"/>
  <c r="O5" i="70"/>
  <c r="O14" i="70"/>
  <c r="P9" i="70"/>
  <c r="Q9" i="70"/>
  <c r="P10" i="70"/>
  <c r="Q10" i="70"/>
  <c r="P11" i="70"/>
  <c r="Q11" i="70"/>
  <c r="P12" i="70"/>
  <c r="Q12" i="70"/>
  <c r="P13" i="70"/>
  <c r="Q13" i="70"/>
  <c r="P14" i="70"/>
  <c r="Q14" i="70"/>
  <c r="O13" i="70"/>
  <c r="O12" i="70"/>
  <c r="O11" i="70"/>
  <c r="O10" i="70"/>
  <c r="O9" i="70"/>
  <c r="Q3" i="70"/>
  <c r="P5" i="70"/>
  <c r="V63" i="114" l="1"/>
  <c r="V62" i="114"/>
  <c r="V61" i="114"/>
  <c r="V64" i="114"/>
  <c r="V77" i="114"/>
  <c r="V59" i="114"/>
  <c r="V60" i="114"/>
  <c r="V58" i="114"/>
  <c r="V65" i="114"/>
  <c r="V76" i="114"/>
  <c r="V75" i="114"/>
  <c r="V74" i="114"/>
  <c r="O9" i="114"/>
  <c r="E10" i="115" s="1"/>
  <c r="O9" i="4"/>
  <c r="V70" i="4"/>
  <c r="V69" i="4"/>
  <c r="V46" i="4"/>
  <c r="V36" i="4"/>
  <c r="V25" i="4"/>
  <c r="V68" i="4"/>
  <c r="V56" i="4"/>
  <c r="V43" i="4"/>
  <c r="V35" i="4"/>
  <c r="V24" i="4"/>
  <c r="V73" i="4"/>
  <c r="V40" i="4"/>
  <c r="V47" i="4"/>
  <c r="V75" i="4"/>
  <c r="V65" i="4"/>
  <c r="V55" i="4"/>
  <c r="V42" i="4"/>
  <c r="V34" i="4"/>
  <c r="V63" i="4"/>
  <c r="V29" i="4"/>
  <c r="V26" i="4"/>
  <c r="V74" i="4"/>
  <c r="V64" i="4"/>
  <c r="V41" i="4"/>
  <c r="V30" i="4"/>
  <c r="V50" i="4"/>
  <c r="V58" i="4"/>
  <c r="V37" i="4"/>
  <c r="V72" i="4"/>
  <c r="V62" i="4"/>
  <c r="V49" i="4"/>
  <c r="V39" i="4"/>
  <c r="V28" i="4"/>
  <c r="V71" i="4"/>
  <c r="V48" i="4"/>
  <c r="V38" i="4"/>
  <c r="V27" i="4"/>
  <c r="R9" i="114"/>
  <c r="R10" i="114"/>
  <c r="R11" i="114"/>
  <c r="R12" i="114"/>
  <c r="R13" i="114"/>
  <c r="R13" i="107"/>
  <c r="R9" i="107"/>
  <c r="I57" i="66" s="1"/>
  <c r="J57" i="66" s="1"/>
  <c r="R11" i="107"/>
  <c r="R10" i="107"/>
  <c r="R12" i="107"/>
  <c r="R12" i="85"/>
  <c r="R10" i="85"/>
  <c r="R11" i="85"/>
  <c r="R13" i="85"/>
  <c r="R9" i="85"/>
  <c r="R9" i="4"/>
  <c r="J9" i="141" s="1"/>
  <c r="J8" i="141" s="1"/>
  <c r="R13" i="4"/>
  <c r="R12" i="4"/>
  <c r="R11" i="4"/>
  <c r="R10" i="4"/>
  <c r="R13" i="86"/>
  <c r="R9" i="86"/>
  <c r="R10" i="86"/>
  <c r="R11" i="86"/>
  <c r="R12" i="86"/>
  <c r="P18" i="70"/>
  <c r="O18" i="70"/>
  <c r="Q18" i="70"/>
  <c r="V22" i="132"/>
  <c r="V21" i="132"/>
  <c r="V23" i="132"/>
  <c r="V57" i="114" l="1"/>
  <c r="G14" i="115" s="1"/>
  <c r="H14" i="115" s="1"/>
  <c r="J7" i="141"/>
  <c r="K8" i="141"/>
  <c r="V60" i="132"/>
  <c r="V59" i="132" s="1"/>
  <c r="G11" i="133" s="1"/>
  <c r="H11" i="133" s="1"/>
  <c r="E7" i="69"/>
  <c r="I7" i="69"/>
  <c r="V20" i="132"/>
  <c r="N99" i="107"/>
  <c r="N98" i="107"/>
  <c r="N97" i="107"/>
  <c r="N96" i="107"/>
  <c r="N95" i="107"/>
  <c r="N94" i="107"/>
  <c r="N93" i="107"/>
  <c r="N92" i="107"/>
  <c r="N88" i="107"/>
  <c r="N87" i="107"/>
  <c r="N86" i="107"/>
  <c r="N85" i="107"/>
  <c r="V93" i="132" l="1"/>
  <c r="O20" i="111"/>
  <c r="E7" i="115" s="1"/>
  <c r="G7" i="133"/>
  <c r="D75" i="66"/>
  <c r="L75" i="66" a="1"/>
  <c r="L75" i="66" s="1"/>
  <c r="L10" i="70" a="1"/>
  <c r="L10" i="70" s="1"/>
  <c r="L9" i="70" a="1"/>
  <c r="L9" i="70" s="1"/>
  <c r="T10" i="99"/>
  <c r="M3" i="141" l="1"/>
  <c r="V88" i="114"/>
  <c r="V87" i="114"/>
  <c r="V86" i="114"/>
  <c r="V85" i="114"/>
  <c r="V84" i="114"/>
  <c r="V83" i="114"/>
  <c r="V82" i="114"/>
  <c r="V81" i="114"/>
  <c r="V78" i="114"/>
  <c r="V73" i="114" s="1"/>
  <c r="G16" i="115" s="1"/>
  <c r="H16" i="115" s="1"/>
  <c r="V47" i="114"/>
  <c r="V46" i="114"/>
  <c r="V45" i="114"/>
  <c r="V44" i="114"/>
  <c r="V31" i="116"/>
  <c r="V30" i="116"/>
  <c r="V29" i="116"/>
  <c r="V28" i="116"/>
  <c r="V27" i="116"/>
  <c r="V34" i="112"/>
  <c r="V33" i="112"/>
  <c r="V32" i="112"/>
  <c r="V31" i="112"/>
  <c r="V28" i="112"/>
  <c r="V27" i="112"/>
  <c r="V31" i="111"/>
  <c r="V30" i="111"/>
  <c r="V29" i="111"/>
  <c r="V28" i="111"/>
  <c r="V27" i="111"/>
  <c r="V31" i="110"/>
  <c r="V30" i="110"/>
  <c r="V29" i="110"/>
  <c r="V28" i="110"/>
  <c r="V27" i="110"/>
  <c r="S16" i="120"/>
  <c r="T16" i="120"/>
  <c r="V75" i="87"/>
  <c r="V76" i="87"/>
  <c r="V48" i="87"/>
  <c r="V49" i="87"/>
  <c r="V47" i="87"/>
  <c r="V99" i="87"/>
  <c r="V98" i="87"/>
  <c r="V97" i="87"/>
  <c r="V96" i="87"/>
  <c r="V95" i="87"/>
  <c r="V94" i="87"/>
  <c r="V93" i="87"/>
  <c r="V92" i="87"/>
  <c r="V88" i="87"/>
  <c r="V61" i="87"/>
  <c r="V60" i="87"/>
  <c r="V59" i="87"/>
  <c r="S16" i="101"/>
  <c r="T16" i="101"/>
  <c r="V75" i="86"/>
  <c r="V74" i="86"/>
  <c r="V73" i="86"/>
  <c r="V72" i="86"/>
  <c r="V71" i="86"/>
  <c r="V70" i="86"/>
  <c r="V69" i="86"/>
  <c r="V68" i="86"/>
  <c r="V65" i="86"/>
  <c r="V64" i="86"/>
  <c r="V63" i="86"/>
  <c r="V50" i="86"/>
  <c r="V49" i="86"/>
  <c r="V48" i="86"/>
  <c r="V47" i="86"/>
  <c r="V46" i="86"/>
  <c r="V43" i="86"/>
  <c r="V42" i="86"/>
  <c r="V41" i="86"/>
  <c r="V40" i="86"/>
  <c r="V39" i="86"/>
  <c r="V38" i="86"/>
  <c r="V37" i="86"/>
  <c r="V36" i="86"/>
  <c r="V35" i="86"/>
  <c r="V34" i="86"/>
  <c r="V31" i="96"/>
  <c r="V30" i="96"/>
  <c r="V27" i="96"/>
  <c r="V36" i="118"/>
  <c r="V32" i="118"/>
  <c r="V31" i="118"/>
  <c r="V30" i="118"/>
  <c r="V8" i="118"/>
  <c r="S16" i="118"/>
  <c r="T16" i="118"/>
  <c r="V16" i="118" s="1"/>
  <c r="V75" i="85"/>
  <c r="V74" i="85"/>
  <c r="V73" i="85"/>
  <c r="V72" i="85"/>
  <c r="V71" i="85"/>
  <c r="V70" i="85"/>
  <c r="V69" i="85"/>
  <c r="V68" i="85"/>
  <c r="V65" i="85"/>
  <c r="V64" i="85"/>
  <c r="V63" i="85"/>
  <c r="V58" i="85"/>
  <c r="V50" i="85"/>
  <c r="V49" i="85"/>
  <c r="V48" i="85"/>
  <c r="V47" i="85"/>
  <c r="V46" i="85"/>
  <c r="S15" i="117"/>
  <c r="T15" i="117"/>
  <c r="S16" i="117"/>
  <c r="T16" i="117"/>
  <c r="V32" i="90"/>
  <c r="V31" i="90"/>
  <c r="V30" i="90"/>
  <c r="V27" i="90"/>
  <c r="V12" i="90"/>
  <c r="S16" i="15"/>
  <c r="T16" i="15"/>
  <c r="V99" i="107"/>
  <c r="V98" i="107"/>
  <c r="V97" i="107"/>
  <c r="V96" i="107"/>
  <c r="V95" i="107"/>
  <c r="V94" i="107"/>
  <c r="V93" i="107"/>
  <c r="V88" i="107"/>
  <c r="V87" i="107"/>
  <c r="V86" i="107"/>
  <c r="V85" i="107"/>
  <c r="V80" i="107"/>
  <c r="V71" i="107"/>
  <c r="V70" i="107"/>
  <c r="V69" i="107"/>
  <c r="V68" i="107"/>
  <c r="V67" i="107"/>
  <c r="V54" i="114"/>
  <c r="V51" i="114"/>
  <c r="S11" i="116"/>
  <c r="V11" i="116" s="1"/>
  <c r="T11" i="116"/>
  <c r="S12" i="116"/>
  <c r="V12" i="116" s="1"/>
  <c r="T12" i="116"/>
  <c r="S13" i="116"/>
  <c r="V13" i="116" s="1"/>
  <c r="T13" i="116"/>
  <c r="S14" i="116"/>
  <c r="V14" i="116" s="1"/>
  <c r="T14" i="116"/>
  <c r="S15" i="116"/>
  <c r="V15" i="116" s="1"/>
  <c r="T15" i="116"/>
  <c r="S16" i="116"/>
  <c r="V16" i="116" s="1"/>
  <c r="T16" i="116"/>
  <c r="S17" i="116"/>
  <c r="T17" i="116"/>
  <c r="V17" i="116" s="1"/>
  <c r="T10" i="116"/>
  <c r="V10" i="116" s="1"/>
  <c r="S10" i="116"/>
  <c r="V9" i="116"/>
  <c r="S9" i="116"/>
  <c r="S10" i="112"/>
  <c r="V10" i="112"/>
  <c r="V9" i="112"/>
  <c r="S9" i="112"/>
  <c r="S11" i="111"/>
  <c r="V11" i="111" s="1"/>
  <c r="T11" i="111"/>
  <c r="S12" i="111"/>
  <c r="V12" i="111" s="1"/>
  <c r="T12" i="111"/>
  <c r="S13" i="111"/>
  <c r="V13" i="111" s="1"/>
  <c r="T13" i="111"/>
  <c r="S14" i="111"/>
  <c r="V14" i="111" s="1"/>
  <c r="T14" i="111"/>
  <c r="S15" i="111"/>
  <c r="V15" i="111" s="1"/>
  <c r="T15" i="111"/>
  <c r="S16" i="111"/>
  <c r="V16" i="111" s="1"/>
  <c r="T16" i="111"/>
  <c r="S17" i="111"/>
  <c r="T17" i="111"/>
  <c r="V17" i="111" s="1"/>
  <c r="T10" i="111"/>
  <c r="V10" i="111" s="1"/>
  <c r="S10" i="111"/>
  <c r="V9" i="111"/>
  <c r="S9" i="111"/>
  <c r="S11" i="110"/>
  <c r="V11" i="110" s="1"/>
  <c r="T11" i="110"/>
  <c r="S12" i="110"/>
  <c r="V12" i="110" s="1"/>
  <c r="T12" i="110"/>
  <c r="S13" i="110"/>
  <c r="V13" i="110" s="1"/>
  <c r="T13" i="110"/>
  <c r="S14" i="110"/>
  <c r="V14" i="110" s="1"/>
  <c r="T14" i="110"/>
  <c r="S15" i="110"/>
  <c r="V15" i="110" s="1"/>
  <c r="T15" i="110"/>
  <c r="S16" i="110"/>
  <c r="V16" i="110" s="1"/>
  <c r="T16" i="110"/>
  <c r="S17" i="110"/>
  <c r="T17" i="110"/>
  <c r="V17" i="110" s="1"/>
  <c r="T10" i="110"/>
  <c r="V10" i="110" s="1"/>
  <c r="S10" i="110"/>
  <c r="V9" i="110"/>
  <c r="S9" i="110"/>
  <c r="S28" i="120"/>
  <c r="S11" i="123"/>
  <c r="T11" i="123"/>
  <c r="S12" i="123"/>
  <c r="T12" i="123"/>
  <c r="S13" i="123"/>
  <c r="T13" i="123"/>
  <c r="S14" i="123"/>
  <c r="T14" i="123"/>
  <c r="S15" i="123"/>
  <c r="T15" i="123"/>
  <c r="S16" i="123"/>
  <c r="T16" i="123"/>
  <c r="S17" i="123"/>
  <c r="T17" i="123"/>
  <c r="T10" i="123"/>
  <c r="S10" i="123"/>
  <c r="V9" i="123"/>
  <c r="S9" i="123"/>
  <c r="V8" i="120"/>
  <c r="S8" i="120"/>
  <c r="V69" i="87"/>
  <c r="V66" i="87"/>
  <c r="T17" i="104"/>
  <c r="S17" i="104"/>
  <c r="T16" i="104"/>
  <c r="S16" i="104"/>
  <c r="T15" i="104"/>
  <c r="S15" i="104"/>
  <c r="T14" i="104"/>
  <c r="S14" i="104"/>
  <c r="T13" i="104"/>
  <c r="S13" i="104"/>
  <c r="T12" i="104"/>
  <c r="S12" i="104"/>
  <c r="T11" i="104"/>
  <c r="S11" i="104"/>
  <c r="T10" i="104"/>
  <c r="S10" i="104"/>
  <c r="V9" i="104"/>
  <c r="S9" i="104"/>
  <c r="S10" i="103"/>
  <c r="V10" i="103"/>
  <c r="T17" i="103"/>
  <c r="S17" i="103"/>
  <c r="T16" i="103"/>
  <c r="S16" i="103"/>
  <c r="T15" i="103"/>
  <c r="S15" i="103"/>
  <c r="T14" i="103"/>
  <c r="S14" i="103"/>
  <c r="T13" i="103"/>
  <c r="S13" i="103"/>
  <c r="T12" i="103"/>
  <c r="S12" i="103"/>
  <c r="T11" i="103"/>
  <c r="S11" i="103"/>
  <c r="V9" i="103"/>
  <c r="S9" i="103"/>
  <c r="T17" i="102"/>
  <c r="S17" i="102"/>
  <c r="T16" i="102"/>
  <c r="S16" i="102"/>
  <c r="T15" i="102"/>
  <c r="S15" i="102"/>
  <c r="T14" i="102"/>
  <c r="S14" i="102"/>
  <c r="T13" i="102"/>
  <c r="S13" i="102"/>
  <c r="T12" i="102"/>
  <c r="S12" i="102"/>
  <c r="T11" i="102"/>
  <c r="S11" i="102"/>
  <c r="T10" i="102"/>
  <c r="S10" i="102"/>
  <c r="V9" i="102"/>
  <c r="S9" i="102"/>
  <c r="V8" i="101"/>
  <c r="S11" i="100"/>
  <c r="T11" i="100"/>
  <c r="S12" i="100"/>
  <c r="T12" i="100"/>
  <c r="S13" i="100"/>
  <c r="T13" i="100"/>
  <c r="S14" i="100"/>
  <c r="T14" i="100"/>
  <c r="S15" i="100"/>
  <c r="T15" i="100"/>
  <c r="S16" i="100"/>
  <c r="T16" i="100"/>
  <c r="S17" i="100"/>
  <c r="T17" i="100"/>
  <c r="T10" i="100"/>
  <c r="S10" i="100"/>
  <c r="V9" i="100"/>
  <c r="S9" i="100"/>
  <c r="S11" i="99"/>
  <c r="T11" i="99"/>
  <c r="S12" i="99"/>
  <c r="T12" i="99"/>
  <c r="S13" i="99"/>
  <c r="T13" i="99"/>
  <c r="S14" i="99"/>
  <c r="T14" i="99"/>
  <c r="S15" i="99"/>
  <c r="T15" i="99"/>
  <c r="S16" i="99"/>
  <c r="T16" i="99"/>
  <c r="S17" i="99"/>
  <c r="T17" i="99"/>
  <c r="S10" i="99"/>
  <c r="V9" i="99"/>
  <c r="S9" i="99"/>
  <c r="S11" i="97"/>
  <c r="T11" i="97"/>
  <c r="S12" i="97"/>
  <c r="T12" i="97"/>
  <c r="S13" i="97"/>
  <c r="T13" i="97"/>
  <c r="S14" i="97"/>
  <c r="T14" i="97"/>
  <c r="S15" i="97"/>
  <c r="T15" i="97"/>
  <c r="S16" i="97"/>
  <c r="T16" i="97"/>
  <c r="S17" i="97"/>
  <c r="T17" i="97"/>
  <c r="T10" i="97"/>
  <c r="S10" i="97"/>
  <c r="V9" i="97"/>
  <c r="S9" i="97"/>
  <c r="S11" i="96"/>
  <c r="V11" i="96" s="1"/>
  <c r="T11" i="96"/>
  <c r="S12" i="96"/>
  <c r="V12" i="96" s="1"/>
  <c r="T12" i="96"/>
  <c r="S13" i="96"/>
  <c r="V13" i="96" s="1"/>
  <c r="T13" i="96"/>
  <c r="S14" i="96"/>
  <c r="V14" i="96" s="1"/>
  <c r="T14" i="96"/>
  <c r="S15" i="96"/>
  <c r="V15" i="96" s="1"/>
  <c r="T15" i="96"/>
  <c r="S16" i="96"/>
  <c r="V16" i="96" s="1"/>
  <c r="T16" i="96"/>
  <c r="S17" i="96"/>
  <c r="T17" i="96"/>
  <c r="V17" i="96" s="1"/>
  <c r="S10" i="96"/>
  <c r="T10" i="96"/>
  <c r="V10" i="96" s="1"/>
  <c r="V9" i="96"/>
  <c r="S9" i="96"/>
  <c r="S11" i="122"/>
  <c r="T11" i="122"/>
  <c r="S12" i="122"/>
  <c r="T12" i="122"/>
  <c r="S13" i="122"/>
  <c r="T13" i="122"/>
  <c r="S14" i="122"/>
  <c r="T14" i="122"/>
  <c r="S15" i="122"/>
  <c r="T15" i="122"/>
  <c r="S16" i="122"/>
  <c r="T16" i="122"/>
  <c r="S17" i="122"/>
  <c r="T17" i="122"/>
  <c r="T10" i="122"/>
  <c r="S10" i="122"/>
  <c r="V9" i="122"/>
  <c r="S9" i="122"/>
  <c r="S28" i="118"/>
  <c r="V28" i="118" s="1"/>
  <c r="S29" i="118"/>
  <c r="V29" i="118" s="1"/>
  <c r="S28" i="117"/>
  <c r="S11" i="118"/>
  <c r="V11" i="118" s="1"/>
  <c r="T11" i="118"/>
  <c r="S12" i="118"/>
  <c r="V12" i="118" s="1"/>
  <c r="T12" i="118"/>
  <c r="S13" i="118"/>
  <c r="V13" i="118" s="1"/>
  <c r="T13" i="118"/>
  <c r="S14" i="118"/>
  <c r="V14" i="118" s="1"/>
  <c r="T14" i="118"/>
  <c r="S15" i="118"/>
  <c r="V15" i="118" s="1"/>
  <c r="T15" i="118"/>
  <c r="S17" i="118"/>
  <c r="T17" i="118"/>
  <c r="V17" i="118" s="1"/>
  <c r="T10" i="118"/>
  <c r="S10" i="118"/>
  <c r="V10" i="118" s="1"/>
  <c r="V9" i="118"/>
  <c r="S9" i="118"/>
  <c r="V57" i="86"/>
  <c r="V54" i="86"/>
  <c r="V54" i="85"/>
  <c r="V9" i="95"/>
  <c r="V11" i="94"/>
  <c r="V10" i="94"/>
  <c r="V12" i="94"/>
  <c r="V9" i="93"/>
  <c r="V9" i="92"/>
  <c r="V9" i="121"/>
  <c r="V9" i="117"/>
  <c r="V54" i="4"/>
  <c r="V57" i="4"/>
  <c r="V9" i="91"/>
  <c r="V9" i="90"/>
  <c r="V9" i="89"/>
  <c r="V8" i="15"/>
  <c r="V79" i="107"/>
  <c r="V76" i="107"/>
  <c r="V57" i="85"/>
  <c r="T56" i="85"/>
  <c r="T55" i="85"/>
  <c r="S54" i="85"/>
  <c r="S55" i="85"/>
  <c r="V55" i="85" s="1"/>
  <c r="S56" i="85"/>
  <c r="V56" i="85" s="1"/>
  <c r="S57" i="85"/>
  <c r="S53" i="85"/>
  <c r="S35" i="85"/>
  <c r="V35" i="85" s="1"/>
  <c r="T35" i="85"/>
  <c r="S36" i="85"/>
  <c r="V36" i="85" s="1"/>
  <c r="T36" i="85"/>
  <c r="S37" i="85"/>
  <c r="T37" i="85"/>
  <c r="V37" i="85" s="1"/>
  <c r="S38" i="85"/>
  <c r="V38" i="85" s="1"/>
  <c r="T38" i="85"/>
  <c r="S39" i="85"/>
  <c r="T39" i="85"/>
  <c r="V39" i="85" s="1"/>
  <c r="S40" i="85"/>
  <c r="T40" i="85"/>
  <c r="V40" i="85" s="1"/>
  <c r="S41" i="85"/>
  <c r="T41" i="85"/>
  <c r="V41" i="85" s="1"/>
  <c r="S42" i="85"/>
  <c r="T42" i="85"/>
  <c r="V42" i="85" s="1"/>
  <c r="S43" i="85"/>
  <c r="T43" i="85"/>
  <c r="V43" i="85" s="1"/>
  <c r="T34" i="85"/>
  <c r="S34" i="85"/>
  <c r="V34" i="85" s="1"/>
  <c r="T25" i="85"/>
  <c r="V25" i="85" s="1"/>
  <c r="T26" i="85"/>
  <c r="T27" i="85"/>
  <c r="T28" i="85"/>
  <c r="T29" i="85"/>
  <c r="V29" i="85" s="1"/>
  <c r="T30" i="85"/>
  <c r="V30" i="85" s="1"/>
  <c r="T24" i="85"/>
  <c r="V24" i="85" s="1"/>
  <c r="S30" i="85"/>
  <c r="S22" i="85"/>
  <c r="S23" i="85"/>
  <c r="S24" i="85"/>
  <c r="S25" i="85"/>
  <c r="S26" i="85"/>
  <c r="V26" i="85" s="1"/>
  <c r="S27" i="85"/>
  <c r="V27" i="85" s="1"/>
  <c r="S28" i="85"/>
  <c r="V28" i="85" s="1"/>
  <c r="S29" i="85"/>
  <c r="S21" i="85"/>
  <c r="S11" i="95"/>
  <c r="T11" i="95"/>
  <c r="S12" i="95"/>
  <c r="T12" i="95"/>
  <c r="S13" i="95"/>
  <c r="T13" i="95"/>
  <c r="S14" i="95"/>
  <c r="T14" i="95"/>
  <c r="S15" i="95"/>
  <c r="T15" i="95"/>
  <c r="S16" i="95"/>
  <c r="T16" i="95"/>
  <c r="T10" i="95"/>
  <c r="S10" i="95"/>
  <c r="S9" i="95"/>
  <c r="S14" i="94"/>
  <c r="T14" i="94"/>
  <c r="S15" i="94"/>
  <c r="T15" i="94"/>
  <c r="S16" i="94"/>
  <c r="T16" i="94"/>
  <c r="T13" i="94"/>
  <c r="S13" i="94"/>
  <c r="T9" i="94"/>
  <c r="S9" i="94"/>
  <c r="S11" i="94"/>
  <c r="S12" i="94"/>
  <c r="S10" i="94"/>
  <c r="S11" i="93"/>
  <c r="T11" i="93"/>
  <c r="S12" i="93"/>
  <c r="T12" i="93"/>
  <c r="S13" i="93"/>
  <c r="T13" i="93"/>
  <c r="S14" i="93"/>
  <c r="T14" i="93"/>
  <c r="S15" i="93"/>
  <c r="T15" i="93"/>
  <c r="S16" i="93"/>
  <c r="T16" i="93"/>
  <c r="T10" i="93"/>
  <c r="S10" i="93"/>
  <c r="S9" i="93"/>
  <c r="S11" i="92"/>
  <c r="T11" i="92"/>
  <c r="S12" i="92"/>
  <c r="T12" i="92"/>
  <c r="S13" i="92"/>
  <c r="T13" i="92"/>
  <c r="S14" i="92"/>
  <c r="T14" i="92"/>
  <c r="S15" i="92"/>
  <c r="T15" i="92"/>
  <c r="S16" i="92"/>
  <c r="T16" i="92"/>
  <c r="T10" i="92"/>
  <c r="S10" i="92"/>
  <c r="S9" i="92"/>
  <c r="S11" i="121"/>
  <c r="T11" i="121"/>
  <c r="S12" i="121"/>
  <c r="T12" i="121"/>
  <c r="S13" i="121"/>
  <c r="T13" i="121"/>
  <c r="S14" i="121"/>
  <c r="T14" i="121"/>
  <c r="S15" i="121"/>
  <c r="T15" i="121"/>
  <c r="S16" i="121"/>
  <c r="T16" i="121"/>
  <c r="S10" i="121"/>
  <c r="T10" i="121"/>
  <c r="S9" i="121"/>
  <c r="S9" i="117"/>
  <c r="S10" i="117"/>
  <c r="T10" i="117"/>
  <c r="S11" i="117"/>
  <c r="T11" i="117"/>
  <c r="S12" i="117"/>
  <c r="T12" i="117"/>
  <c r="S13" i="117"/>
  <c r="T13" i="117"/>
  <c r="S14" i="117"/>
  <c r="T14" i="117"/>
  <c r="T78" i="107"/>
  <c r="T77" i="107"/>
  <c r="S76" i="107"/>
  <c r="S77" i="107"/>
  <c r="V77" i="107" s="1"/>
  <c r="S78" i="107"/>
  <c r="V78" i="107" s="1"/>
  <c r="S79" i="107"/>
  <c r="S75" i="107"/>
  <c r="T63" i="107"/>
  <c r="V63" i="107" s="1"/>
  <c r="S63" i="107"/>
  <c r="T62" i="107"/>
  <c r="V62" i="107" s="1"/>
  <c r="S62" i="107"/>
  <c r="T61" i="107"/>
  <c r="V61" i="107" s="1"/>
  <c r="S61" i="107"/>
  <c r="T60" i="107"/>
  <c r="V60" i="107" s="1"/>
  <c r="S60" i="107"/>
  <c r="T59" i="107"/>
  <c r="V59" i="107" s="1"/>
  <c r="S59" i="107"/>
  <c r="T58" i="107"/>
  <c r="S58" i="107"/>
  <c r="V58" i="107" s="1"/>
  <c r="T57" i="107"/>
  <c r="V57" i="107" s="1"/>
  <c r="S57" i="107"/>
  <c r="T56" i="107"/>
  <c r="S56" i="107"/>
  <c r="V56" i="107" s="1"/>
  <c r="T55" i="107"/>
  <c r="S55" i="107"/>
  <c r="V55" i="107" s="1"/>
  <c r="T54" i="107"/>
  <c r="S54" i="107"/>
  <c r="V54" i="107" s="1"/>
  <c r="S47" i="107"/>
  <c r="T47" i="107"/>
  <c r="V47" i="107" s="1"/>
  <c r="S48" i="107"/>
  <c r="T48" i="107"/>
  <c r="V48" i="107" s="1"/>
  <c r="S49" i="107"/>
  <c r="T49" i="107"/>
  <c r="V49" i="107" s="1"/>
  <c r="S50" i="107"/>
  <c r="T50" i="107"/>
  <c r="V50" i="107" s="1"/>
  <c r="S42" i="107"/>
  <c r="T42" i="107"/>
  <c r="V42" i="107" s="1"/>
  <c r="S43" i="107"/>
  <c r="V43" i="107" s="1"/>
  <c r="T43" i="107"/>
  <c r="S44" i="107"/>
  <c r="V44" i="107" s="1"/>
  <c r="T44" i="107"/>
  <c r="S45" i="107"/>
  <c r="V45" i="107" s="1"/>
  <c r="T45" i="107"/>
  <c r="S46" i="107"/>
  <c r="T46" i="107"/>
  <c r="V46" i="107" s="1"/>
  <c r="T41" i="107"/>
  <c r="V41" i="107" s="1"/>
  <c r="S41" i="107"/>
  <c r="T56" i="4"/>
  <c r="T55" i="4"/>
  <c r="S55" i="4"/>
  <c r="S54" i="4"/>
  <c r="S56" i="4"/>
  <c r="S57" i="4"/>
  <c r="S53" i="4"/>
  <c r="S21" i="4"/>
  <c r="S22" i="4"/>
  <c r="S23" i="4"/>
  <c r="S25" i="4"/>
  <c r="T25" i="4"/>
  <c r="S26" i="4"/>
  <c r="T26" i="4"/>
  <c r="S27" i="4"/>
  <c r="T27" i="4"/>
  <c r="S28" i="4"/>
  <c r="T28" i="4"/>
  <c r="S29" i="4"/>
  <c r="T29" i="4"/>
  <c r="S30" i="4"/>
  <c r="T30" i="4"/>
  <c r="T24" i="4"/>
  <c r="S24" i="4"/>
  <c r="S9" i="91"/>
  <c r="S11" i="91"/>
  <c r="T11" i="91"/>
  <c r="S12" i="91"/>
  <c r="T12" i="91"/>
  <c r="S13" i="91"/>
  <c r="T13" i="91"/>
  <c r="S14" i="91"/>
  <c r="T14" i="91"/>
  <c r="S15" i="91"/>
  <c r="T15" i="91"/>
  <c r="S16" i="91"/>
  <c r="T16" i="91"/>
  <c r="S17" i="91"/>
  <c r="T17" i="91"/>
  <c r="T10" i="91"/>
  <c r="S10" i="91"/>
  <c r="S9" i="90"/>
  <c r="S11" i="90"/>
  <c r="V11" i="90" s="1"/>
  <c r="T11" i="90"/>
  <c r="S12" i="90"/>
  <c r="T12" i="90"/>
  <c r="S13" i="90"/>
  <c r="V13" i="90" s="1"/>
  <c r="T13" i="90"/>
  <c r="S14" i="90"/>
  <c r="V14" i="90" s="1"/>
  <c r="T14" i="90"/>
  <c r="S15" i="90"/>
  <c r="V15" i="90" s="1"/>
  <c r="T15" i="90"/>
  <c r="S16" i="90"/>
  <c r="T16" i="90"/>
  <c r="V16" i="90" s="1"/>
  <c r="S17" i="90"/>
  <c r="T17" i="90"/>
  <c r="V17" i="90" s="1"/>
  <c r="T10" i="90"/>
  <c r="V10" i="90" s="1"/>
  <c r="S10" i="90"/>
  <c r="S9" i="89"/>
  <c r="S11" i="89"/>
  <c r="T11" i="89"/>
  <c r="S12" i="89"/>
  <c r="T12" i="89"/>
  <c r="S13" i="89"/>
  <c r="T13" i="89"/>
  <c r="S14" i="89"/>
  <c r="T14" i="89"/>
  <c r="S15" i="89"/>
  <c r="T15" i="89"/>
  <c r="S16" i="89"/>
  <c r="T16" i="89"/>
  <c r="S17" i="89"/>
  <c r="T17" i="89"/>
  <c r="T10" i="89"/>
  <c r="S10" i="89"/>
  <c r="T10" i="15"/>
  <c r="T11" i="15"/>
  <c r="T12" i="15"/>
  <c r="T13" i="15"/>
  <c r="T14" i="15"/>
  <c r="T15" i="15"/>
  <c r="T17" i="15"/>
  <c r="T9" i="15"/>
  <c r="S9" i="15"/>
  <c r="S10" i="15"/>
  <c r="S11" i="15"/>
  <c r="S12" i="15"/>
  <c r="S13" i="15"/>
  <c r="S14" i="15"/>
  <c r="S15" i="15"/>
  <c r="S17" i="15"/>
  <c r="S8" i="15"/>
  <c r="N28" i="15" l="1"/>
  <c r="T58" i="86" l="1"/>
  <c r="V58" i="86" s="1"/>
  <c r="S58" i="86"/>
  <c r="S57" i="86"/>
  <c r="T56" i="86"/>
  <c r="S56" i="86"/>
  <c r="V56" i="86" s="1"/>
  <c r="T55" i="86"/>
  <c r="S55" i="86"/>
  <c r="V55" i="86" s="1"/>
  <c r="S54" i="86"/>
  <c r="S53" i="86"/>
  <c r="T30" i="86"/>
  <c r="V30" i="86" s="1"/>
  <c r="S30" i="86"/>
  <c r="T29" i="86"/>
  <c r="V29" i="86" s="1"/>
  <c r="S29" i="86"/>
  <c r="T28" i="86"/>
  <c r="V28" i="86" s="1"/>
  <c r="S28" i="86"/>
  <c r="T27" i="86"/>
  <c r="V27" i="86" s="1"/>
  <c r="S27" i="86"/>
  <c r="T26" i="86"/>
  <c r="S26" i="86"/>
  <c r="V26" i="86" s="1"/>
  <c r="T25" i="86"/>
  <c r="S25" i="86"/>
  <c r="V25" i="86" s="1"/>
  <c r="T24" i="86"/>
  <c r="S24" i="86"/>
  <c r="V24" i="86" s="1"/>
  <c r="T23" i="86"/>
  <c r="V23" i="86" s="1"/>
  <c r="S23" i="86"/>
  <c r="T22" i="86"/>
  <c r="V22" i="86" s="1"/>
  <c r="S22" i="86"/>
  <c r="S21" i="86"/>
  <c r="T17" i="101"/>
  <c r="S17" i="101"/>
  <c r="T15" i="101"/>
  <c r="S15" i="101"/>
  <c r="T14" i="101"/>
  <c r="S14" i="101"/>
  <c r="T13" i="101"/>
  <c r="S13" i="101"/>
  <c r="T12" i="101"/>
  <c r="S12" i="101"/>
  <c r="T11" i="101"/>
  <c r="S11" i="101"/>
  <c r="T10" i="101"/>
  <c r="S10" i="101"/>
  <c r="T9" i="101"/>
  <c r="S9" i="101"/>
  <c r="S8" i="101"/>
  <c r="T70" i="87"/>
  <c r="V70" i="87" s="1"/>
  <c r="S70" i="87"/>
  <c r="S69" i="87"/>
  <c r="T68" i="87"/>
  <c r="S68" i="87"/>
  <c r="V68" i="87" s="1"/>
  <c r="T67" i="87"/>
  <c r="S67" i="87"/>
  <c r="V67" i="87" s="1"/>
  <c r="S66" i="87"/>
  <c r="S65" i="87"/>
  <c r="T43" i="87"/>
  <c r="V43" i="87" s="1"/>
  <c r="S43" i="87"/>
  <c r="T42" i="87"/>
  <c r="V42" i="87" s="1"/>
  <c r="S42" i="87"/>
  <c r="T41" i="87"/>
  <c r="V41" i="87" s="1"/>
  <c r="S41" i="87"/>
  <c r="T40" i="87"/>
  <c r="V40" i="87" s="1"/>
  <c r="S40" i="87"/>
  <c r="T39" i="87"/>
  <c r="S39" i="87"/>
  <c r="V39" i="87" s="1"/>
  <c r="T38" i="87"/>
  <c r="S38" i="87"/>
  <c r="V38" i="87" s="1"/>
  <c r="T37" i="87"/>
  <c r="S37" i="87"/>
  <c r="V37" i="87" s="1"/>
  <c r="T36" i="87"/>
  <c r="S36" i="87"/>
  <c r="V36" i="87" s="1"/>
  <c r="T35" i="87"/>
  <c r="S35" i="87"/>
  <c r="V35" i="87" s="1"/>
  <c r="T34" i="87"/>
  <c r="S34" i="87"/>
  <c r="V34" i="87" s="1"/>
  <c r="T30" i="87"/>
  <c r="V30" i="87" s="1"/>
  <c r="S30" i="87"/>
  <c r="T29" i="87"/>
  <c r="V29" i="87" s="1"/>
  <c r="S29" i="87"/>
  <c r="T28" i="87"/>
  <c r="V28" i="87" s="1"/>
  <c r="S28" i="87"/>
  <c r="T27" i="87"/>
  <c r="V27" i="87" s="1"/>
  <c r="S27" i="87"/>
  <c r="T26" i="87"/>
  <c r="S26" i="87"/>
  <c r="V26" i="87" s="1"/>
  <c r="T25" i="87"/>
  <c r="S25" i="87"/>
  <c r="V25" i="87" s="1"/>
  <c r="T24" i="87"/>
  <c r="S24" i="87"/>
  <c r="V24" i="87" s="1"/>
  <c r="T23" i="87"/>
  <c r="V23" i="87" s="1"/>
  <c r="S23" i="87"/>
  <c r="T22" i="87"/>
  <c r="V22" i="87" s="1"/>
  <c r="S22" i="87"/>
  <c r="S21" i="87"/>
  <c r="T17" i="120"/>
  <c r="S17" i="120"/>
  <c r="T15" i="120"/>
  <c r="S15" i="120"/>
  <c r="T14" i="120"/>
  <c r="S14" i="120"/>
  <c r="T13" i="120"/>
  <c r="S13" i="120"/>
  <c r="T12" i="120"/>
  <c r="S12" i="120"/>
  <c r="T11" i="120"/>
  <c r="S11" i="120"/>
  <c r="T10" i="120"/>
  <c r="S10" i="120"/>
  <c r="T9" i="120"/>
  <c r="S9" i="120"/>
  <c r="S11" i="112"/>
  <c r="V11" i="112" s="1"/>
  <c r="T11" i="112"/>
  <c r="S12" i="112"/>
  <c r="V12" i="112" s="1"/>
  <c r="T12" i="112"/>
  <c r="S13" i="112"/>
  <c r="V13" i="112" s="1"/>
  <c r="T13" i="112"/>
  <c r="S14" i="112"/>
  <c r="V14" i="112" s="1"/>
  <c r="T14" i="112"/>
  <c r="S15" i="112"/>
  <c r="V15" i="112" s="1"/>
  <c r="T15" i="112"/>
  <c r="S16" i="112"/>
  <c r="V16" i="112" s="1"/>
  <c r="T16" i="112"/>
  <c r="S17" i="112"/>
  <c r="T17" i="112"/>
  <c r="V17" i="112" s="1"/>
  <c r="S31" i="116"/>
  <c r="S30" i="116"/>
  <c r="S26" i="114"/>
  <c r="T26" i="114"/>
  <c r="V26" i="114" s="1"/>
  <c r="S27" i="114"/>
  <c r="T27" i="114"/>
  <c r="V27" i="114" s="1"/>
  <c r="S28" i="114"/>
  <c r="T28" i="114"/>
  <c r="V28" i="114" s="1"/>
  <c r="S29" i="114"/>
  <c r="T29" i="114"/>
  <c r="V29" i="114" s="1"/>
  <c r="S55" i="114"/>
  <c r="T55" i="114"/>
  <c r="V55" i="114" s="1"/>
  <c r="T53" i="114"/>
  <c r="S53" i="114"/>
  <c r="V53" i="114" s="1"/>
  <c r="T52" i="114"/>
  <c r="S52" i="114"/>
  <c r="V52" i="114" s="1"/>
  <c r="S54" i="114"/>
  <c r="S51" i="114"/>
  <c r="S50" i="114"/>
  <c r="S20" i="114"/>
  <c r="T25" i="114"/>
  <c r="S25" i="114"/>
  <c r="V25" i="114" s="1"/>
  <c r="T24" i="114"/>
  <c r="S24" i="114"/>
  <c r="V24" i="114" s="1"/>
  <c r="T23" i="114"/>
  <c r="S23" i="114"/>
  <c r="V23" i="114" s="1"/>
  <c r="T22" i="114"/>
  <c r="V22" i="114" s="1"/>
  <c r="S22" i="114"/>
  <c r="T21" i="114"/>
  <c r="V21" i="114" s="1"/>
  <c r="S21" i="114"/>
  <c r="S33" i="114"/>
  <c r="V33" i="114" s="1"/>
  <c r="T33" i="114"/>
  <c r="S34" i="114"/>
  <c r="V34" i="114" s="1"/>
  <c r="T34" i="114"/>
  <c r="S35" i="114"/>
  <c r="V35" i="114" s="1"/>
  <c r="T35" i="114"/>
  <c r="S36" i="114"/>
  <c r="V36" i="114" s="1"/>
  <c r="T36" i="114"/>
  <c r="S37" i="114"/>
  <c r="T37" i="114"/>
  <c r="V37" i="114" s="1"/>
  <c r="S38" i="114"/>
  <c r="T38" i="114"/>
  <c r="V38" i="114" s="1"/>
  <c r="S39" i="114"/>
  <c r="T39" i="114"/>
  <c r="V39" i="114" s="1"/>
  <c r="S40" i="114"/>
  <c r="T40" i="114"/>
  <c r="V40" i="114" s="1"/>
  <c r="S41" i="114"/>
  <c r="T41" i="114"/>
  <c r="V41" i="114" s="1"/>
  <c r="T32" i="114"/>
  <c r="S32" i="114"/>
  <c r="V32" i="114" s="1"/>
  <c r="E52" i="103"/>
  <c r="E107" i="87"/>
  <c r="E105" i="87"/>
  <c r="N28" i="90"/>
  <c r="E84" i="107"/>
  <c r="E86" i="87" l="1"/>
  <c r="N86" i="87" s="1"/>
  <c r="E80" i="87"/>
  <c r="E87" i="87"/>
  <c r="N87" i="87" s="1"/>
  <c r="E74" i="87"/>
  <c r="N74" i="87" s="1"/>
  <c r="N84" i="107"/>
  <c r="V84" i="107"/>
  <c r="V28" i="90"/>
  <c r="N29" i="103"/>
  <c r="N38" i="103"/>
  <c r="N43" i="103"/>
  <c r="N30" i="103"/>
  <c r="V29" i="112"/>
  <c r="V30" i="112"/>
  <c r="V81" i="87"/>
  <c r="V82" i="87"/>
  <c r="V54" i="87"/>
  <c r="V55" i="87"/>
  <c r="V53" i="87"/>
  <c r="N80" i="87"/>
  <c r="V58" i="87"/>
  <c r="C29" i="37" a="1"/>
  <c r="C29" i="37" s="1"/>
  <c r="C30" i="37" a="1"/>
  <c r="C30" i="37" s="1"/>
  <c r="D22" i="37"/>
  <c r="C26" i="37" a="1"/>
  <c r="C26" i="37" s="1"/>
  <c r="C28" i="37" a="1"/>
  <c r="C28" i="37" s="1"/>
  <c r="J5" i="115"/>
  <c r="K5" i="115" s="1"/>
  <c r="F4" i="115"/>
  <c r="H4" i="115" s="1"/>
  <c r="J4" i="39"/>
  <c r="I3" i="39"/>
  <c r="F3" i="39"/>
  <c r="H3" i="39" s="1"/>
  <c r="E3" i="39"/>
  <c r="J4" i="70"/>
  <c r="J3" i="70" s="1"/>
  <c r="F3" i="70"/>
  <c r="G3" i="70"/>
  <c r="E70" i="37"/>
  <c r="L32" i="68" a="1"/>
  <c r="L32" i="68" s="1"/>
  <c r="L31" i="68" a="1"/>
  <c r="L31" i="68" s="1"/>
  <c r="L27" i="68" a="1"/>
  <c r="L27" i="68" s="1"/>
  <c r="L10" i="68" a="1"/>
  <c r="L10" i="68" s="1"/>
  <c r="L9" i="68" a="1"/>
  <c r="L9" i="68" s="1"/>
  <c r="L5" i="68" a="1"/>
  <c r="L5" i="68" s="1"/>
  <c r="L10" i="39" a="1"/>
  <c r="L10" i="39" s="1"/>
  <c r="L9" i="39" a="1"/>
  <c r="L9" i="39" s="1"/>
  <c r="L5" i="39" a="1"/>
  <c r="L5" i="39" s="1"/>
  <c r="J3" i="39" l="1"/>
  <c r="K3" i="39" s="1"/>
  <c r="V86" i="87"/>
  <c r="K4" i="70"/>
  <c r="K4" i="39"/>
  <c r="J4" i="115"/>
  <c r="K4" i="115" s="1"/>
  <c r="V80" i="87"/>
  <c r="V87" i="87"/>
  <c r="V74" i="87"/>
  <c r="H3" i="70"/>
  <c r="K3" i="70" s="1"/>
  <c r="V85" i="87" l="1"/>
  <c r="D134" i="37"/>
  <c r="D126" i="37"/>
  <c r="E80" i="4"/>
  <c r="E61" i="4" l="1"/>
  <c r="N61" i="4" l="1"/>
  <c r="V61" i="4"/>
  <c r="O16" i="69"/>
  <c r="Q12" i="69"/>
  <c r="P12" i="69"/>
  <c r="O12" i="69"/>
  <c r="Q11" i="69"/>
  <c r="P11" i="69"/>
  <c r="O11" i="69"/>
  <c r="Q10" i="69"/>
  <c r="P10" i="69"/>
  <c r="O10" i="69"/>
  <c r="Q9" i="69"/>
  <c r="P9" i="69"/>
  <c r="O9" i="69"/>
  <c r="P8" i="69"/>
  <c r="O8" i="69"/>
  <c r="Q8" i="69"/>
  <c r="Q7" i="69"/>
  <c r="P7" i="69"/>
  <c r="O7" i="69"/>
  <c r="Q3" i="69"/>
  <c r="P3" i="69"/>
  <c r="C25" i="128" l="1"/>
  <c r="P43" i="66" l="1"/>
  <c r="Q43" i="66"/>
  <c r="O43" i="66"/>
  <c r="P15" i="66"/>
  <c r="Q15" i="66"/>
  <c r="O15" i="66"/>
  <c r="P9" i="66"/>
  <c r="Q9" i="66"/>
  <c r="O9" i="66"/>
  <c r="E108" i="107" l="1"/>
  <c r="E107" i="107"/>
  <c r="E111" i="107"/>
  <c r="E47" i="37"/>
  <c r="V75" i="107" l="1"/>
  <c r="V50" i="114"/>
  <c r="V20" i="114"/>
  <c r="V53" i="4"/>
  <c r="V23" i="4"/>
  <c r="V65" i="87"/>
  <c r="V22" i="4"/>
  <c r="V21" i="87"/>
  <c r="V53" i="86"/>
  <c r="V21" i="4"/>
  <c r="V21" i="86"/>
  <c r="E37" i="107"/>
  <c r="N37" i="107" s="1"/>
  <c r="E29" i="107"/>
  <c r="N29" i="107" s="1"/>
  <c r="E25" i="107"/>
  <c r="N25" i="107" s="1"/>
  <c r="E21" i="107"/>
  <c r="N21" i="107" s="1"/>
  <c r="L41" i="66"/>
  <c r="L40" i="66"/>
  <c r="L24" i="66"/>
  <c r="L23" i="66"/>
  <c r="L7" i="66"/>
  <c r="L6" i="66"/>
  <c r="V25" i="107" l="1"/>
  <c r="V21" i="107"/>
  <c r="V29" i="107"/>
  <c r="V37" i="107"/>
  <c r="P6" i="66"/>
  <c r="Q6" i="66"/>
  <c r="P7" i="66"/>
  <c r="Q7" i="66"/>
  <c r="P8" i="66"/>
  <c r="Q8" i="66"/>
  <c r="P10" i="66"/>
  <c r="Q10" i="66"/>
  <c r="P11" i="66"/>
  <c r="Q11" i="66"/>
  <c r="O11" i="66"/>
  <c r="O10" i="66"/>
  <c r="O8" i="66"/>
  <c r="O7" i="66"/>
  <c r="O6" i="66"/>
  <c r="Q49" i="66" l="1"/>
  <c r="P49" i="66"/>
  <c r="O49" i="66"/>
  <c r="Q45" i="66"/>
  <c r="P45" i="66"/>
  <c r="O45" i="66"/>
  <c r="Q44" i="66"/>
  <c r="P44" i="66"/>
  <c r="O44" i="66"/>
  <c r="Q42" i="66"/>
  <c r="P42" i="66"/>
  <c r="O42" i="66"/>
  <c r="Q41" i="66"/>
  <c r="P41" i="66"/>
  <c r="O41" i="66"/>
  <c r="Q40" i="66"/>
  <c r="P40" i="66"/>
  <c r="O40" i="66"/>
  <c r="Q32" i="66"/>
  <c r="P32" i="66"/>
  <c r="O32" i="66"/>
  <c r="Q28" i="66"/>
  <c r="P28" i="66"/>
  <c r="O28" i="66"/>
  <c r="Q27" i="66"/>
  <c r="P27" i="66"/>
  <c r="O27" i="66"/>
  <c r="Q26" i="66"/>
  <c r="P26" i="66"/>
  <c r="O26" i="66"/>
  <c r="Q25" i="66"/>
  <c r="P25" i="66"/>
  <c r="O25" i="66"/>
  <c r="Q24" i="66"/>
  <c r="P24" i="66"/>
  <c r="O24" i="66"/>
  <c r="Q23" i="66"/>
  <c r="P23" i="66"/>
  <c r="O23" i="66"/>
  <c r="E35" i="117"/>
  <c r="L8" i="69"/>
  <c r="L7" i="69"/>
  <c r="L3" i="69"/>
  <c r="S29" i="120" l="1"/>
  <c r="S27" i="120"/>
  <c r="E35" i="120"/>
  <c r="S27" i="118"/>
  <c r="V27" i="118" s="1"/>
  <c r="E35" i="118"/>
  <c r="V35" i="118" l="1"/>
  <c r="C13" i="128" l="1"/>
  <c r="P16" i="69" l="1"/>
  <c r="Q16" i="69"/>
  <c r="D25" i="128" l="1"/>
  <c r="E25" i="128" s="1"/>
  <c r="B6" i="8" a="1"/>
  <c r="B6" i="8" l="1"/>
  <c r="C25" i="37" l="1"/>
  <c r="B23" i="107"/>
  <c r="D24" i="66"/>
  <c r="D7" i="66"/>
  <c r="B19" i="107" l="1"/>
  <c r="V40" i="107"/>
  <c r="G57" i="66" l="1"/>
  <c r="H57" i="66" s="1"/>
  <c r="K57" i="66" s="1"/>
  <c r="M57" i="66" s="1"/>
  <c r="V36" i="107"/>
  <c r="G74" i="66" l="1"/>
  <c r="H74" i="66" s="1"/>
  <c r="V53" i="107" l="1"/>
  <c r="G58" i="66" l="1"/>
  <c r="H58" i="66" s="1"/>
  <c r="K58" i="66" s="1"/>
  <c r="M58" i="66" s="1"/>
  <c r="G41" i="66"/>
  <c r="G24" i="66"/>
  <c r="H24" i="66" s="1"/>
  <c r="G75" i="66"/>
  <c r="H75" i="66" s="1"/>
  <c r="G7" i="66"/>
  <c r="H7" i="66" s="1"/>
  <c r="V20" i="107"/>
  <c r="O9" i="107"/>
  <c r="E57" i="66" l="1"/>
  <c r="E66" i="66" s="1"/>
  <c r="E6" i="66"/>
  <c r="E15" i="66" s="1"/>
  <c r="I74" i="66"/>
  <c r="J74" i="66" s="1"/>
  <c r="K75" i="66" s="1"/>
  <c r="M75" i="66" s="1"/>
  <c r="I6" i="66"/>
  <c r="J6" i="66" s="1"/>
  <c r="K7" i="66" s="1"/>
  <c r="M7" i="66" s="1"/>
  <c r="I23" i="66"/>
  <c r="J23" i="66" s="1"/>
  <c r="K24" i="66" s="1"/>
  <c r="M24" i="66" s="1"/>
  <c r="G6" i="66"/>
  <c r="H6" i="66" s="1"/>
  <c r="E23" i="66"/>
  <c r="E32" i="66" s="1"/>
  <c r="E74" i="66"/>
  <c r="E83" i="66" s="1"/>
  <c r="V24" i="107"/>
  <c r="E80" i="85"/>
  <c r="D129" i="37" a="1"/>
  <c r="E61" i="85" l="1"/>
  <c r="E62" i="85"/>
  <c r="K6" i="66"/>
  <c r="M6" i="66" s="1"/>
  <c r="G23" i="66"/>
  <c r="K74" i="66"/>
  <c r="M74" i="66" s="1"/>
  <c r="D129" i="37"/>
  <c r="E80" i="86"/>
  <c r="H23" i="66" l="1"/>
  <c r="K23" i="66" s="1"/>
  <c r="M23" i="66" s="1"/>
  <c r="E69" i="114"/>
  <c r="N69" i="114" s="1"/>
  <c r="E68" i="114"/>
  <c r="N68" i="114" s="1"/>
  <c r="E61" i="86"/>
  <c r="N61" i="86" s="1"/>
  <c r="E62" i="86"/>
  <c r="N62" i="86" s="1"/>
  <c r="N61" i="85"/>
  <c r="N62" i="85"/>
  <c r="V61" i="85"/>
  <c r="V62" i="85"/>
  <c r="D32" i="68"/>
  <c r="D27" i="68"/>
  <c r="D10" i="68"/>
  <c r="D5" i="68"/>
  <c r="D10" i="39"/>
  <c r="B32" i="86" s="1"/>
  <c r="B19" i="86"/>
  <c r="D5" i="39"/>
  <c r="D10" i="70"/>
  <c r="B32" i="85" s="1"/>
  <c r="B19" i="85"/>
  <c r="D8" i="69"/>
  <c r="D41" i="66"/>
  <c r="B52" i="107" s="1"/>
  <c r="B2" i="104" l="1"/>
  <c r="B2" i="103"/>
  <c r="B2" i="102"/>
  <c r="B2" i="101"/>
  <c r="B32" i="4"/>
  <c r="B19" i="87"/>
  <c r="B2" i="95"/>
  <c r="B2" i="94"/>
  <c r="B2" i="93"/>
  <c r="B2" i="92"/>
  <c r="B32" i="87"/>
  <c r="B19" i="132"/>
  <c r="B19" i="4"/>
  <c r="B27" i="107"/>
  <c r="B39" i="107"/>
  <c r="B2" i="97"/>
  <c r="B2" i="96"/>
  <c r="B2" i="100"/>
  <c r="B2" i="99"/>
  <c r="V69" i="114"/>
  <c r="V61" i="86"/>
  <c r="V68" i="114"/>
  <c r="V62" i="86"/>
  <c r="C11" i="128" a="1"/>
  <c r="C11" i="128" s="1"/>
  <c r="V67" i="114" l="1"/>
  <c r="C15" i="128"/>
  <c r="C8" i="128"/>
  <c r="E59" i="37" l="1"/>
  <c r="V39" i="120" l="1"/>
  <c r="G4" i="115" s="1"/>
  <c r="S35" i="117" l="1"/>
  <c r="S29" i="117" l="1"/>
  <c r="S27" i="117"/>
  <c r="L15" i="141" l="1"/>
  <c r="M15" i="141" s="1"/>
  <c r="L63" i="66"/>
  <c r="M63" i="66" s="1"/>
  <c r="L15" i="133"/>
  <c r="M15" i="133" s="1"/>
  <c r="L15" i="39"/>
  <c r="L46" i="66"/>
  <c r="L18" i="115"/>
  <c r="L15" i="70"/>
  <c r="L29" i="66"/>
  <c r="L37" i="68"/>
  <c r="L13" i="69"/>
  <c r="L12" i="66"/>
  <c r="L15" i="68"/>
  <c r="L80" i="66"/>
  <c r="V39" i="118"/>
  <c r="G3" i="39" s="1"/>
  <c r="V28" i="107" l="1"/>
  <c r="I7" i="115"/>
  <c r="I10" i="115"/>
  <c r="J10" i="115" s="1"/>
  <c r="V80" i="114"/>
  <c r="G17" i="115" s="1"/>
  <c r="V31" i="114"/>
  <c r="G11" i="115" s="1"/>
  <c r="V66" i="107"/>
  <c r="O20" i="116"/>
  <c r="I8" i="115"/>
  <c r="O20" i="110"/>
  <c r="O20" i="112"/>
  <c r="E8" i="115" s="1"/>
  <c r="G59" i="66" l="1"/>
  <c r="H59" i="66" s="1"/>
  <c r="K59" i="66" s="1"/>
  <c r="M59" i="66" s="1"/>
  <c r="K14" i="115"/>
  <c r="M14" i="115" s="1"/>
  <c r="K16" i="115"/>
  <c r="M16" i="115" s="1"/>
  <c r="E9" i="115"/>
  <c r="I9" i="115"/>
  <c r="E6" i="115"/>
  <c r="I6" i="115"/>
  <c r="G40" i="66"/>
  <c r="G42" i="66"/>
  <c r="G25" i="66"/>
  <c r="G8" i="66"/>
  <c r="G76" i="66"/>
  <c r="V36" i="112"/>
  <c r="G8" i="115" s="1"/>
  <c r="V33" i="111"/>
  <c r="G7" i="115" s="1"/>
  <c r="V19" i="114"/>
  <c r="V33" i="110"/>
  <c r="G6" i="115" s="1"/>
  <c r="V46" i="103"/>
  <c r="V33" i="123"/>
  <c r="G5" i="115" s="1"/>
  <c r="V33" i="122"/>
  <c r="G4" i="39" s="1"/>
  <c r="V33" i="116"/>
  <c r="G9" i="115" s="1"/>
  <c r="V23" i="85"/>
  <c r="V22" i="85"/>
  <c r="V33" i="121"/>
  <c r="G4" i="70" s="1"/>
  <c r="V21" i="85"/>
  <c r="V53" i="85"/>
  <c r="C4" i="128"/>
  <c r="G15" i="115"/>
  <c r="H15" i="115" s="1"/>
  <c r="K15" i="115" s="1"/>
  <c r="M15" i="115" s="1"/>
  <c r="V43" i="114"/>
  <c r="G12" i="115" s="1"/>
  <c r="V46" i="87"/>
  <c r="V52" i="87"/>
  <c r="G10" i="115" l="1"/>
  <c r="H8" i="66"/>
  <c r="K8" i="66" s="1"/>
  <c r="M8" i="66" s="1"/>
  <c r="H25" i="66"/>
  <c r="K25" i="66" s="1"/>
  <c r="M25" i="66" s="1"/>
  <c r="H76" i="66"/>
  <c r="K76" i="66" s="1"/>
  <c r="M76" i="66" s="1"/>
  <c r="G11" i="68"/>
  <c r="V47" i="103"/>
  <c r="V45" i="85"/>
  <c r="G11" i="70" s="1"/>
  <c r="G33" i="68"/>
  <c r="H33" i="68" s="1"/>
  <c r="V49" i="114"/>
  <c r="V90" i="114" s="1"/>
  <c r="G29" i="68" l="1"/>
  <c r="G13" i="115"/>
  <c r="S29" i="96" l="1"/>
  <c r="V29" i="96" s="1"/>
  <c r="V45" i="86" l="1"/>
  <c r="G11" i="39" s="1"/>
  <c r="S92" i="107" l="1"/>
  <c r="V92" i="107" s="1"/>
  <c r="S28" i="96"/>
  <c r="V28" i="96" s="1"/>
  <c r="S31" i="94"/>
  <c r="S28" i="93"/>
  <c r="S28" i="92"/>
  <c r="S28" i="91"/>
  <c r="S27" i="91"/>
  <c r="S29" i="90"/>
  <c r="V29" i="90" s="1"/>
  <c r="S28" i="89"/>
  <c r="S27" i="89"/>
  <c r="V33" i="85"/>
  <c r="V33" i="93" l="1"/>
  <c r="G6" i="70" s="1"/>
  <c r="V64" i="87"/>
  <c r="V52" i="86"/>
  <c r="G12" i="39" s="1"/>
  <c r="V52" i="85"/>
  <c r="V33" i="100"/>
  <c r="G8" i="39" s="1"/>
  <c r="V36" i="99"/>
  <c r="G7" i="39" s="1"/>
  <c r="V20" i="86"/>
  <c r="O20" i="96"/>
  <c r="V33" i="104"/>
  <c r="V33" i="102"/>
  <c r="V91" i="107"/>
  <c r="G62" i="66" s="1"/>
  <c r="H62" i="66" s="1"/>
  <c r="K62" i="66" s="1"/>
  <c r="M62" i="66" s="1"/>
  <c r="V74" i="107"/>
  <c r="I40" i="66"/>
  <c r="J40" i="66" s="1"/>
  <c r="V33" i="101"/>
  <c r="V33" i="97"/>
  <c r="G6" i="39" s="1"/>
  <c r="V33" i="96"/>
  <c r="V33" i="95"/>
  <c r="G8" i="70" s="1"/>
  <c r="V36" i="94"/>
  <c r="G7" i="70" s="1"/>
  <c r="V33" i="92"/>
  <c r="G5" i="70" s="1"/>
  <c r="V33" i="91"/>
  <c r="V34" i="90"/>
  <c r="K7" i="141" s="1"/>
  <c r="M4" i="141" s="1"/>
  <c r="O20" i="90"/>
  <c r="V33" i="89"/>
  <c r="V79" i="87"/>
  <c r="V20" i="87"/>
  <c r="V33" i="87"/>
  <c r="V73" i="87"/>
  <c r="V91" i="87"/>
  <c r="V33" i="86"/>
  <c r="G10" i="39" s="1"/>
  <c r="V67" i="86"/>
  <c r="G14" i="39" s="1"/>
  <c r="O9" i="86"/>
  <c r="E9" i="39" s="1"/>
  <c r="V60" i="86"/>
  <c r="G13" i="39" s="1"/>
  <c r="V67" i="85"/>
  <c r="G14" i="70" s="1"/>
  <c r="G10" i="70"/>
  <c r="O9" i="85"/>
  <c r="E9" i="70" s="1"/>
  <c r="V77" i="86" l="1"/>
  <c r="G60" i="66"/>
  <c r="H60" i="66" s="1"/>
  <c r="K60" i="66" s="1"/>
  <c r="M60" i="66" s="1"/>
  <c r="V102" i="87"/>
  <c r="V101" i="87"/>
  <c r="G6" i="133"/>
  <c r="G6" i="69"/>
  <c r="G4" i="69"/>
  <c r="G4" i="133"/>
  <c r="G5" i="69"/>
  <c r="G5" i="133"/>
  <c r="I9" i="70"/>
  <c r="J9" i="70" s="1"/>
  <c r="I9" i="39"/>
  <c r="G14" i="68"/>
  <c r="I5" i="69"/>
  <c r="I5" i="133"/>
  <c r="E5" i="69"/>
  <c r="E5" i="133"/>
  <c r="G45" i="66"/>
  <c r="G28" i="66"/>
  <c r="G79" i="66"/>
  <c r="G11" i="66"/>
  <c r="I9" i="68"/>
  <c r="J9" i="68" s="1"/>
  <c r="G77" i="66"/>
  <c r="G43" i="66"/>
  <c r="G26" i="66"/>
  <c r="G9" i="66"/>
  <c r="G12" i="68"/>
  <c r="G12" i="70"/>
  <c r="I5" i="39"/>
  <c r="G5" i="39"/>
  <c r="E5" i="39"/>
  <c r="G9" i="39"/>
  <c r="G35" i="68"/>
  <c r="E40" i="66"/>
  <c r="E49" i="66" s="1"/>
  <c r="H42" i="66"/>
  <c r="G13" i="68"/>
  <c r="G34" i="68"/>
  <c r="G7" i="68"/>
  <c r="G6" i="68"/>
  <c r="G28" i="68"/>
  <c r="G10" i="68"/>
  <c r="G32" i="68"/>
  <c r="G9" i="68"/>
  <c r="G31" i="68"/>
  <c r="G8" i="68"/>
  <c r="G30" i="68"/>
  <c r="G36" i="68"/>
  <c r="G27" i="68"/>
  <c r="G5" i="68"/>
  <c r="V83" i="107"/>
  <c r="V104" i="107" s="1"/>
  <c r="V103" i="107" l="1"/>
  <c r="V102" i="107"/>
  <c r="V101" i="107"/>
  <c r="V105" i="107"/>
  <c r="H11" i="66"/>
  <c r="K11" i="66" s="1"/>
  <c r="M11" i="66" s="1"/>
  <c r="H79" i="66"/>
  <c r="K79" i="66" s="1"/>
  <c r="M79" i="66" s="1"/>
  <c r="H28" i="66"/>
  <c r="K28" i="66" s="1"/>
  <c r="M28" i="66" s="1"/>
  <c r="H26" i="66"/>
  <c r="K26" i="66" s="1"/>
  <c r="M26" i="66" s="1"/>
  <c r="H77" i="66"/>
  <c r="K77" i="66" s="1"/>
  <c r="M77" i="66" s="1"/>
  <c r="H9" i="66"/>
  <c r="K9" i="66" s="1"/>
  <c r="M9" i="66" s="1"/>
  <c r="G61" i="66"/>
  <c r="H61" i="66" s="1"/>
  <c r="K61" i="66" s="1"/>
  <c r="M61" i="66" s="1"/>
  <c r="E40" i="68"/>
  <c r="G44" i="66"/>
  <c r="H44" i="66" s="1"/>
  <c r="K44" i="66" s="1"/>
  <c r="M44" i="66" s="1"/>
  <c r="G27" i="66"/>
  <c r="G10" i="66"/>
  <c r="G78" i="66"/>
  <c r="E21" i="115"/>
  <c r="H41" i="66"/>
  <c r="K41" i="66" s="1"/>
  <c r="M41" i="66" s="1"/>
  <c r="K42" i="66"/>
  <c r="M42" i="66" s="1"/>
  <c r="J9" i="115"/>
  <c r="J8" i="115" s="1"/>
  <c r="J7" i="115" s="1"/>
  <c r="J6" i="115" s="1"/>
  <c r="J3" i="115" s="1"/>
  <c r="H11" i="115"/>
  <c r="H43" i="66"/>
  <c r="K43" i="66" s="1"/>
  <c r="M43" i="66" s="1"/>
  <c r="H45" i="66"/>
  <c r="K45" i="66" s="1"/>
  <c r="M45" i="66" s="1"/>
  <c r="E18" i="68"/>
  <c r="H36" i="68"/>
  <c r="E18" i="39"/>
  <c r="H12" i="68"/>
  <c r="H11" i="39"/>
  <c r="V60" i="85"/>
  <c r="P26" i="68" l="1" a="1"/>
  <c r="P26" i="68" s="1"/>
  <c r="Q26" i="68" a="1"/>
  <c r="Q26" i="68" s="1"/>
  <c r="O40" i="68" a="1"/>
  <c r="O40" i="68" s="1"/>
  <c r="P40" i="68" a="1"/>
  <c r="P40" i="68" s="1"/>
  <c r="Q40" i="68" a="1"/>
  <c r="Q40" i="68" s="1"/>
  <c r="O26" i="68" a="1"/>
  <c r="O26" i="68" s="1"/>
  <c r="H10" i="66"/>
  <c r="K10" i="66" s="1"/>
  <c r="M10" i="66" s="1"/>
  <c r="H78" i="66"/>
  <c r="K78" i="66" s="1"/>
  <c r="M78" i="66" s="1"/>
  <c r="H27" i="66"/>
  <c r="K27" i="66" s="1"/>
  <c r="M27" i="66" s="1"/>
  <c r="H40" i="66"/>
  <c r="K40" i="66" s="1"/>
  <c r="G13" i="70"/>
  <c r="H13" i="115"/>
  <c r="K13" i="115" s="1"/>
  <c r="M13" i="115" s="1"/>
  <c r="H12" i="115"/>
  <c r="K12" i="115" s="1"/>
  <c r="M12" i="115" s="1"/>
  <c r="H10" i="115"/>
  <c r="K10" i="115" s="1"/>
  <c r="M10" i="115" s="1"/>
  <c r="H17" i="115"/>
  <c r="K17" i="115" s="1"/>
  <c r="M17" i="115" s="1"/>
  <c r="F9" i="115"/>
  <c r="F8" i="115" s="1"/>
  <c r="K11" i="115"/>
  <c r="M11" i="115" s="1"/>
  <c r="H11" i="68"/>
  <c r="K11" i="68" s="1"/>
  <c r="M11" i="68" s="1"/>
  <c r="K12" i="68"/>
  <c r="M12" i="68" s="1"/>
  <c r="J8" i="68"/>
  <c r="J7" i="68" s="1"/>
  <c r="J6" i="68" s="1"/>
  <c r="J5" i="68" s="1"/>
  <c r="H10" i="68"/>
  <c r="K10" i="68" s="1"/>
  <c r="M10" i="68" s="1"/>
  <c r="H34" i="68"/>
  <c r="H9" i="68"/>
  <c r="K9" i="68" s="1"/>
  <c r="M9" i="68" s="1"/>
  <c r="H14" i="68"/>
  <c r="K14" i="68" s="1"/>
  <c r="M14" i="68" s="1"/>
  <c r="F30" i="68"/>
  <c r="F29" i="68" s="1"/>
  <c r="H29" i="68" s="1"/>
  <c r="H35" i="68"/>
  <c r="H31" i="68"/>
  <c r="H32" i="68"/>
  <c r="F8" i="68"/>
  <c r="H8" i="68" s="1"/>
  <c r="H13" i="68"/>
  <c r="K13" i="68" s="1"/>
  <c r="M13" i="68" s="1"/>
  <c r="F8" i="39"/>
  <c r="F7" i="39" s="1"/>
  <c r="H13" i="39"/>
  <c r="H10" i="39"/>
  <c r="H12" i="39"/>
  <c r="H9" i="39"/>
  <c r="H14" i="39"/>
  <c r="V20" i="85"/>
  <c r="V77" i="85" s="1"/>
  <c r="M40" i="66" l="1"/>
  <c r="H9" i="115"/>
  <c r="K9" i="115" s="1"/>
  <c r="H8" i="39"/>
  <c r="F7" i="115"/>
  <c r="H8" i="115"/>
  <c r="K8" i="115" s="1"/>
  <c r="K8" i="68"/>
  <c r="F7" i="68"/>
  <c r="F6" i="68" s="1"/>
  <c r="H30" i="68"/>
  <c r="F28" i="68"/>
  <c r="F27" i="68" s="1"/>
  <c r="F26" i="68" s="1"/>
  <c r="H26" i="68" s="1"/>
  <c r="G9" i="70"/>
  <c r="F6" i="39"/>
  <c r="F5" i="39" s="1"/>
  <c r="F4" i="39" s="1"/>
  <c r="H7" i="39"/>
  <c r="H5" i="39" l="1"/>
  <c r="H27" i="68"/>
  <c r="F6" i="115"/>
  <c r="F3" i="115" s="1"/>
  <c r="H3" i="115" s="1"/>
  <c r="K3" i="115" s="1"/>
  <c r="M3" i="115" s="1"/>
  <c r="H7" i="115"/>
  <c r="K7" i="115" s="1"/>
  <c r="H28" i="68"/>
  <c r="H7" i="68"/>
  <c r="K7" i="68" s="1"/>
  <c r="H6" i="39"/>
  <c r="F5" i="68"/>
  <c r="H5" i="68" s="1"/>
  <c r="K5" i="68" s="1"/>
  <c r="M5" i="68" s="1"/>
  <c r="H6" i="68"/>
  <c r="K6" i="68" s="1"/>
  <c r="H4" i="39" l="1"/>
  <c r="F5" i="115"/>
  <c r="H6" i="115"/>
  <c r="K6" i="115" s="1"/>
  <c r="M4" i="115" s="1"/>
  <c r="V45" i="4"/>
  <c r="H9" i="133" l="1"/>
  <c r="H11" i="141"/>
  <c r="K11" i="141" s="1"/>
  <c r="M11" i="141" s="1"/>
  <c r="H5" i="115"/>
  <c r="G9" i="69"/>
  <c r="V33" i="4"/>
  <c r="S68" i="4"/>
  <c r="H8" i="133" l="1"/>
  <c r="H10" i="141"/>
  <c r="K10" i="141" s="1"/>
  <c r="M10" i="141" s="1"/>
  <c r="V67" i="4"/>
  <c r="H14" i="141" s="1"/>
  <c r="K14" i="141" s="1"/>
  <c r="M14" i="141" s="1"/>
  <c r="S29" i="15"/>
  <c r="S27" i="15"/>
  <c r="F6" i="133" l="1"/>
  <c r="E18" i="133"/>
  <c r="G12" i="69"/>
  <c r="H14" i="133"/>
  <c r="G8" i="69"/>
  <c r="F5" i="133" l="1"/>
  <c r="H6" i="133"/>
  <c r="J7" i="133"/>
  <c r="K13" i="133" l="1"/>
  <c r="M13" i="133" s="1"/>
  <c r="K11" i="133"/>
  <c r="M11" i="133" s="1"/>
  <c r="J6" i="133"/>
  <c r="J5" i="133" s="1"/>
  <c r="J4" i="133" s="1"/>
  <c r="K9" i="133"/>
  <c r="M9" i="133" s="1"/>
  <c r="K8" i="133"/>
  <c r="M8" i="133" s="1"/>
  <c r="F4" i="133"/>
  <c r="H5" i="133"/>
  <c r="K14" i="133"/>
  <c r="M14" i="133" s="1"/>
  <c r="J7" i="69"/>
  <c r="V34" i="15"/>
  <c r="G3" i="133" l="1"/>
  <c r="G3" i="69"/>
  <c r="K6" i="133"/>
  <c r="K5" i="133"/>
  <c r="F3" i="133"/>
  <c r="H4" i="133"/>
  <c r="K4" i="133" s="1"/>
  <c r="J31" i="68"/>
  <c r="K33" i="68" s="1"/>
  <c r="M33" i="68" s="1"/>
  <c r="J9" i="39"/>
  <c r="K11" i="39" s="1"/>
  <c r="M11" i="39" s="1"/>
  <c r="H3" i="133" l="1"/>
  <c r="K31" i="68"/>
  <c r="M31" i="68" s="1"/>
  <c r="K34" i="68"/>
  <c r="M34" i="68" s="1"/>
  <c r="J30" i="68"/>
  <c r="J29" i="68" s="1"/>
  <c r="K29" i="68" s="1"/>
  <c r="K36" i="68"/>
  <c r="M36" i="68" s="1"/>
  <c r="K32" i="68"/>
  <c r="M32" i="68" s="1"/>
  <c r="K35" i="68"/>
  <c r="M35" i="68" s="1"/>
  <c r="K10" i="39"/>
  <c r="M10" i="39" s="1"/>
  <c r="K12" i="39"/>
  <c r="M12" i="39" s="1"/>
  <c r="K9" i="39"/>
  <c r="M9" i="39" s="1"/>
  <c r="K14" i="39"/>
  <c r="M14" i="39" s="1"/>
  <c r="K13" i="39"/>
  <c r="M13" i="39" s="1"/>
  <c r="J8" i="39"/>
  <c r="J7" i="39" s="1"/>
  <c r="J6" i="39" s="1"/>
  <c r="J5" i="39" s="1"/>
  <c r="K5" i="39" l="1"/>
  <c r="M3" i="39" s="1"/>
  <c r="J28" i="68"/>
  <c r="J27" i="68" s="1"/>
  <c r="J26" i="68" s="1"/>
  <c r="K26" i="68" s="1"/>
  <c r="K30" i="68"/>
  <c r="K7" i="39"/>
  <c r="K8" i="39"/>
  <c r="K6" i="39"/>
  <c r="K27" i="68" l="1"/>
  <c r="M27" i="68" s="1"/>
  <c r="M26" i="68"/>
  <c r="K28" i="68"/>
  <c r="J8" i="70"/>
  <c r="J7" i="70" s="1"/>
  <c r="J6" i="70" s="1"/>
  <c r="J5" i="70" s="1"/>
  <c r="H8" i="69" l="1"/>
  <c r="H9" i="69"/>
  <c r="H11" i="70"/>
  <c r="K11" i="70" s="1"/>
  <c r="M11" i="70" s="1"/>
  <c r="V20" i="4"/>
  <c r="H7" i="133" l="1"/>
  <c r="K7" i="133" s="1"/>
  <c r="M7" i="133" s="1"/>
  <c r="H9" i="141"/>
  <c r="K9" i="141" s="1"/>
  <c r="M9" i="141" s="1"/>
  <c r="F8" i="70"/>
  <c r="H8" i="70" s="1"/>
  <c r="K8" i="70" s="1"/>
  <c r="H10" i="70"/>
  <c r="K10" i="70" s="1"/>
  <c r="M10" i="70" s="1"/>
  <c r="H12" i="70"/>
  <c r="K12" i="70" s="1"/>
  <c r="M12" i="70" s="1"/>
  <c r="H14" i="70"/>
  <c r="K14" i="70" s="1"/>
  <c r="M14" i="70" s="1"/>
  <c r="H13" i="70"/>
  <c r="K13" i="70" s="1"/>
  <c r="M13" i="70" s="1"/>
  <c r="H9" i="70"/>
  <c r="K9" i="70" s="1"/>
  <c r="M9" i="70" s="1"/>
  <c r="H12" i="69"/>
  <c r="L16" i="141" l="1"/>
  <c r="M16" i="141" s="1"/>
  <c r="L64" i="66"/>
  <c r="L16" i="133"/>
  <c r="M16" i="133" s="1"/>
  <c r="L19" i="115"/>
  <c r="M19" i="115" s="1"/>
  <c r="L16" i="70"/>
  <c r="M16" i="70" s="1"/>
  <c r="L30" i="66"/>
  <c r="M30" i="66" s="1"/>
  <c r="L38" i="68"/>
  <c r="M38" i="68" s="1"/>
  <c r="L14" i="69"/>
  <c r="M14" i="69" s="1"/>
  <c r="L13" i="66"/>
  <c r="M13" i="66" s="1"/>
  <c r="L16" i="68"/>
  <c r="M16" i="68" s="1"/>
  <c r="L81" i="66"/>
  <c r="M81" i="66" s="1"/>
  <c r="L16" i="39"/>
  <c r="M16" i="39" s="1"/>
  <c r="L47" i="66"/>
  <c r="M47" i="66" s="1"/>
  <c r="M29" i="66"/>
  <c r="M80" i="66"/>
  <c r="M12" i="66"/>
  <c r="M46" i="66"/>
  <c r="M13" i="69"/>
  <c r="M15" i="39"/>
  <c r="M18" i="115"/>
  <c r="M15" i="70"/>
  <c r="M15" i="68"/>
  <c r="M37" i="68"/>
  <c r="M40" i="68" s="1"/>
  <c r="F7" i="70"/>
  <c r="F6" i="70" s="1"/>
  <c r="F5" i="70" s="1"/>
  <c r="K9" i="69"/>
  <c r="M9" i="69" s="1"/>
  <c r="M21" i="115" l="1"/>
  <c r="M64" i="66"/>
  <c r="M66" i="66" s="1"/>
  <c r="M15" i="66"/>
  <c r="M49" i="66"/>
  <c r="M18" i="68"/>
  <c r="M83" i="66"/>
  <c r="M32" i="66"/>
  <c r="H5" i="70"/>
  <c r="K5" i="70" s="1"/>
  <c r="M3" i="70" s="1"/>
  <c r="F4" i="70"/>
  <c r="M18" i="39"/>
  <c r="H7" i="70"/>
  <c r="K7" i="70" s="1"/>
  <c r="H6" i="70"/>
  <c r="K6" i="70" s="1"/>
  <c r="F6" i="69"/>
  <c r="F5" i="69" s="1"/>
  <c r="J6" i="69"/>
  <c r="J5" i="69" s="1"/>
  <c r="K8" i="69"/>
  <c r="M8" i="69" s="1"/>
  <c r="K12" i="69"/>
  <c r="M12" i="69" s="1"/>
  <c r="J3" i="133" l="1"/>
  <c r="K3" i="133" s="1"/>
  <c r="M3" i="133" s="1"/>
  <c r="H4" i="70"/>
  <c r="F4" i="69"/>
  <c r="H5" i="69"/>
  <c r="E16" i="69"/>
  <c r="F3" i="69" l="1"/>
  <c r="H3" i="69" s="1"/>
  <c r="H4" i="69"/>
  <c r="J4" i="69"/>
  <c r="J3" i="69" s="1"/>
  <c r="H6" i="69"/>
  <c r="K6" i="69" l="1"/>
  <c r="K5" i="69"/>
  <c r="G7" i="69" l="1"/>
  <c r="H7" i="69" s="1"/>
  <c r="K7" i="69" s="1"/>
  <c r="K3" i="69"/>
  <c r="K4" i="69"/>
  <c r="C45" i="7"/>
  <c r="C39" i="7"/>
  <c r="J38" i="7"/>
  <c r="H33" i="7"/>
  <c r="J33" i="7" s="1"/>
  <c r="G33" i="7"/>
  <c r="G38" i="7" s="1"/>
  <c r="F33" i="7"/>
  <c r="F38" i="7" s="1"/>
  <c r="E33" i="7"/>
  <c r="E38" i="7" s="1"/>
  <c r="D33" i="7"/>
  <c r="D36" i="7" s="1"/>
  <c r="F34" i="7" s="1"/>
  <c r="F27" i="7"/>
  <c r="D27" i="7"/>
  <c r="H26" i="7"/>
  <c r="F28" i="7" s="1"/>
  <c r="C26" i="7"/>
  <c r="H25" i="7"/>
  <c r="E28" i="7" s="1"/>
  <c r="D25" i="7"/>
  <c r="E24" i="7" s="1"/>
  <c r="H24" i="7"/>
  <c r="D28" i="7" s="1"/>
  <c r="C24" i="7"/>
  <c r="C28" i="7"/>
  <c r="E23" i="7"/>
  <c r="G18" i="7"/>
  <c r="F17" i="7"/>
  <c r="F18" i="7" s="1"/>
  <c r="E17" i="7"/>
  <c r="E18" i="7" s="1"/>
  <c r="D17" i="7"/>
  <c r="D18" i="7" s="1"/>
  <c r="C17" i="7"/>
  <c r="C18" i="7" s="1"/>
  <c r="H16" i="7"/>
  <c r="H15" i="7"/>
  <c r="D15" i="7"/>
  <c r="H14" i="7"/>
  <c r="H13" i="7"/>
  <c r="F13" i="7"/>
  <c r="C16" i="7" s="1"/>
  <c r="E13" i="7"/>
  <c r="C15" i="7" s="1"/>
  <c r="E8" i="7"/>
  <c r="G7" i="7"/>
  <c r="E7" i="7"/>
  <c r="C7" i="7"/>
  <c r="F6" i="7"/>
  <c r="D6" i="7"/>
  <c r="C6" i="7"/>
  <c r="G5" i="7"/>
  <c r="E5" i="7"/>
  <c r="C5" i="7"/>
  <c r="E4" i="7"/>
  <c r="M3" i="69" l="1"/>
  <c r="M7" i="69"/>
  <c r="E26" i="7"/>
  <c r="F25" i="7" s="1"/>
  <c r="E37" i="7"/>
  <c r="G35" i="7" s="1"/>
  <c r="H35" i="7"/>
  <c r="J35" i="7" s="1"/>
  <c r="E39" i="7"/>
  <c r="E16" i="7"/>
  <c r="D16" i="7"/>
  <c r="H36" i="7"/>
  <c r="J36" i="7" s="1"/>
  <c r="F39" i="7"/>
  <c r="H37" i="7"/>
  <c r="J37" i="7" s="1"/>
  <c r="G39" i="7"/>
  <c r="D26" i="7"/>
  <c r="F24" i="7" s="1"/>
  <c r="E36" i="7"/>
  <c r="F35" i="7" s="1"/>
  <c r="D37" i="7"/>
  <c r="G34" i="7" s="1"/>
  <c r="E27" i="7"/>
  <c r="D38" i="7"/>
  <c r="D35" i="7"/>
  <c r="E34" i="7" s="1"/>
  <c r="F37" i="7"/>
  <c r="G36" i="7" s="1"/>
  <c r="D39" i="7" l="1"/>
  <c r="H34" i="7"/>
  <c r="J34" i="7" s="1"/>
  <c r="V52" i="4" l="1"/>
  <c r="H10" i="133" l="1"/>
  <c r="K10" i="133" s="1"/>
  <c r="M10" i="133" s="1"/>
  <c r="H12" i="141"/>
  <c r="K12" i="141" s="1"/>
  <c r="M12" i="141" s="1"/>
  <c r="G10" i="69"/>
  <c r="V60" i="4"/>
  <c r="V77" i="4" s="1"/>
  <c r="H12" i="133" l="1"/>
  <c r="K12" i="133" s="1"/>
  <c r="M12" i="133" s="1"/>
  <c r="M18" i="133" s="1"/>
  <c r="H13" i="141"/>
  <c r="K13" i="141" s="1"/>
  <c r="M13" i="141" s="1"/>
  <c r="M18" i="141" s="1"/>
  <c r="H10" i="69"/>
  <c r="K10" i="69" s="1"/>
  <c r="M10" i="69" s="1"/>
  <c r="G11" i="69"/>
  <c r="H11" i="69" l="1"/>
  <c r="K11" i="69" s="1"/>
  <c r="M11" i="69" s="1"/>
  <c r="M16" i="69" s="1"/>
  <c r="E18" i="70" l="1"/>
  <c r="V38" i="117" l="1"/>
  <c r="M18" i="70" l="1"/>
  <c r="E23" i="128" l="1" a="1"/>
  <c r="E23" i="128" s="1"/>
  <c r="E29" i="128" s="1"/>
  <c r="C7" i="128" s="1"/>
  <c r="C17" i="12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Taylor</author>
  </authors>
  <commentList>
    <comment ref="B3" authorId="0" shapeId="0" xr:uid="{00000000-0006-0000-0200-000001000000}">
      <text>
        <r>
          <rPr>
            <b/>
            <sz val="9"/>
            <color indexed="81"/>
            <rFont val="Tahoma"/>
            <family val="2"/>
          </rPr>
          <t>Richard Taylor:</t>
        </r>
        <r>
          <rPr>
            <sz val="9"/>
            <color indexed="81"/>
            <rFont val="Tahoma"/>
            <family val="2"/>
          </rPr>
          <t xml:space="preserve">
multiply by the factor to get "From" "To"</t>
        </r>
      </text>
    </comment>
    <comment ref="B4" authorId="0" shapeId="0" xr:uid="{00000000-0006-0000-0200-000002000000}">
      <text>
        <r>
          <rPr>
            <b/>
            <sz val="9"/>
            <color indexed="81"/>
            <rFont val="Tahoma"/>
            <family val="2"/>
          </rPr>
          <t>Richard Taylor:</t>
        </r>
        <r>
          <rPr>
            <sz val="9"/>
            <color indexed="81"/>
            <rFont val="Tahoma"/>
            <family val="2"/>
          </rPr>
          <t xml:space="preserve">
1 Joule is the energy required to move 1 kg of mass through a distance of 1 meter with speed in meters per second increasing at the rate of 1 meter per second.</t>
        </r>
      </text>
    </comment>
    <comment ref="B7" authorId="0" shapeId="0" xr:uid="{00000000-0006-0000-0200-000003000000}">
      <text>
        <r>
          <rPr>
            <b/>
            <sz val="9"/>
            <color indexed="81"/>
            <rFont val="Tahoma"/>
            <family val="2"/>
          </rPr>
          <t>Richard Taylor:</t>
        </r>
        <r>
          <rPr>
            <sz val="9"/>
            <color indexed="81"/>
            <rFont val="Tahoma"/>
            <family val="2"/>
          </rPr>
          <t xml:space="preserve">
1 Btu or British thermal unit is the energy required to raise the temperature of a pound of water from 60 to 61 degrees Fahernheit. 1 Therm = 100,000 Btu</t>
        </r>
      </text>
    </comment>
    <comment ref="B12" authorId="0" shapeId="0" xr:uid="{00000000-0006-0000-0200-000005000000}">
      <text>
        <r>
          <rPr>
            <b/>
            <sz val="9"/>
            <color indexed="81"/>
            <rFont val="Tahoma"/>
            <family val="2"/>
          </rPr>
          <t>Richard Taylor:</t>
        </r>
        <r>
          <rPr>
            <sz val="9"/>
            <color indexed="81"/>
            <rFont val="Tahoma"/>
            <family val="2"/>
          </rPr>
          <t xml:space="preserve">
multiply by the factor to get "From" "To"</t>
        </r>
      </text>
    </comment>
    <comment ref="B22" authorId="0" shapeId="0" xr:uid="{00000000-0006-0000-0200-000006000000}">
      <text>
        <r>
          <rPr>
            <b/>
            <sz val="9"/>
            <color indexed="81"/>
            <rFont val="Tahoma"/>
            <family val="2"/>
          </rPr>
          <t>Richard Taylor:</t>
        </r>
        <r>
          <rPr>
            <sz val="9"/>
            <color indexed="81"/>
            <rFont val="Tahoma"/>
            <family val="2"/>
          </rPr>
          <t xml:space="preserve">
multiply by the factor to get "From" "To"</t>
        </r>
      </text>
    </comment>
    <comment ref="B32" authorId="0" shapeId="0" xr:uid="{00000000-0006-0000-0200-000007000000}">
      <text>
        <r>
          <rPr>
            <b/>
            <sz val="9"/>
            <color indexed="81"/>
            <rFont val="Tahoma"/>
            <family val="2"/>
          </rPr>
          <t>Richard Taylor:</t>
        </r>
        <r>
          <rPr>
            <sz val="9"/>
            <color indexed="81"/>
            <rFont val="Tahoma"/>
            <family val="2"/>
          </rPr>
          <t xml:space="preserve">
multiply by the factor to get "From" "To"</t>
        </r>
      </text>
    </comment>
    <comment ref="B43" authorId="0" shapeId="0" xr:uid="{00000000-0006-0000-0200-000008000000}">
      <text>
        <r>
          <rPr>
            <b/>
            <sz val="9"/>
            <color indexed="81"/>
            <rFont val="Tahoma"/>
            <family val="2"/>
          </rPr>
          <t>Richard Taylor:</t>
        </r>
        <r>
          <rPr>
            <sz val="9"/>
            <color indexed="81"/>
            <rFont val="Tahoma"/>
            <family val="2"/>
          </rPr>
          <t xml:space="preserve">
multiply by the factor to get "From" "To"</t>
        </r>
      </text>
    </comment>
    <comment ref="B49" authorId="0" shapeId="0" xr:uid="{F6A8F3AB-4FFA-4165-A758-4A32E320FCAD}">
      <text>
        <r>
          <rPr>
            <b/>
            <sz val="9"/>
            <color indexed="81"/>
            <rFont val="Tahoma"/>
            <family val="2"/>
          </rPr>
          <t>Richard Taylor:</t>
        </r>
        <r>
          <rPr>
            <sz val="9"/>
            <color indexed="81"/>
            <rFont val="Tahoma"/>
            <family val="2"/>
          </rPr>
          <t xml:space="preserve">
multiply by the factor to get "From" "To"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3E83EBC-7714-4CE7-8930-706EF7CEDC7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CFA5B720-AF89-41A5-8F0F-7D599FDB1FD8}">
      <text>
        <r>
          <rPr>
            <sz val="9"/>
            <color indexed="81"/>
            <rFont val="Tahoma"/>
            <family val="2"/>
          </rPr>
          <t>Recycle loops are not included in GHG calculations, as they do not cross the GHG assessment boundary</t>
        </r>
      </text>
    </comment>
    <comment ref="J5" authorId="1" shapeId="0" xr:uid="{4FEBC035-234A-4FF9-AD48-C67776505C4A}">
      <text>
        <r>
          <rPr>
            <sz val="9"/>
            <color indexed="81"/>
            <rFont val="Tahoma"/>
            <family val="2"/>
          </rPr>
          <t>will be 0 for some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DB6B095D-6204-4F2B-B052-E62E269F831D}">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AC83EC63-5697-40A1-9B5F-D431FED713CC}">
      <text>
        <r>
          <rPr>
            <sz val="9"/>
            <color indexed="81"/>
            <rFont val="Tahoma"/>
            <family val="2"/>
          </rPr>
          <t>Recycle loops are not included in GHG calculations, as they do not cross the GHG assessment boundary</t>
        </r>
      </text>
    </comment>
    <comment ref="J5" authorId="1" shapeId="0" xr:uid="{E1A6A366-728B-4A50-9CD6-267B95EE80FA}">
      <text>
        <r>
          <rPr>
            <sz val="9"/>
            <color indexed="81"/>
            <rFont val="Tahoma"/>
            <family val="2"/>
          </rPr>
          <t>will be 0 for some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45A8E5C-6650-4CD3-BD7D-9B1B887DF92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EA16664F-1FD4-4FAB-843E-7F9B48F9557A}">
      <text>
        <r>
          <rPr>
            <sz val="9"/>
            <color indexed="81"/>
            <rFont val="Tahoma"/>
            <family val="2"/>
          </rPr>
          <t>Recycle loops are not included in GHG calculations, as they do not cross the GHG assessment boundary</t>
        </r>
      </text>
    </comment>
    <comment ref="J5" authorId="1" shapeId="0" xr:uid="{E4C644CE-E72D-4ADE-874C-1EE8EC31E909}">
      <text>
        <r>
          <rPr>
            <sz val="9"/>
            <color indexed="81"/>
            <rFont val="Tahoma"/>
            <family val="2"/>
          </rPr>
          <t>will be 0 for some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23893DA7-F53A-4EBA-8EEA-8B8A2524D18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8E7085B1-27D1-4183-97B7-2DE4F6695F8A}">
      <text>
        <r>
          <rPr>
            <sz val="9"/>
            <color indexed="81"/>
            <rFont val="Tahoma"/>
            <family val="2"/>
          </rPr>
          <t>Recycle loops are not included in GHG calculations, as they do not cross the GHG assessment boundary</t>
        </r>
      </text>
    </comment>
    <comment ref="J5" authorId="1" shapeId="0" xr:uid="{EEB6AEB0-6493-4692-A6AF-5E52DCD27BD4}">
      <text>
        <r>
          <rPr>
            <sz val="9"/>
            <color indexed="81"/>
            <rFont val="Tahoma"/>
            <family val="2"/>
          </rPr>
          <t>will be 0 for some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2B1B996-702F-44A1-9553-5422F25D8F8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2CCB49E-BF25-4674-8F3B-6CC193D21969}">
      <text>
        <r>
          <rPr>
            <sz val="9"/>
            <color indexed="81"/>
            <rFont val="Tahoma"/>
            <family val="2"/>
          </rPr>
          <t>Recycle loops are not included in GHG calculations, as they do not cross the GHG assessment boundary</t>
        </r>
      </text>
    </comment>
    <comment ref="J5" authorId="1" shapeId="0" xr:uid="{47D1408B-88E5-4162-9AAF-CEEBDE21C569}">
      <text>
        <r>
          <rPr>
            <sz val="9"/>
            <color indexed="81"/>
            <rFont val="Tahoma"/>
            <family val="2"/>
          </rPr>
          <t>will be 0 for some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8CDDD70B-A7CE-4E1B-A58A-F6CB33D2744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7BE29060-2554-4504-913B-1C8806A3E75A}">
      <text>
        <r>
          <rPr>
            <sz val="9"/>
            <color indexed="81"/>
            <rFont val="Tahoma"/>
            <family val="2"/>
          </rPr>
          <t>Recycle loops are not included in GHG calculations, as they do not cross the GHG assessment boundary</t>
        </r>
      </text>
    </comment>
    <comment ref="J5" authorId="1" shapeId="0" xr:uid="{8E065E0A-6378-442D-A98B-C12BA1397B4A}">
      <text>
        <r>
          <rPr>
            <sz val="9"/>
            <color indexed="81"/>
            <rFont val="Tahoma"/>
            <family val="2"/>
          </rPr>
          <t>will be 0 for some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C6B9BCF-B3BA-44FF-B069-3170BC0465D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696EA6DA-83F2-4145-83FB-B54CCE894813}">
      <text>
        <r>
          <rPr>
            <sz val="9"/>
            <color indexed="81"/>
            <rFont val="Tahoma"/>
            <family val="2"/>
          </rPr>
          <t>Recycle loops are not included in GHG calculations, as they do not cross the GHG assessment boundary</t>
        </r>
      </text>
    </comment>
    <comment ref="J5" authorId="1" shapeId="0" xr:uid="{A7C29B73-9EF3-42DE-9826-C35B75367ABE}">
      <text>
        <r>
          <rPr>
            <sz val="9"/>
            <color indexed="81"/>
            <rFont val="Tahoma"/>
            <family val="2"/>
          </rPr>
          <t>will be 0 for some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60BC8D27-F5F1-45A0-BF08-7E74850CE3A8}">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3CA53DA8-F0AF-468A-BF24-36DC28395A60}">
      <text>
        <r>
          <rPr>
            <sz val="9"/>
            <color indexed="81"/>
            <rFont val="Tahoma"/>
            <family val="2"/>
          </rPr>
          <t>Recycle loops are not included in GHG calculations, as they do not cross the GHG assessment boundary</t>
        </r>
      </text>
    </comment>
    <comment ref="J5" authorId="1" shapeId="0" xr:uid="{56A12A37-8103-40D7-A7A0-66D3D8605B0B}">
      <text>
        <r>
          <rPr>
            <sz val="9"/>
            <color indexed="81"/>
            <rFont val="Tahoma"/>
            <family val="2"/>
          </rPr>
          <t>will be 0 for some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421EA1E-5428-40D1-9C63-401AAFE143C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0B0EF29-6ECE-4080-82E4-3D40C62FA0A6}">
      <text>
        <r>
          <rPr>
            <sz val="9"/>
            <color indexed="81"/>
            <rFont val="Tahoma"/>
            <family val="2"/>
          </rPr>
          <t>Recycle loops are not included in GHG calculations, as they do not cross the GHG assessment boundary</t>
        </r>
      </text>
    </comment>
    <comment ref="J5" authorId="1" shapeId="0" xr:uid="{FE7A6C76-0C28-4300-BFFE-6C5A7FDE2DD5}">
      <text>
        <r>
          <rPr>
            <sz val="9"/>
            <color indexed="81"/>
            <rFont val="Tahoma"/>
            <family val="2"/>
          </rPr>
          <t>will be 0 for some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AD54B8C-D695-4C9B-A6FE-F1C9658BD56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3A915921-2904-48AE-BB40-41E8BDAC17E1}">
      <text>
        <r>
          <rPr>
            <sz val="9"/>
            <color indexed="81"/>
            <rFont val="Tahoma"/>
            <family val="2"/>
          </rPr>
          <t>Recycle loops are not included in GHG calculations, as they do not cross the GHG assessment boundary</t>
        </r>
      </text>
    </comment>
    <comment ref="J5" authorId="1" shapeId="0" xr:uid="{F86B8B0B-59DF-4056-9449-0CAD01269F68}">
      <text>
        <r>
          <rPr>
            <sz val="9"/>
            <color indexed="81"/>
            <rFont val="Tahoma"/>
            <family val="2"/>
          </rPr>
          <t>will be 0 for some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7CA0C6D8-021D-4A53-9DE7-632707E2123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DE070F16-2DAF-422B-91B0-7AE53F7CC4CF}">
      <text>
        <r>
          <rPr>
            <sz val="9"/>
            <color indexed="81"/>
            <rFont val="Tahoma"/>
            <family val="2"/>
          </rPr>
          <t>Recycle loops are not included in GHG calculations, as they do not cross the GHG assessment boundary</t>
        </r>
      </text>
    </comment>
    <comment ref="J5" authorId="1" shapeId="0" xr:uid="{DBF8DA8A-AF9D-440B-9AFA-8FAE1BCC95E9}">
      <text>
        <r>
          <rPr>
            <sz val="9"/>
            <color indexed="81"/>
            <rFont val="Tahoma"/>
            <family val="2"/>
          </rPr>
          <t>will be 0 for some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ED51C0DE-BA40-4CAF-B9BD-2ED3CC0BFD7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2031FDF-1BC4-4314-86F7-A0EBC4F34900}">
      <text>
        <r>
          <rPr>
            <sz val="9"/>
            <color indexed="81"/>
            <rFont val="Tahoma"/>
            <family val="2"/>
          </rPr>
          <t>Recycle loops are not included in GHG calculations, as they do not cross the GHG assessment boundary</t>
        </r>
      </text>
    </comment>
    <comment ref="J5" authorId="1" shapeId="0" xr:uid="{5CE43C63-967D-439C-B603-54440F6AC8EB}">
      <text>
        <r>
          <rPr>
            <sz val="9"/>
            <color indexed="81"/>
            <rFont val="Tahoma"/>
            <family val="2"/>
          </rPr>
          <t>will be 0 for some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0798C17-8553-4561-B536-8C1D1CF66F6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1A3B3CCA-8EFB-46CD-B588-B84C5BE28E79}">
      <text>
        <r>
          <rPr>
            <sz val="9"/>
            <color indexed="81"/>
            <rFont val="Tahoma"/>
            <family val="2"/>
          </rPr>
          <t>Recycle loops are not included in GHG calculations, as they do not cross the GHG assessment boundary</t>
        </r>
      </text>
    </comment>
    <comment ref="J5" authorId="1" shapeId="0" xr:uid="{983D037A-3607-4C7B-9621-E750818A2E23}">
      <text>
        <r>
          <rPr>
            <sz val="9"/>
            <color indexed="81"/>
            <rFont val="Tahoma"/>
            <family val="2"/>
          </rPr>
          <t>will be 0 for some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140484F-089B-4ACC-B6EA-697814DDFCE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86FA1273-292B-4CB5-A863-B7D4B02DE214}">
      <text>
        <r>
          <rPr>
            <sz val="9"/>
            <color indexed="81"/>
            <rFont val="Tahoma"/>
            <family val="2"/>
          </rPr>
          <t>Recycle loops are not included in GHG calculations, as they do not cross the GHG assessment boundary</t>
        </r>
      </text>
    </comment>
    <comment ref="J5" authorId="1" shapeId="0" xr:uid="{B350BB07-5B42-4DCF-A0E1-52D7D0258F9E}">
      <text>
        <r>
          <rPr>
            <sz val="9"/>
            <color indexed="81"/>
            <rFont val="Tahoma"/>
            <family val="2"/>
          </rPr>
          <t>will be 0 for some</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A268A125-0929-4E11-B783-F988626A5DB8}">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C918B55D-89C8-46FF-99CF-59E9842B9EF8}">
      <text>
        <r>
          <rPr>
            <sz val="9"/>
            <color indexed="81"/>
            <rFont val="Tahoma"/>
            <family val="2"/>
          </rPr>
          <t>Recycle loops are not included in GHG calculations, as they do not cross the GHG assessment boundary</t>
        </r>
      </text>
    </comment>
    <comment ref="J5" authorId="1" shapeId="0" xr:uid="{3AC8EB0C-CC36-4940-8E1A-0C2AD96361CF}">
      <text>
        <r>
          <rPr>
            <sz val="9"/>
            <color indexed="81"/>
            <rFont val="Tahoma"/>
            <family val="2"/>
          </rPr>
          <t>will be 0 for some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F8D78ECA-0213-4D00-9340-12A768AE944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A800198-34FB-4729-86E9-63AC2F4BDAD5}">
      <text>
        <r>
          <rPr>
            <sz val="9"/>
            <color indexed="81"/>
            <rFont val="Tahoma"/>
            <family val="2"/>
          </rPr>
          <t>Recycle loops are not included in GHG calculations, as they do not cross the GHG assessment boundary</t>
        </r>
      </text>
    </comment>
    <comment ref="J5" authorId="1" shapeId="0" xr:uid="{D74E97C0-74B8-4AE3-920E-0A78CA5016D7}">
      <text>
        <r>
          <rPr>
            <sz val="9"/>
            <color indexed="81"/>
            <rFont val="Tahoma"/>
            <family val="2"/>
          </rPr>
          <t>will be 0 for some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68D215D-A189-462F-BDA5-2B3C7623BE19}">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FB718475-F335-4817-91E6-F6F243A15302}">
      <text>
        <r>
          <rPr>
            <sz val="9"/>
            <color indexed="81"/>
            <rFont val="Tahoma"/>
            <family val="2"/>
          </rPr>
          <t>Recycle loops are not included in GHG calculations, as they do not cross the GHG assessment boundary</t>
        </r>
      </text>
    </comment>
    <comment ref="J5" authorId="1" shapeId="0" xr:uid="{A8973E8A-6BFD-465D-AD11-4B1596E77472}">
      <text>
        <r>
          <rPr>
            <sz val="9"/>
            <color indexed="81"/>
            <rFont val="Tahoma"/>
            <family val="2"/>
          </rPr>
          <t>will be 0 for some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96F35238-752F-437A-B05A-DD81053325EB}">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0BA8A0B5-ECA9-4248-9B30-75FD6CB5069C}">
      <text>
        <r>
          <rPr>
            <sz val="9"/>
            <color indexed="81"/>
            <rFont val="Tahoma"/>
            <family val="2"/>
          </rPr>
          <t>Recycle loops are not included in GHG calculations, as they do not cross the GHG assessment boundary</t>
        </r>
      </text>
    </comment>
    <comment ref="J5" authorId="1" shapeId="0" xr:uid="{6D978B23-A2CE-4D96-A71B-6F9451145203}">
      <text>
        <r>
          <rPr>
            <sz val="9"/>
            <color indexed="81"/>
            <rFont val="Tahoma"/>
            <family val="2"/>
          </rPr>
          <t>will be 0 for some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46223433-640A-4CEF-A1F4-B19E2C23083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0AAA8C26-4112-4F53-B182-94C8559B01EE}">
      <text>
        <r>
          <rPr>
            <sz val="9"/>
            <color indexed="81"/>
            <rFont val="Tahoma"/>
            <family val="2"/>
          </rPr>
          <t>Recycle loops are not included in GHG calculations, as they do not cross the GHG assessment boundary</t>
        </r>
      </text>
    </comment>
    <comment ref="J5" authorId="1" shapeId="0" xr:uid="{6786C365-A3C0-4057-A790-1F03308E3B68}">
      <text>
        <r>
          <rPr>
            <sz val="9"/>
            <color indexed="81"/>
            <rFont val="Tahoma"/>
            <family val="2"/>
          </rPr>
          <t>will be 0 for some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312BDC5B-1FC8-4965-A524-E8C6EEDF7F6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CADB936-7D54-4063-B073-386860106DAC}">
      <text>
        <r>
          <rPr>
            <sz val="9"/>
            <color indexed="81"/>
            <rFont val="Tahoma"/>
            <family val="2"/>
          </rPr>
          <t>Recycle loops are not included in GHG calculations, as they do not cross the GHG assessment boundary</t>
        </r>
      </text>
    </comment>
    <comment ref="J5" authorId="1" shapeId="0" xr:uid="{13A4044B-CF5D-46FD-975F-D7D4D41C0C25}">
      <text>
        <r>
          <rPr>
            <sz val="9"/>
            <color indexed="81"/>
            <rFont val="Tahoma"/>
            <family val="2"/>
          </rPr>
          <t>will be 0 for some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6DF0E0B3-A55C-44EF-B2C4-AA06DF7CD2D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4923A4F-AFF1-4374-B79A-4BC7FE4E7430}">
      <text>
        <r>
          <rPr>
            <sz val="9"/>
            <color indexed="81"/>
            <rFont val="Tahoma"/>
            <family val="2"/>
          </rPr>
          <t>Recycle loops are not included in GHG calculations, as they do not cross the GHG assessment boundary</t>
        </r>
      </text>
    </comment>
    <comment ref="J5" authorId="1" shapeId="0" xr:uid="{8A34A9B3-243E-45A2-AB52-715D412F85AD}">
      <text>
        <r>
          <rPr>
            <sz val="9"/>
            <color indexed="81"/>
            <rFont val="Tahoma"/>
            <family val="2"/>
          </rPr>
          <t>will be 0 for some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6C5A379-0B37-4784-B14B-347A7906BD0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AE01070-C279-4E5A-A56E-32FDC1BB09BF}">
      <text>
        <r>
          <rPr>
            <sz val="9"/>
            <color indexed="81"/>
            <rFont val="Tahoma"/>
            <family val="2"/>
          </rPr>
          <t>Recycle loops are not included in GHG calculations, as they do not cross the GHG assessment boundary</t>
        </r>
      </text>
    </comment>
    <comment ref="J5" authorId="1" shapeId="0" xr:uid="{7BC43371-F945-4FAD-99C1-13CF41ED084F}">
      <text>
        <r>
          <rPr>
            <sz val="9"/>
            <color indexed="81"/>
            <rFont val="Tahoma"/>
            <family val="2"/>
          </rPr>
          <t>will be 0 for some</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DE806CE3-0F8E-4635-8D17-170D99E79B5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6CDE4F0-89F5-4C1E-AD41-8D2F39E2D733}">
      <text>
        <r>
          <rPr>
            <sz val="9"/>
            <color indexed="81"/>
            <rFont val="Tahoma"/>
            <family val="2"/>
          </rPr>
          <t>Recycle loops are not included in GHG calculations, as they do not cross the GHG assessment boundary</t>
        </r>
      </text>
    </comment>
    <comment ref="J5" authorId="1" shapeId="0" xr:uid="{19BF2B9A-4921-4B99-BD78-9B6D7108DE62}">
      <text>
        <r>
          <rPr>
            <sz val="9"/>
            <color indexed="81"/>
            <rFont val="Tahoma"/>
            <family val="2"/>
          </rPr>
          <t>will be 0 for some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395FE6FC-2361-424F-ADA9-D22E1F1C092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45A8229-FD74-49E7-8B8B-DB8A7AF2462A}">
      <text>
        <r>
          <rPr>
            <sz val="9"/>
            <color indexed="81"/>
            <rFont val="Tahoma"/>
            <family val="2"/>
          </rPr>
          <t>Recycle loops are not included in GHG calculations, as they do not cross the GHG assessment boundary</t>
        </r>
      </text>
    </comment>
    <comment ref="J5" authorId="1" shapeId="0" xr:uid="{D9D67E66-CA16-4EF0-A9ED-192A463E3B60}">
      <text>
        <r>
          <rPr>
            <sz val="9"/>
            <color indexed="81"/>
            <rFont val="Tahoma"/>
            <family val="2"/>
          </rPr>
          <t>will be 0 for some</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9D46E97-FC6A-4328-801E-824C765FDD3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1F1A260A-0198-4758-916E-D7B2597B1DEB}">
      <text>
        <r>
          <rPr>
            <sz val="9"/>
            <color indexed="81"/>
            <rFont val="Tahoma"/>
            <family val="2"/>
          </rPr>
          <t>Recycle loops are not included in GHG calculations, as they do not cross the GHG assessment boundary</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76EC030-BFA9-4E18-9CB1-36F58395FA15}">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D572C84B-32C2-4489-85E2-EA4ACAFAE09E}">
      <text>
        <r>
          <rPr>
            <sz val="9"/>
            <color indexed="81"/>
            <rFont val="Tahoma"/>
            <family val="2"/>
          </rPr>
          <t>Recycle loops are not included in GHG calculations, as they do not cross the GHG assessment boundary</t>
        </r>
      </text>
    </comment>
    <comment ref="J5" authorId="1" shapeId="0" xr:uid="{6842A874-1274-4039-9BDB-FB25F5FD6264}">
      <text>
        <r>
          <rPr>
            <sz val="9"/>
            <color indexed="81"/>
            <rFont val="Tahoma"/>
            <family val="2"/>
          </rPr>
          <t>will be 0 for some</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8316D63-C61F-4DC6-90AD-CAFD58653FE2}">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8EA2181-246B-4D82-A614-AEB8882E7A35}">
      <text>
        <r>
          <rPr>
            <sz val="9"/>
            <color indexed="81"/>
            <rFont val="Tahoma"/>
            <family val="2"/>
          </rPr>
          <t>Recycle loops are not included in GHG calculations, as they do not cross the GHG assessment boundary</t>
        </r>
      </text>
    </comment>
    <comment ref="J5" authorId="1" shapeId="0" xr:uid="{26FA5DEC-2F13-43D4-B5DB-E0F4D2392161}">
      <text>
        <r>
          <rPr>
            <sz val="9"/>
            <color indexed="81"/>
            <rFont val="Tahoma"/>
            <family val="2"/>
          </rPr>
          <t>will be 0 for some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AEEF654E-773E-4446-87F8-05892B7A949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6CBF52D-6043-4B02-BBC9-BBD722DA0957}">
      <text>
        <r>
          <rPr>
            <sz val="9"/>
            <color indexed="81"/>
            <rFont val="Tahoma"/>
            <family val="2"/>
          </rPr>
          <t>Recycle loops are not included in GHG calculations, as they do not cross the GHG assessment boundary</t>
        </r>
      </text>
    </comment>
    <comment ref="J5" authorId="1" shapeId="0" xr:uid="{986B63F4-5B46-4A3F-9E6F-5B24DE8598C5}">
      <text>
        <r>
          <rPr>
            <sz val="9"/>
            <color indexed="81"/>
            <rFont val="Tahoma"/>
            <family val="2"/>
          </rPr>
          <t>will be 0 for some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2A0E5454-36F6-4332-AF98-7EFE1BAD8E5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65C0588-01A5-4EFA-915B-ACA5F70D62A3}">
      <text>
        <r>
          <rPr>
            <sz val="9"/>
            <color indexed="81"/>
            <rFont val="Tahoma"/>
            <family val="2"/>
          </rPr>
          <t>Recycle loops are not included in GHG calculations, as they do not cross the GHG assessment boundary</t>
        </r>
      </text>
    </comment>
    <comment ref="J5" authorId="1" shapeId="0" xr:uid="{5FA4A5A5-29E6-4989-8724-B9FF0E0823AA}">
      <text>
        <r>
          <rPr>
            <sz val="9"/>
            <color indexed="81"/>
            <rFont val="Tahoma"/>
            <family val="2"/>
          </rPr>
          <t>will be 0 for some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7AC26E7-ECBA-4A62-9B66-B08CB8FB3EDA}">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5C82BA91-9A65-4A42-BEF0-FFA8B578CD4F}">
      <text>
        <r>
          <rPr>
            <sz val="9"/>
            <color indexed="81"/>
            <rFont val="Tahoma"/>
            <family val="2"/>
          </rPr>
          <t>Recycle loops are not included in GHG calculations, as they do not cross the GHG assessment boundary</t>
        </r>
      </text>
    </comment>
    <comment ref="J5" authorId="1" shapeId="0" xr:uid="{3B8A459F-D70C-486A-9380-A96485B228FE}">
      <text>
        <r>
          <rPr>
            <sz val="9"/>
            <color indexed="81"/>
            <rFont val="Tahoma"/>
            <family val="2"/>
          </rPr>
          <t>will be 0 for some</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5E4B20BF-7D2C-4355-B202-98922E59E11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6806E59-7962-4586-820E-3BAA7AD462E7}">
      <text>
        <r>
          <rPr>
            <sz val="9"/>
            <color indexed="81"/>
            <rFont val="Tahoma"/>
            <family val="2"/>
          </rPr>
          <t>Recycle loops are not included in GHG calculations, as they do not cross the GHG assessment boundary</t>
        </r>
      </text>
    </comment>
    <comment ref="J5" authorId="1" shapeId="0" xr:uid="{983B2FCF-0D79-4BC2-8DF0-E173946E50CC}">
      <text>
        <r>
          <rPr>
            <sz val="9"/>
            <color indexed="81"/>
            <rFont val="Tahoma"/>
            <family val="2"/>
          </rPr>
          <t>will be 0 for some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29D4880-65DB-475A-A87D-8D124743070F}">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8536F87D-4C9C-4A4B-BBBD-02B2E71BDF3F}">
      <text>
        <r>
          <rPr>
            <sz val="9"/>
            <color indexed="81"/>
            <rFont val="Tahoma"/>
            <family val="2"/>
          </rPr>
          <t>Recycle loops are not included in GHG calculations, as they do not cross the GHG assessment boundary</t>
        </r>
      </text>
    </comment>
    <comment ref="J5" authorId="1" shapeId="0" xr:uid="{275447D7-FCE3-4451-B601-ECAF897E765D}">
      <text>
        <r>
          <rPr>
            <sz val="9"/>
            <color indexed="81"/>
            <rFont val="Tahoma"/>
            <family val="2"/>
          </rPr>
          <t>will be 0 for some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1686EBAC-A319-424E-887F-6D083BC8C0EC}">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C96AE5A-39D6-4B32-B691-031038B55363}">
      <text>
        <r>
          <rPr>
            <sz val="9"/>
            <color indexed="81"/>
            <rFont val="Tahoma"/>
            <family val="2"/>
          </rPr>
          <t>Recycle loops are not included in GHG calculations, as they do not cross the GHG assessment boundary</t>
        </r>
      </text>
    </comment>
    <comment ref="J5" authorId="1" shapeId="0" xr:uid="{469EDFA2-C608-4701-BE59-18B8F1A08E6E}">
      <text>
        <r>
          <rPr>
            <sz val="9"/>
            <color indexed="81"/>
            <rFont val="Tahoma"/>
            <family val="2"/>
          </rPr>
          <t>will be 0 for some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CF6EE9F9-00DA-450F-B6ED-9F3FFEA194DA}">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B2BCC674-B3CC-4004-8CE9-AF4CD90AF3C2}">
      <text>
        <r>
          <rPr>
            <sz val="9"/>
            <color indexed="81"/>
            <rFont val="Tahoma"/>
            <family val="2"/>
          </rPr>
          <t>Recycle loops are not included in GHG calculations, as they do not cross the GHG assessment boundary</t>
        </r>
      </text>
    </comment>
    <comment ref="J5" authorId="1" shapeId="0" xr:uid="{BBCB3E9E-BF1B-41B5-8822-1732DBA382F9}">
      <text>
        <r>
          <rPr>
            <sz val="9"/>
            <color indexed="81"/>
            <rFont val="Tahoma"/>
            <family val="2"/>
          </rPr>
          <t>will be 0 for some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00000000-0006-0000-0800-000001000000}">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6F47E809-8CD4-4F6E-B093-D624E7D8AD0A}">
      <text>
        <r>
          <rPr>
            <sz val="9"/>
            <color indexed="81"/>
            <rFont val="Tahoma"/>
            <family val="2"/>
          </rPr>
          <t>Recycle loops are not included in GHG calculations, as they do not cross the GHG assessment boundary</t>
        </r>
      </text>
    </comment>
    <comment ref="J5" authorId="1" shapeId="0" xr:uid="{5CF8A896-5301-4508-A563-E3D005CD2071}">
      <text>
        <r>
          <rPr>
            <sz val="9"/>
            <color indexed="81"/>
            <rFont val="Tahoma"/>
            <family val="2"/>
          </rPr>
          <t>will be 0 for some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2C18104C-B67A-4BB0-9C98-592039BF8243}">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49E281AC-2C2E-42B6-BCB1-B6D6FD56403A}">
      <text>
        <r>
          <rPr>
            <sz val="9"/>
            <color indexed="81"/>
            <rFont val="Tahoma"/>
            <family val="2"/>
          </rPr>
          <t>Recycle loops are not included in GHG calculations, as they do not cross the GHG assessment boundary</t>
        </r>
      </text>
    </comment>
    <comment ref="J5" authorId="1" shapeId="0" xr:uid="{5C857EDB-F956-4B95-8421-62D5D3962FED}">
      <text>
        <r>
          <rPr>
            <sz val="9"/>
            <color indexed="81"/>
            <rFont val="Tahoma"/>
            <family val="2"/>
          </rPr>
          <t>will be 0 for some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B1AAD635-D4A2-4D40-8AFC-333CE9F299CE}">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91EB261F-D15E-4F5F-AF42-8D71B427158A}">
      <text>
        <r>
          <rPr>
            <sz val="9"/>
            <color indexed="81"/>
            <rFont val="Tahoma"/>
            <family val="2"/>
          </rPr>
          <t>Recycle loops are not included in GHG calculations, as they do not cross the GHG assessment boundary</t>
        </r>
      </text>
    </comment>
    <comment ref="J5" authorId="1" shapeId="0" xr:uid="{4097CB6F-F454-4E76-A172-CA1CFCF4FAF1}">
      <text>
        <r>
          <rPr>
            <sz val="9"/>
            <color indexed="81"/>
            <rFont val="Tahoma"/>
            <family val="2"/>
          </rPr>
          <t>will be 0 for some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Sabine Ziem</author>
    <author>Eloise Cotton</author>
  </authors>
  <commentList>
    <comment ref="H5" authorId="0" shapeId="0" xr:uid="{E58CCDFE-71D0-4BAA-8C1F-F5B5251FAE54}">
      <text>
        <r>
          <rPr>
            <sz val="9"/>
            <color indexed="81"/>
            <rFont val="Tahoma"/>
            <family val="2"/>
          </rPr>
          <t>please specify in as much detail as possible where these inputs originate from. E.g. CHP unit or whichever external supplier (state where this supplier is located to estimate transport distances &amp; modes</t>
        </r>
      </text>
    </comment>
    <comment ref="I5" authorId="1" shapeId="0" xr:uid="{6BD491F9-BB43-488A-9600-8CD0DAD04276}">
      <text>
        <r>
          <rPr>
            <sz val="9"/>
            <color indexed="81"/>
            <rFont val="Tahoma"/>
            <family val="2"/>
          </rPr>
          <t>Recycle loops are not included in GHG calculations, as they do not cross the GHG assessment boundary</t>
        </r>
      </text>
    </comment>
    <comment ref="J5" authorId="1" shapeId="0" xr:uid="{4B449A66-B80C-4405-A4C8-B2B8C8BA5F7E}">
      <text>
        <r>
          <rPr>
            <sz val="9"/>
            <color indexed="81"/>
            <rFont val="Tahoma"/>
            <family val="2"/>
          </rPr>
          <t>will be 0 for some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<sst xmlns="http://schemas.openxmlformats.org/spreadsheetml/2006/main" count="7073" uniqueCount="1358">
  <si>
    <t>Hydrogen Emissions Calculator for the UK Low Carbon Hydrogen Standard: 
FULL CALCULATOR FOR ALL ELIGIBLE PATHWAYS</t>
  </si>
  <si>
    <t>This calculator is used for calculating the likely future GHG emissions associated with hydrogen production from a particular production pathway and determining likely compliance of that pathway with the Low Carbon Hydrogen Standard. It covers hydrogen production pathways within the current scope of the Low Carbon Hydrogen Standard. Note that this workbook is not to be used for reporting of actual GHG emissions once your project is operational.</t>
  </si>
  <si>
    <t>1. Fill in the Initial_questions worksheet</t>
  </si>
  <si>
    <t>The user should first navigate to the Initial_questions worksheet to provide detailed information on the hydrogen production pathway. Certain questions include drop down menus and a response should be selected from the list of choices given. Other worksheets may not function properly if the Initial_questions worksheet is not fully completed.</t>
  </si>
  <si>
    <t>On completing the Initial_questions worksheet, the user should apply Custom Views to keep those worksheets relevant to the hydrogen production pathway active, while hiding those worksheets that are not relevant to the pathway of interest. Instructions on how to access Custom Views is provided at the bottom of the Initial_questions worksheet.</t>
  </si>
  <si>
    <t>The user should then navigate to the first step of their production pathway by following the link given at the bottom of the Initial_questions worksheet. Note if the link does not appear, ensure that responses to the questions have been provided in the Initial_questions worksheet.</t>
  </si>
  <si>
    <t>2. Fill in the Hydrogen Production Pathway Worksheets</t>
  </si>
  <si>
    <t>Once the user has navigated to the first step of their pathway, they will need provide data on the inputs and outputs to their pathway. It is important to provide as much detail as possible and include references to sources of information. Note that if the user has selected to use default data for some of the steps or processing plant emission categories in their pathway, the corresponding worksheets or rows will not need to be completed and will be blanked out with a message.</t>
  </si>
  <si>
    <t>3. View the result in the Summary GHG Worksheet</t>
  </si>
  <si>
    <t>The total GHG emissions calculated for the production pathway will be displayed in the pathway summary GHG worksheet which can be accessed via the link given at the top of the processing worksheet (the last step of the pathway, from which hydrogen is produced).</t>
  </si>
  <si>
    <t>Guidance Worksheets</t>
  </si>
  <si>
    <t>Guidance has been provided to help explain how to use the worksheets in this calculator.</t>
  </si>
  <si>
    <t>Multiple workbooks may be needed if there are multiple consignments for the pathway, e.g. multiple biomethane feedstocks used in ATR with CCS, or multiple biomass feedstocks used in gasification with CCS. The GHG emissions results for other consignments that have been calculated in other workbooks should be listed in the table in the Dashboard worksheet.</t>
  </si>
  <si>
    <t>Disclaimer</t>
  </si>
  <si>
    <t>A user achieving a satisfactory GHG emissions result within the tool is not necessarily proof of compliance with the UK's Low Carbon Hydrogen Standard nor eligibility for any UK Government grant funding or revenue support policies that rely on the Low Carbon Hydrogen Standard. ERM, Arup and DESNZ take no responsibility for any user errors or inconsistent datasets being used.</t>
  </si>
  <si>
    <t>The onus is on the user to carefully check all the data they input and any suggested datasets referenced within the tool that they rely on within their calculations, including whether any data used is applicable to the user's feedstock and pathway.</t>
  </si>
  <si>
    <t>Only once a completed version of this file, accompanying files for other hydrogen consignments (where relevant) and all accompanying evidence have been subject to detailed review for validity and consistency will DESNZ be able to state whether a project is likely to be compliant with the Low Carbon Hydrogen Standard.</t>
  </si>
  <si>
    <t>General instructions, Questions &amp; Pathway summary</t>
  </si>
  <si>
    <t>Title</t>
  </si>
  <si>
    <t>Landing page, overview instructions and disclaimer</t>
  </si>
  <si>
    <t>Navigation</t>
  </si>
  <si>
    <t>This worksheet, setting out the workbook structure</t>
  </si>
  <si>
    <t>Guidance Initial Qus</t>
  </si>
  <si>
    <t>This sheet explains how to use the Initial questions worksheet</t>
  </si>
  <si>
    <t>Guidance Processing</t>
  </si>
  <si>
    <t>This sheet explains how to use the Processing worksheets</t>
  </si>
  <si>
    <t>Guidance Feedstock dLUC</t>
  </si>
  <si>
    <t>This sheet explains how to use the access the RTFO calculator to calculate direct land use change emissions for the feedstock cultivation worksheets</t>
  </si>
  <si>
    <t>Guidance Summary GHG</t>
  </si>
  <si>
    <t>This sheet explains how to use the Summary GHG worksheets</t>
  </si>
  <si>
    <t>Initial_questions</t>
  </si>
  <si>
    <t>Fill in project details, pathway technology, feedstock details, electricity use, hydrogen output characteristics, CO2 capture assumptions and data sourcing</t>
  </si>
  <si>
    <t>System boundary</t>
  </si>
  <si>
    <t>Please provide a schematic representation of your GHG assessment system boundary, for the chosen consignment(s)</t>
  </si>
  <si>
    <t>Dashboard</t>
  </si>
  <si>
    <t>Please list all consignments, check you have answered all relevant questions and check your results</t>
  </si>
  <si>
    <t>Units</t>
  </si>
  <si>
    <t>Please add any additional unit conversions used throughout the workbook in this worksheet</t>
  </si>
  <si>
    <t>Default data</t>
  </si>
  <si>
    <t>Default data that can be used for feedstock supply, energy supply and input materials categories</t>
  </si>
  <si>
    <t>Typical data</t>
  </si>
  <si>
    <t>Typical data GHG emission intensities for electricity, fuel, feedstocks, self-discharge losses, round trip efficiencies, theoretical compression &amp; purification calculations</t>
  </si>
  <si>
    <t>Non Typical data</t>
  </si>
  <si>
    <t>Other useful reference sources</t>
  </si>
  <si>
    <t>GHG_ELECTROLYSIS</t>
  </si>
  <si>
    <t>Output Summary GHG emission worksheets showing step efficiencies, emissions, allocation between products/co-products, and pathway total GHG emissions</t>
  </si>
  <si>
    <t>GHG_NG_REFORM_CCS</t>
  </si>
  <si>
    <t>GHG_ROG_REFORM_CCS</t>
  </si>
  <si>
    <t>GHG_NG_SPLITTING</t>
  </si>
  <si>
    <t>GHG_BIOMETHANE_REFORM</t>
  </si>
  <si>
    <t>GHG_BIOMASS_GASIFICATION</t>
  </si>
  <si>
    <t>GHG_WASTE_GASIFICATION</t>
  </si>
  <si>
    <t>GHG_GENERIC_OTHER</t>
  </si>
  <si>
    <t>Electrolysis using wind/solar, nuclear, grid or other electricity sources</t>
  </si>
  <si>
    <t>Complete each of the applicable pathway step worksheets, ensuring that all inputs and outputs for each pathway step are captured. In each worksheet, a set of example inputs and outputs are provided. This should not be considered an exhaustive list, and some of the examples may not apply to your pathway. Illustrative data in red text are provided, which should be deleted/replaced.
The input and output values should be reported in either tonnes/yr or MWh/yr. Please provide the assumed annual operating hours (full-load equivalents) at the bottom of every worksheet. 
If a worksheet is not required, include only the step main input and main output (with the same data for both), with no other inputs/outputs/losses, and this will keep the worksheet at 100% efficiency, 100% allocation factor, with no added GHG emissions.
If default data will be used for part of the pathway, only provide input and output values for the relevant worksheets and do not complete blank worksheets. Note in the processing step for each pathway, default data may be selected for some of the emissions categories (Energy Supply and/or Input Materials), therefore there may be blank blocks of rows in this final worksheet for the pathway which do not need to be completed.
One workbook should be completed with the annual average data used for electricity sources and/or CO2 capture. Multiple workbooks may be needed if there are multiple feedstocks being used that form different hydrogen consignments with different GHG emissions, e.g. animal manure and maize feedstocks for a biomethane SMR pathway, or forestry residue and straw feedstocks for a biomass gasification pathway.</t>
  </si>
  <si>
    <t>Electrolysis</t>
  </si>
  <si>
    <t xml:space="preserve">Fossil natural gas reforming with CCS </t>
  </si>
  <si>
    <t>NG Collection</t>
  </si>
  <si>
    <t>NG Transport</t>
  </si>
  <si>
    <t>NG Processing</t>
  </si>
  <si>
    <t>NG Further Transport</t>
  </si>
  <si>
    <t>NG Reforming + CCS</t>
  </si>
  <si>
    <t xml:space="preserve">Refinery off gas (ROG) reforming with CCS </t>
  </si>
  <si>
    <t>ROG Counterfactual</t>
  </si>
  <si>
    <t>Crude Collection</t>
  </si>
  <si>
    <t>Crude Transport</t>
  </si>
  <si>
    <t>Crude Refine</t>
  </si>
  <si>
    <t>ROG Processing</t>
  </si>
  <si>
    <t>ROG Transport</t>
  </si>
  <si>
    <t>ROG Reforming + CCS</t>
  </si>
  <si>
    <t>Fossil natural gas splitting producing solid carbon</t>
  </si>
  <si>
    <t>NG Splitting Solid Carbon</t>
  </si>
  <si>
    <t xml:space="preserve">Biomethane reforming with or without CCS </t>
  </si>
  <si>
    <t>Biogas Feedstock Cultivation</t>
  </si>
  <si>
    <t>Biogas Feedstock Harvesting</t>
  </si>
  <si>
    <t>Biogas Feedstock Collection</t>
  </si>
  <si>
    <t>Biogas Feedstock Transport</t>
  </si>
  <si>
    <t>Biogas+Biomethane Upgrading</t>
  </si>
  <si>
    <t>Biomethane Transport</t>
  </si>
  <si>
    <t>Biomethane Reforming (+ CCS)</t>
  </si>
  <si>
    <t>Biomass gasification with or without CCS</t>
  </si>
  <si>
    <t>Biomass Cultivation</t>
  </si>
  <si>
    <t>Biomass Harvesting</t>
  </si>
  <si>
    <t>Biomass Collection</t>
  </si>
  <si>
    <t>Biomass Transport</t>
  </si>
  <si>
    <t>Biomass Pre-Processing</t>
  </si>
  <si>
    <t>Biomass Further Transport</t>
  </si>
  <si>
    <t>Biomass Gasification (+ CCS)</t>
  </si>
  <si>
    <t>Waste gasification with or without CCS</t>
  </si>
  <si>
    <t>Waste Fossil Counterfactual</t>
  </si>
  <si>
    <t>Waste Collection</t>
  </si>
  <si>
    <t>Waste Transport</t>
  </si>
  <si>
    <t>Waste Pre-Processing</t>
  </si>
  <si>
    <t>Waste Further Transport</t>
  </si>
  <si>
    <t>Waste Gasification (+ CCS)</t>
  </si>
  <si>
    <t>Generic pathway</t>
  </si>
  <si>
    <t>Generic Feedstock Cultivation</t>
  </si>
  <si>
    <t>Generic Feedstock Harvesting</t>
  </si>
  <si>
    <t>Generic Feedstock Collection</t>
  </si>
  <si>
    <t>Generic Feedstock Transport</t>
  </si>
  <si>
    <t>Generic Pre-Processing</t>
  </si>
  <si>
    <t>Generic Further Transport</t>
  </si>
  <si>
    <t>Generic Conversion</t>
  </si>
  <si>
    <t>Version control</t>
  </si>
  <si>
    <t>v4.10 Full</t>
  </si>
  <si>
    <t>Initial questions worksheet</t>
  </si>
  <si>
    <t>This sheet provides guidance on how to use the Initial questions worksheet</t>
  </si>
  <si>
    <t>Legend</t>
  </si>
  <si>
    <t>Cells require data input (freeform)</t>
  </si>
  <si>
    <t>Cells require data input (from drop-down menu)</t>
  </si>
  <si>
    <t>Calculation cells</t>
  </si>
  <si>
    <t>Initial questions worksheet overview</t>
  </si>
  <si>
    <t xml:space="preserve">The answers given in the Initial questions worksheet are used to assess compliance of the pathway with the UK Low Carbon Hydrogen Standard. </t>
  </si>
  <si>
    <t>Later questions will update based on the answers given to earlier questions in the worksheet. "Not applicable" is a valid selection if the question is irrelevant to your project.</t>
  </si>
  <si>
    <t xml:space="preserve">The hydrogen production pathway and the feedstock origins should be selected from the drop down lists provided. </t>
  </si>
  <si>
    <t xml:space="preserve"> Example pathway 1: Natural Gas Steam Methane Reformer (SMR) with CCS</t>
  </si>
  <si>
    <t>Some sections may not be applicable to the pathway selected and the user should move on to the next set of questions if this is the case.</t>
  </si>
  <si>
    <t>Multiple workbooks may be needed if there are multiple feedstocks being used that form different hydrogen consignments with different GHG emissions, e.g. animal manure and maize feedstocks for a biomethane SMR pathway, or forestry residue and straw feedstocks for a biomass gasification pathway. The GHG emissions results for other consignments that have been calculated in other workbooks should be listed in the table in the Dashboard worksheet.</t>
  </si>
  <si>
    <t>Details on the electricity source(s) should be given here. Some questions will update based on previous answers given. Here, all required electricity sources are listed and so questions related to "Other" sources of electricity are updated to show "Not applicable".</t>
  </si>
  <si>
    <r>
      <t>Example pathway 1: Fossil SMR with CCS</t>
    </r>
    <r>
      <rPr>
        <sz val="11"/>
        <color rgb="FF000000"/>
        <rFont val="Calibri"/>
        <family val="2"/>
      </rPr>
      <t>. Questions and sections have updated to reflect pathway selection</t>
    </r>
  </si>
  <si>
    <r>
      <t>Example pathway 2: Biomass gasification with CCS</t>
    </r>
    <r>
      <rPr>
        <sz val="11"/>
        <color rgb="FF000000"/>
        <rFont val="Calibri"/>
        <family val="2"/>
      </rPr>
      <t>. Questions and sections have updated to reflect pathway selection</t>
    </r>
  </si>
  <si>
    <r>
      <t xml:space="preserve">The UK Low Carbon Hydrogen Standard requires that hydrogen GHG emissions are calculated at a minimum </t>
    </r>
    <r>
      <rPr>
        <b/>
        <sz val="11"/>
        <color rgb="FF000000"/>
        <rFont val="Calibri"/>
        <family val="2"/>
      </rPr>
      <t xml:space="preserve">3 MPa </t>
    </r>
    <r>
      <rPr>
        <sz val="11"/>
        <color rgb="FF000000"/>
        <rFont val="Calibri"/>
        <family val="2"/>
      </rPr>
      <t>pressure and</t>
    </r>
    <r>
      <rPr>
        <b/>
        <sz val="11"/>
        <color rgb="FF000000"/>
        <rFont val="Calibri"/>
        <family val="2"/>
      </rPr>
      <t xml:space="preserve"> 99.9% by volume </t>
    </r>
    <r>
      <rPr>
        <sz val="11"/>
        <color rgb="FF000000"/>
        <rFont val="Calibri"/>
        <family val="2"/>
      </rPr>
      <t xml:space="preserve">purity. If a pathway produces hydrogen at a lower pressure and purity, there are theoretical compression and purification GHG emissions included in the calculator to allow for these pathways to produce hydrogen that meets the requirements of the Standard. It is therefore important to provide data on the output pressure and purity of the hydrogen produced by a certain pathway. </t>
    </r>
    <r>
      <rPr>
        <b/>
        <sz val="11"/>
        <color rgb="FF000000"/>
        <rFont val="Calibri"/>
        <family val="2"/>
      </rPr>
      <t>Example pathway 3: Fossil ATR with CCS.</t>
    </r>
  </si>
  <si>
    <t>Your project may be at an early stage, and there may be insufficient data available to calculate the GHG emissions from certain steps of our pathway. Default data has been provided for the GHG emissions associated with feedstock supply, processing plant energy inputs, and processing plant input materials, for those hydrogen production pathways detailed in the Low Carbon Hydrogen Standard. If default data is required for the pathway, this should be selected in the drop down list to allow for the data to be populated in the relevant Summary GHG worksheet to calculate your result. Default data is not provided for the emissions associated with Process CO2 emissions generated, CO2 capture and network entry, CO2 sequestration, and Fugitive non-CO2 emissions, and so projected data values must be used for these categories. Projected data must also be used if your feedstock or pathway does not match the feedstock or pathway within the DESNZ default dataset.</t>
  </si>
  <si>
    <t>Example 4: Food waste ATR with CCS</t>
  </si>
  <si>
    <t>Processing worksheet</t>
  </si>
  <si>
    <t>This sheet provides guidance on how to use the processing worksheet (final step of the supply chain that produces hydrogen)</t>
  </si>
  <si>
    <t>Processing worksheet overview</t>
  </si>
  <si>
    <t>The Processing worksheet for the natural gas reforming step of the fossil ATR with CCS pathway is shown below as an example. Note the values in red text are illustrative numbers and should be deleted.</t>
  </si>
  <si>
    <r>
      <t>The processing worksheets are structured into the emissions categories of the UK Low Carbon Hydrogen Standard:
- Energy supply
- Input materials
- Process CO</t>
    </r>
    <r>
      <rPr>
        <vertAlign val="subscript"/>
        <sz val="11"/>
        <color rgb="FF000000"/>
        <rFont val="Calibri"/>
        <family val="2"/>
      </rPr>
      <t>2</t>
    </r>
    <r>
      <rPr>
        <sz val="11"/>
        <color rgb="FF000000"/>
        <rFont val="Calibri"/>
        <family val="2"/>
      </rPr>
      <t xml:space="preserve"> emissions
- CO</t>
    </r>
    <r>
      <rPr>
        <vertAlign val="subscript"/>
        <sz val="11"/>
        <color rgb="FF000000"/>
        <rFont val="Calibri"/>
        <family val="2"/>
      </rPr>
      <t>2</t>
    </r>
    <r>
      <rPr>
        <sz val="11"/>
        <color rgb="FF000000"/>
        <rFont val="Calibri"/>
        <family val="2"/>
      </rPr>
      <t xml:space="preserve"> capture and network entry
- CO</t>
    </r>
    <r>
      <rPr>
        <vertAlign val="subscript"/>
        <sz val="11"/>
        <color rgb="FF000000"/>
        <rFont val="Calibri"/>
        <family val="2"/>
      </rPr>
      <t>2</t>
    </r>
    <r>
      <rPr>
        <sz val="11"/>
        <color rgb="FF000000"/>
        <rFont val="Calibri"/>
        <family val="2"/>
      </rPr>
      <t xml:space="preserve"> sequestration
- Fugitive non-CO</t>
    </r>
    <r>
      <rPr>
        <vertAlign val="subscript"/>
        <sz val="11"/>
        <color rgb="FF000000"/>
        <rFont val="Calibri"/>
        <family val="2"/>
      </rPr>
      <t>2</t>
    </r>
    <r>
      <rPr>
        <sz val="11"/>
        <color rgb="FF000000"/>
        <rFont val="Calibri"/>
        <family val="2"/>
      </rPr>
      <t xml:space="preserve"> emissions</t>
    </r>
  </si>
  <si>
    <t>Energy supply</t>
  </si>
  <si>
    <t>Input materials</t>
  </si>
  <si>
    <r>
      <t>Process CO</t>
    </r>
    <r>
      <rPr>
        <b/>
        <vertAlign val="subscript"/>
        <sz val="11"/>
        <color rgb="FF000098"/>
        <rFont val="Calibri"/>
        <family val="2"/>
      </rPr>
      <t>2</t>
    </r>
    <r>
      <rPr>
        <b/>
        <sz val="11"/>
        <color rgb="FF000098"/>
        <rFont val="Calibri"/>
        <family val="2"/>
      </rPr>
      <t xml:space="preserve"> emissions, CO</t>
    </r>
    <r>
      <rPr>
        <b/>
        <vertAlign val="subscript"/>
        <sz val="11"/>
        <color rgb="FF000098"/>
        <rFont val="Calibri"/>
        <family val="2"/>
      </rPr>
      <t>2</t>
    </r>
    <r>
      <rPr>
        <b/>
        <sz val="11"/>
        <color rgb="FF000098"/>
        <rFont val="Calibri"/>
        <family val="2"/>
      </rPr>
      <t xml:space="preserve"> capture and network entry, CO</t>
    </r>
    <r>
      <rPr>
        <b/>
        <vertAlign val="subscript"/>
        <sz val="11"/>
        <color rgb="FF000098"/>
        <rFont val="Calibri"/>
        <family val="2"/>
      </rPr>
      <t xml:space="preserve">2 </t>
    </r>
    <r>
      <rPr>
        <b/>
        <sz val="11"/>
        <color rgb="FF000098"/>
        <rFont val="Calibri"/>
        <family val="2"/>
      </rPr>
      <t>sequestration</t>
    </r>
  </si>
  <si>
    <r>
      <t>Fugitive non-CO</t>
    </r>
    <r>
      <rPr>
        <b/>
        <vertAlign val="subscript"/>
        <sz val="11"/>
        <color rgb="FF000098"/>
        <rFont val="Calibri"/>
        <family val="2"/>
      </rPr>
      <t>2</t>
    </r>
    <r>
      <rPr>
        <b/>
        <sz val="11"/>
        <color rgb="FF000098"/>
        <rFont val="Calibri"/>
        <family val="2"/>
      </rPr>
      <t xml:space="preserve"> emissions</t>
    </r>
  </si>
  <si>
    <t>Other characteristics</t>
  </si>
  <si>
    <t>Direct Land Use Change (dLUC) Emissions</t>
  </si>
  <si>
    <t>This sheet provides guidance on how to access the RTFO calculator to calculate dLUC emissions for the feedstock cultivation worksheets</t>
  </si>
  <si>
    <t>Direct Land Use Change (dLUC) overview</t>
  </si>
  <si>
    <t>The direct land use change section of the Feedstock Cultivation worksheet for the biomethane ATR with CCS pathway is shown below as an example. Note the values in red text are illustrative numbers and should be deleted.</t>
  </si>
  <si>
    <t>To assist with calculations of dLUC emissions, the Renewable Transport Fuel Obligation (RTFO) calculator may be used. However, this should only be used for calculations of dLUC emissions, for input to this file. In addition, please note that the Low Carbon Hydrogen Standard does not currently allow emissions bonuses for using restored degraded land, soil for carbon accumulation via improved agricultural management, or avoided manure methane credits, so these should not be accounted for in the dLUC value inputted to this file.</t>
  </si>
  <si>
    <t xml:space="preserve">The RTFO calculator software can be downloaded via the following link: </t>
  </si>
  <si>
    <t xml:space="preserve">https://www.gov.uk/government/publications/biofuels-carbon-calculator-rtfo </t>
  </si>
  <si>
    <t>The User Manual for the calculator can also be accessed via the link above and provides guidance on how to use the calculator to generate results for a given supply chain.</t>
  </si>
  <si>
    <t>The calculation for land-use change emissions is detailed in Annex C, Chapter 5.1 (page 31) of the Low Carbon Hydrogen Standard guidance Annexes, with the following equation used (with further sub-equations for the individual terms):</t>
  </si>
  <si>
    <t>Summary worksheets</t>
  </si>
  <si>
    <t>This sheet provides guidance on how to use the Summary worksheets</t>
  </si>
  <si>
    <t>Calculation cells (linked to another worksheet or calculated in worksheet)</t>
  </si>
  <si>
    <t>Cell does not require data input and is not a calculation</t>
  </si>
  <si>
    <t>Summary worksheets overview</t>
  </si>
  <si>
    <t>The Summary worksheet with results for the fossil ATR with CCS pathway is shown below as an example. Note the projected data is based on illustrative numbers entered in red text in the pathway step worksheets, which the user will be deleting/overwriting.</t>
  </si>
  <si>
    <t>Calculator explanation</t>
  </si>
  <si>
    <t>1: Projected or Default data?</t>
  </si>
  <si>
    <t>If there is insufficient data for the upstream steps of the pathway, there is the option to select default data in the Data sources section of the Initial questions worksheet. There is also default data available for the energy supply and input materials. The default values are listed in the Default data worksheet and are automatically populated in the Summary table based on the pathway selected in the Initial questions worksheet.</t>
  </si>
  <si>
    <t>Selection made in the Initial questions worksheet:</t>
  </si>
  <si>
    <t>Summary worksheet entries are automatically populated based on this selection and the selected GHG emissions from the step are calculated.</t>
  </si>
  <si>
    <r>
      <t>2: GHG emissions from step, WITHOUT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</si>
  <si>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step, without allocation, is calculated using the following formula:</t>
  </si>
  <si>
    <r>
      <t>3: Projected GHG emissions from step, WITH allocation (gCO</t>
    </r>
    <r>
      <rPr>
        <b/>
        <vertAlign val="subscript"/>
        <sz val="11"/>
        <color rgb="FF000098"/>
        <rFont val="Calibri"/>
        <family val="2"/>
      </rPr>
      <t>2e</t>
    </r>
    <r>
      <rPr>
        <b/>
        <sz val="11"/>
        <color rgb="FF000098"/>
        <rFont val="Calibri"/>
        <family val="2"/>
      </rPr>
      <t>/MJ</t>
    </r>
    <r>
      <rPr>
        <b/>
        <vertAlign val="subscript"/>
        <sz val="11"/>
        <color rgb="FF000098"/>
        <rFont val="Calibri"/>
        <family val="2"/>
      </rPr>
      <t xml:space="preserve"> LHV</t>
    </r>
    <r>
      <rPr>
        <b/>
        <sz val="11"/>
        <color rgb="FF000098"/>
        <rFont val="Calibri"/>
        <family val="2"/>
      </rPr>
      <t xml:space="preserve"> standard H</t>
    </r>
    <r>
      <rPr>
        <b/>
        <vertAlign val="subscript"/>
        <sz val="11"/>
        <color rgb="FF000098"/>
        <rFont val="Calibri"/>
        <family val="2"/>
      </rPr>
      <t>2</t>
    </r>
    <r>
      <rPr>
        <b/>
        <sz val="11"/>
        <color rgb="FF000098"/>
        <rFont val="Calibri"/>
        <family val="2"/>
      </rPr>
      <t>)</t>
    </r>
  </si>
  <si>
    <t>The emissions from each step, with allocation, is calculated using the following formula:</t>
  </si>
  <si>
    <t>The energy allocation approach is used to determine the allocation factor for each step. The upstream and step emissions are assigned to all products and co-products according to the proportion of the total output energy that they each have, as measured on a lower heating value basis.</t>
  </si>
  <si>
    <t>Initial questions to be filled in by any pre-operational hydrogen production project</t>
  </si>
  <si>
    <t>Project details</t>
  </si>
  <si>
    <t>Organisation name</t>
  </si>
  <si>
    <t>Contact email address</t>
  </si>
  <si>
    <t>Project name</t>
  </si>
  <si>
    <t>Is the hydrogen production project located in the UK?</t>
  </si>
  <si>
    <t>Details of the project location</t>
  </si>
  <si>
    <t>Technology</t>
  </si>
  <si>
    <t>Please select the hydrogen production pathway relevant to your project</t>
  </si>
  <si>
    <t>Please confirm that your hydrogen production plant is yet to be constructed (select ‘Yes’ if not yet built)</t>
  </si>
  <si>
    <t>What full calendar year of plant operations do the calculations in this workbook cover?</t>
  </si>
  <si>
    <t>Electricity inputs</t>
  </si>
  <si>
    <t>Of the electricity imported into the processing plant (not just for the hydrogen conversion equipment) in the relevant year of operations, what is the breakdown of the sources of this electricity? Please enter 0 if not applicable.</t>
  </si>
  <si>
    <t>Wind or solar electricity</t>
  </si>
  <si>
    <r>
      <t>MWh</t>
    </r>
    <r>
      <rPr>
        <b/>
        <vertAlign val="subscript"/>
        <sz val="11"/>
        <color rgb="FF000000"/>
        <rFont val="Calibri"/>
        <family val="2"/>
      </rPr>
      <t>e</t>
    </r>
    <r>
      <rPr>
        <b/>
        <sz val="11"/>
        <color rgb="FF000000"/>
        <rFont val="Calibri"/>
        <family val="2"/>
      </rPr>
      <t>/year</t>
    </r>
  </si>
  <si>
    <t>Nuclear electricity</t>
  </si>
  <si>
    <t>Grid electricity (national average)</t>
  </si>
  <si>
    <t>Stored electricity</t>
  </si>
  <si>
    <t>Other electricity source(s)</t>
  </si>
  <si>
    <r>
      <t>gCO</t>
    </r>
    <r>
      <rPr>
        <b/>
        <vertAlign val="subscript"/>
        <sz val="11"/>
        <color rgb="FF000000"/>
        <rFont val="Calibri"/>
        <family val="2"/>
      </rPr>
      <t>2</t>
    </r>
    <r>
      <rPr>
        <b/>
        <sz val="11"/>
        <color rgb="FF000000"/>
        <rFont val="Calibri"/>
        <family val="2"/>
      </rPr>
      <t>e/kWh</t>
    </r>
    <r>
      <rPr>
        <b/>
        <vertAlign val="subscript"/>
        <sz val="11"/>
        <color rgb="FF000000"/>
        <rFont val="Calibri"/>
        <family val="2"/>
      </rPr>
      <t>e</t>
    </r>
  </si>
  <si>
    <t>Expected annual average GHG emissions intensity of the total electricity imported into the processing plant in the relevant calendar year of operations</t>
  </si>
  <si>
    <t>Expected annual average % renewability of grid electricity (national average)</t>
  </si>
  <si>
    <t>Expected annual average % renewability of stored electricity</t>
  </si>
  <si>
    <t>Expected annual average % renewability of other electricity source(s)</t>
  </si>
  <si>
    <t>Expected annual average % of electricity derived from low-carbon sources - please adjust the formula if the 'stored electricity' or 'other electricity source' is low carbon</t>
  </si>
  <si>
    <t>Please give further details of the source of the electricity used in the processing plant (e.g. type, location, scale and status of a specific power plant or electricity storage facility, other generation sources imported)</t>
  </si>
  <si>
    <t>For the electricity imported into the processing plant, please enter the % of electricity sourced via each arrangement (enter 0% if not applicable)</t>
  </si>
  <si>
    <t>Curtailed low carbon electricity</t>
  </si>
  <si>
    <t>Off-grid dedicated generation (via physically linked low carbon electricity generation), neither low carbon electricity generator or hydrogen production plant connected to the grid</t>
  </si>
  <si>
    <t>On-grid dedicated generation (via physically linked low carbon electricity generation), if low carbon electricity generator and/or hydrogen production plant connected to the grid</t>
  </si>
  <si>
    <t xml:space="preserve">Direct/Sleeved Power Purchase Agreement (physical tracing of low carbon generation via the grid) </t>
  </si>
  <si>
    <t xml:space="preserve">Wholesale purchase from generator (physical tracing of low carbon generation via the grid) </t>
  </si>
  <si>
    <t>Shaped PPA (mix of physically traced generation and grid imported electricity)</t>
  </si>
  <si>
    <t xml:space="preserve">Virtual PPA (treated as grid imported electricity if there is no physical tracing of low carbon generation) </t>
  </si>
  <si>
    <t xml:space="preserve">Wholesale/retail grid import (no links to low carbon generation – taken as grid average) </t>
  </si>
  <si>
    <t>Other</t>
  </si>
  <si>
    <t>Total (sum-check)</t>
  </si>
  <si>
    <t>If applicable, please reference and attach the documents evidencing the contractual details of the electricity input arrangement (e.g. Power Purchase Agreement details covering ownership of the associated generation and agreed electricity amounts purchased).</t>
  </si>
  <si>
    <r>
      <t>MJ</t>
    </r>
    <r>
      <rPr>
        <b/>
        <vertAlign val="subscript"/>
        <sz val="11"/>
        <rFont val="Calibri"/>
        <family val="2"/>
      </rPr>
      <t>LHV</t>
    </r>
    <r>
      <rPr>
        <b/>
        <sz val="11"/>
        <rFont val="Calibri"/>
        <family val="2"/>
      </rPr>
      <t xml:space="preserve"> H</t>
    </r>
    <r>
      <rPr>
        <b/>
        <vertAlign val="subscript"/>
        <sz val="11"/>
        <rFont val="Calibri"/>
        <family val="2"/>
      </rPr>
      <t>2</t>
    </r>
    <r>
      <rPr>
        <b/>
        <sz val="11"/>
        <rFont val="Calibri"/>
        <family val="2"/>
      </rPr>
      <t>/MJ</t>
    </r>
    <r>
      <rPr>
        <b/>
        <vertAlign val="subscript"/>
        <sz val="11"/>
        <rFont val="Calibri"/>
        <family val="2"/>
      </rPr>
      <t>LHV</t>
    </r>
    <r>
      <rPr>
        <b/>
        <sz val="11"/>
        <rFont val="Calibri"/>
        <family val="2"/>
      </rPr>
      <t xml:space="preserve"> crop feedstock</t>
    </r>
  </si>
  <si>
    <r>
      <t>gCO</t>
    </r>
    <r>
      <rPr>
        <b/>
        <vertAlign val="subscript"/>
        <sz val="11"/>
        <rFont val="Calibri"/>
        <family val="2"/>
      </rPr>
      <t>2</t>
    </r>
    <r>
      <rPr>
        <b/>
        <sz val="11"/>
        <rFont val="Calibri"/>
        <family val="2"/>
      </rPr>
      <t>e/MJ</t>
    </r>
    <r>
      <rPr>
        <b/>
        <vertAlign val="subscript"/>
        <sz val="11"/>
        <rFont val="Calibri"/>
        <family val="2"/>
      </rPr>
      <t>LHV</t>
    </r>
    <r>
      <rPr>
        <b/>
        <sz val="11"/>
        <rFont val="Calibri"/>
        <family val="2"/>
      </rPr>
      <t xml:space="preserve"> H</t>
    </r>
    <r>
      <rPr>
        <b/>
        <vertAlign val="subscript"/>
        <sz val="11"/>
        <rFont val="Calibri"/>
        <family val="2"/>
      </rPr>
      <t>2</t>
    </r>
  </si>
  <si>
    <t>Hydrogen output</t>
  </si>
  <si>
    <t>What is the proposed production of hydrogen in the relevant year of operations, after any onsite compression and purification?</t>
  </si>
  <si>
    <t>tonnes/year</t>
  </si>
  <si>
    <t>What are the full load equivalent operating hours for the relevant year? This is the annual hydrogen production (tonnes/year) divided by maximum capacity (tonnes/hour), and will be lower than the operating hours in the row below.</t>
  </si>
  <si>
    <t>hours/year</t>
  </si>
  <si>
    <t>How many hours will your plant be operational for in the relevant year? This includes periods of full and part load.</t>
  </si>
  <si>
    <t>What is the proposed hydrogen output pressure of your production plant, after any onsite compression?</t>
  </si>
  <si>
    <t>MPa = (bar/10)</t>
  </si>
  <si>
    <t>What is the proposed hydrogen output purity of your production plant, after any onsite purification?</t>
  </si>
  <si>
    <t>by volume</t>
  </si>
  <si>
    <t>What is the proposed hydrogen output temperature of your production plant, after any onsite compression and purification?</t>
  </si>
  <si>
    <t>°C</t>
  </si>
  <si>
    <t>What is the expected source of the electricity that would theoretically be used for compression or purification up to the minimum levels in the Standard (if output pressure and/or purity are below the Standard levels), or for compression or purification from the Standard levels up to higher output levels specified (if Default data is selected for Energy supply emissions)?</t>
  </si>
  <si>
    <t>Do you agree to provide a Fugitive Hydrogen Emissions Risk Reduction Plan?</t>
  </si>
  <si>
    <t>Data sources</t>
  </si>
  <si>
    <t>Are the data used for the calculations in this workbook Projected, Default data or a Mix? 
NB: If selecting the "Other" pathway, POX pathway, Natural gas splitting producing solid carbon pathway, or if using Gasification pathways with a feedstock that does not match the feedstocks within the DESNZ default dataset, users are not allowed to select "Default" or "Mixed", and must select "Projected". If selecting Electrolysis using 'Other electricity input', Electrolysis using 'Stored electricity', Biomethane SMR pathways, and pathways with fossil gas feedstock not taken from the UK gas grid (e.g. ROG or imported natural gas), users must select "Projected" or "Mixed".</t>
  </si>
  <si>
    <t>If applicable, please explain your overall approach for determining projected data values, e.g. your own engineering design studies, literature surveys.</t>
  </si>
  <si>
    <t>Please provide references to documents that evidence the GHG calculations for the project (e.g. technical evidence, feedstock contracts, offtakes etc), and attach these documents alongside your submitted workbook(s)</t>
  </si>
  <si>
    <t>Next steps:</t>
  </si>
  <si>
    <t>1. Please go to the "View" tab of the Excel ribbon, to the workbook views section and select "Custom views". Alternatively, hold the Alt key, press W and then C.</t>
  </si>
  <si>
    <t>3. Please go to the System Boundary worksheet to provide a schematic representation of your system boundary and supply chain for the chosen consignment.</t>
  </si>
  <si>
    <t>Alternatively:</t>
  </si>
  <si>
    <t>1. Please click on the link below to take you to the System Boundary worksheet to provide a schematic representation of your system boundary and supply chain for the chosen consignment.</t>
  </si>
  <si>
    <t>Dashboard worksheet</t>
  </si>
  <si>
    <t>Please note, these links will not work if you have saved the file with any spaces or special characters (other than underscores) in the filename.</t>
  </si>
  <si>
    <t>GHG assessment system boundary</t>
  </si>
  <si>
    <t>Please provide a schematic representation of your system boundary and supply chain for the hydrogen consignment(s) analysed in this Workbook</t>
  </si>
  <si>
    <t>Please ensure that any flow values you provide in this schematic are consistent with the Initial questions worksheet and your processing plant worksheet</t>
  </si>
  <si>
    <t>Please note, this link will not work if you have saved the file with any spaces or special characters (other than underscores) in the filename.</t>
  </si>
  <si>
    <t>Example high-level supply chain given below for one reforming consignment - please delete and provide your own (likely much more detailed) version(s). Flow rates can be included if you wish. Multiple diagrams can be provided for multiple consignments (e.g. different feedstock inputs)</t>
  </si>
  <si>
    <t>Example high-level supply chain given below for one electrolysis consignment - please delete and provide your own (likely much more detailed) version(s). Flow rates can be included if you wish. Multiple diagrams can be provided for multiple consignments (e.g. different feedstock inputs)</t>
  </si>
  <si>
    <t>Summary dashboard</t>
  </si>
  <si>
    <t>Has the user answered all relevant questions?</t>
  </si>
  <si>
    <t>What pathway technology is proposed?</t>
  </si>
  <si>
    <t>Is the project sited in the UK and yet to be built?</t>
  </si>
  <si>
    <t>What are the pathway's likely future GHG emissions (annual weighted average across all consignments)?</t>
  </si>
  <si>
    <r>
      <t>gCO</t>
    </r>
    <r>
      <rPr>
        <vertAlign val="subscript"/>
        <sz val="11"/>
        <rFont val="Calibri"/>
        <family val="2"/>
      </rPr>
      <t>2</t>
    </r>
    <r>
      <rPr>
        <sz val="11"/>
        <rFont val="Calibri"/>
        <family val="2"/>
      </rPr>
      <t>e/MJ</t>
    </r>
    <r>
      <rPr>
        <vertAlign val="subscript"/>
        <sz val="11"/>
        <rFont val="Calibri"/>
        <family val="2"/>
      </rPr>
      <t>LHV</t>
    </r>
    <r>
      <rPr>
        <sz val="11"/>
        <rFont val="Calibri"/>
        <family val="2"/>
      </rPr>
      <t xml:space="preserve"> H</t>
    </r>
    <r>
      <rPr>
        <vertAlign val="subscript"/>
        <sz val="11"/>
        <rFont val="Calibri"/>
        <family val="2"/>
      </rPr>
      <t>2</t>
    </r>
  </si>
  <si>
    <t>What percentage of the total annual electricity input is low carbon?</t>
  </si>
  <si>
    <t>How many REGOs are likely to need to be cancelled for the year?</t>
  </si>
  <si>
    <t>MWhe/yr</t>
  </si>
  <si>
    <r>
      <t>If applicable, what percentage of process CO</t>
    </r>
    <r>
      <rPr>
        <vertAlign val="subscript"/>
        <sz val="11"/>
        <color rgb="FF000000"/>
        <rFont val="Calibri"/>
        <family val="2"/>
      </rPr>
      <t>2</t>
    </r>
    <r>
      <rPr>
        <sz val="11"/>
        <color rgb="FF000000"/>
        <rFont val="Calibri"/>
        <family val="2"/>
      </rPr>
      <t xml:space="preserve"> is captured as an annual average?</t>
    </r>
  </si>
  <si>
    <t>If applicable, is the project likely to be compliant with all of the biomass sustainability criteria?</t>
  </si>
  <si>
    <t>If applicable, will at least 50% of the biogenic hydrogen consignments derived from wastes or residues?</t>
  </si>
  <si>
    <t>If applicable, what is the crop ILUC factor to be reported?</t>
  </si>
  <si>
    <t>If applicable, is solid carbon sequestered in either cement/concrete or inert underground storage?</t>
  </si>
  <si>
    <t>Has the project agreed to report fugitive hydrogen emissions?</t>
  </si>
  <si>
    <t>Is the project likely to be compliant with the Low Carbon Hydrogen Standard?</t>
  </si>
  <si>
    <t>Consignments - please list all your consignments</t>
  </si>
  <si>
    <t>Please list all your hydrogen consignments, specifying the feedstock/main energy source used for each</t>
  </si>
  <si>
    <t>Data location</t>
  </si>
  <si>
    <r>
      <t>Consignment % of total hydrogen (MJ</t>
    </r>
    <r>
      <rPr>
        <b/>
        <vertAlign val="subscript"/>
        <sz val="11"/>
        <color rgb="FF000000"/>
        <rFont val="Calibri"/>
        <family val="2"/>
      </rPr>
      <t>LHV</t>
    </r>
    <r>
      <rPr>
        <b/>
        <sz val="11"/>
        <color rgb="FF000000"/>
        <rFont val="Calibri"/>
        <family val="2"/>
      </rPr>
      <t xml:space="preserve"> basis)</t>
    </r>
  </si>
  <si>
    <r>
      <t>Consignment GHG emissions (gCO</t>
    </r>
    <r>
      <rPr>
        <b/>
        <vertAlign val="subscript"/>
        <sz val="11"/>
        <rFont val="Calibri"/>
        <family val="2"/>
      </rPr>
      <t>2</t>
    </r>
    <r>
      <rPr>
        <b/>
        <sz val="11"/>
        <rFont val="Calibri"/>
        <family val="2"/>
      </rPr>
      <t>e/MJ</t>
    </r>
    <r>
      <rPr>
        <b/>
        <vertAlign val="subscript"/>
        <sz val="11"/>
        <rFont val="Calibri"/>
        <family val="2"/>
      </rPr>
      <t>LHV</t>
    </r>
    <r>
      <rPr>
        <b/>
        <sz val="11"/>
        <rFont val="Calibri"/>
        <family val="2"/>
      </rPr>
      <t xml:space="preserve"> H</t>
    </r>
    <r>
      <rPr>
        <b/>
        <vertAlign val="subscript"/>
        <sz val="11"/>
        <rFont val="Calibri"/>
        <family val="2"/>
      </rPr>
      <t>2</t>
    </r>
    <r>
      <rPr>
        <b/>
        <sz val="11"/>
        <rFont val="Calibri"/>
        <family val="2"/>
      </rPr>
      <t>)</t>
    </r>
  </si>
  <si>
    <t>Analysed in this workbook</t>
  </si>
  <si>
    <t>Enter feedstock consignment 6 (if required)</t>
  </si>
  <si>
    <t>Not required</t>
  </si>
  <si>
    <t>Weighted average (this is an annual average used for projected/default data prior to operations starting, and not for operational monthly reporting)</t>
  </si>
  <si>
    <t>Energy conversion factors</t>
  </si>
  <si>
    <t>From                                         To</t>
  </si>
  <si>
    <t>TJ</t>
  </si>
  <si>
    <t>Gcal</t>
  </si>
  <si>
    <t>Mtoe</t>
  </si>
  <si>
    <t>Mbtu</t>
  </si>
  <si>
    <t>GWh</t>
  </si>
  <si>
    <t>Terajoule (TJ)</t>
  </si>
  <si>
    <t>GigaCalorie (Gcal)</t>
  </si>
  <si>
    <t>million tonne of oil equivalent (Mtoe)</t>
  </si>
  <si>
    <t>million British thermal unit (Mbtu)</t>
  </si>
  <si>
    <t>GigaWatt hour (GWh)</t>
  </si>
  <si>
    <t>Mass conversion factors</t>
  </si>
  <si>
    <t>kg</t>
  </si>
  <si>
    <t>te</t>
  </si>
  <si>
    <t>lt</t>
  </si>
  <si>
    <t>st</t>
  </si>
  <si>
    <t>lb</t>
  </si>
  <si>
    <t>oz</t>
  </si>
  <si>
    <t>kilogramme (kg)</t>
  </si>
  <si>
    <t>tonne (te)</t>
  </si>
  <si>
    <t>long ton (lt)</t>
  </si>
  <si>
    <t>short ton (st)</t>
  </si>
  <si>
    <t>pound (lb)</t>
  </si>
  <si>
    <t>ounce (oz)</t>
  </si>
  <si>
    <t>Volume conversion factors</t>
  </si>
  <si>
    <t>gal US</t>
  </si>
  <si>
    <t>gal UK</t>
  </si>
  <si>
    <t>bbl</t>
  </si>
  <si>
    <t>ft3</t>
  </si>
  <si>
    <t>l</t>
  </si>
  <si>
    <t>m3</t>
  </si>
  <si>
    <t>US gallon (gal)</t>
  </si>
  <si>
    <t>UK gallon (gal)</t>
  </si>
  <si>
    <t>barrel (bbl)</t>
  </si>
  <si>
    <t>cubic feet (ft3)</t>
  </si>
  <si>
    <t>litre (l)</t>
  </si>
  <si>
    <t>cubic metre (m3)</t>
  </si>
  <si>
    <t>Length conversion factors</t>
  </si>
  <si>
    <t>in</t>
  </si>
  <si>
    <t>ft</t>
  </si>
  <si>
    <t>yd</t>
  </si>
  <si>
    <t>mi</t>
  </si>
  <si>
    <t>nmi</t>
  </si>
  <si>
    <t>m</t>
  </si>
  <si>
    <t>km</t>
  </si>
  <si>
    <t>inch (in)</t>
  </si>
  <si>
    <t>foot (ft)</t>
  </si>
  <si>
    <t>yard (yd)</t>
  </si>
  <si>
    <t>mile (mi)</t>
  </si>
  <si>
    <t>nautical mile (nmi)</t>
  </si>
  <si>
    <t>metre (m)</t>
  </si>
  <si>
    <t>kilometre (km)</t>
  </si>
  <si>
    <t>Power conversion factors</t>
  </si>
  <si>
    <t>HP</t>
  </si>
  <si>
    <t>kW</t>
  </si>
  <si>
    <t>horsepower (HP) - mechanic</t>
  </si>
  <si>
    <t>kilowatts (kW)</t>
  </si>
  <si>
    <t>Pressure conversion factors</t>
  </si>
  <si>
    <t>Bar</t>
  </si>
  <si>
    <t>MPa</t>
  </si>
  <si>
    <t>Metric Prefixes</t>
  </si>
  <si>
    <t>10^x</t>
  </si>
  <si>
    <t>Prefix</t>
  </si>
  <si>
    <t>Symbol</t>
  </si>
  <si>
    <t>10^24</t>
  </si>
  <si>
    <t>yotta</t>
  </si>
  <si>
    <t>Y</t>
  </si>
  <si>
    <t>10^21</t>
  </si>
  <si>
    <t>zetta</t>
  </si>
  <si>
    <t>Z</t>
  </si>
  <si>
    <t>10^18</t>
  </si>
  <si>
    <t>exa</t>
  </si>
  <si>
    <t>E</t>
  </si>
  <si>
    <t>10^15</t>
  </si>
  <si>
    <t>peta</t>
  </si>
  <si>
    <t>P</t>
  </si>
  <si>
    <t>10^12</t>
  </si>
  <si>
    <t>tera</t>
  </si>
  <si>
    <t>T</t>
  </si>
  <si>
    <t>10^9</t>
  </si>
  <si>
    <t>giga</t>
  </si>
  <si>
    <t>G</t>
  </si>
  <si>
    <t>10^6</t>
  </si>
  <si>
    <t>mega</t>
  </si>
  <si>
    <t>M</t>
  </si>
  <si>
    <t>10^3</t>
  </si>
  <si>
    <t>kilo</t>
  </si>
  <si>
    <t>k</t>
  </si>
  <si>
    <t>10^2</t>
  </si>
  <si>
    <t>hecto</t>
  </si>
  <si>
    <t>h</t>
  </si>
  <si>
    <t>10^1</t>
  </si>
  <si>
    <t>deka</t>
  </si>
  <si>
    <t>da</t>
  </si>
  <si>
    <t>10^-1</t>
  </si>
  <si>
    <t>deci</t>
  </si>
  <si>
    <t>d</t>
  </si>
  <si>
    <t>10^-2</t>
  </si>
  <si>
    <t>centi</t>
  </si>
  <si>
    <t>c</t>
  </si>
  <si>
    <t>10^-3</t>
  </si>
  <si>
    <t>milli</t>
  </si>
  <si>
    <t>10^-6</t>
  </si>
  <si>
    <t>micro</t>
  </si>
  <si>
    <t>10^-9</t>
  </si>
  <si>
    <t>nano</t>
  </si>
  <si>
    <t>n</t>
  </si>
  <si>
    <t>10^-12</t>
  </si>
  <si>
    <t>pico</t>
  </si>
  <si>
    <t>p</t>
  </si>
  <si>
    <t>10^-15</t>
  </si>
  <si>
    <t>femto</t>
  </si>
  <si>
    <t>f</t>
  </si>
  <si>
    <t>10^-18</t>
  </si>
  <si>
    <t>atto</t>
  </si>
  <si>
    <t>a</t>
  </si>
  <si>
    <t>10^-21</t>
  </si>
  <si>
    <t>zepto</t>
  </si>
  <si>
    <t>z</t>
  </si>
  <si>
    <t>10^-24</t>
  </si>
  <si>
    <t>yocto</t>
  </si>
  <si>
    <t>y</t>
  </si>
  <si>
    <t>Sources</t>
  </si>
  <si>
    <t>http://wds.iea.org/wds/pdf/documentation_co2_2012.pdf</t>
  </si>
  <si>
    <t>http://www.exo.net/~pauld/physics/Metric_prefixes.html</t>
  </si>
  <si>
    <t>Drop-down menu choices</t>
  </si>
  <si>
    <t>Production pathway</t>
  </si>
  <si>
    <t>Pathways with restricted data types</t>
  </si>
  <si>
    <t>Status</t>
  </si>
  <si>
    <t>Feedstock location</t>
  </si>
  <si>
    <t>Data type</t>
  </si>
  <si>
    <t>Fossil source</t>
  </si>
  <si>
    <t>Gas grid</t>
  </si>
  <si>
    <t>CO2</t>
  </si>
  <si>
    <t>Solid Carbon</t>
  </si>
  <si>
    <t>Credit</t>
  </si>
  <si>
    <t>Feedstock</t>
  </si>
  <si>
    <t>Offset</t>
  </si>
  <si>
    <t>Sustainability</t>
  </si>
  <si>
    <t>Bio</t>
  </si>
  <si>
    <t>Theoretical power input</t>
  </si>
  <si>
    <t>Biomethane</t>
  </si>
  <si>
    <t>Data type for categories</t>
  </si>
  <si>
    <t>Restricted data type for categories</t>
  </si>
  <si>
    <t>Crop groups for iLUC</t>
  </si>
  <si>
    <t>Years</t>
  </si>
  <si>
    <t>Conditioning formatting switch</t>
  </si>
  <si>
    <t>Case</t>
  </si>
  <si>
    <t>Risk</t>
  </si>
  <si>
    <t>Default feedstocks</t>
  </si>
  <si>
    <t>Project location</t>
  </si>
  <si>
    <t>Electrolysis using wind/solar electricity</t>
  </si>
  <si>
    <t>Yes, the plant is not yet operational</t>
  </si>
  <si>
    <t>UK origin</t>
  </si>
  <si>
    <t>Projected</t>
  </si>
  <si>
    <t>Steam methane reformer (SMR)</t>
  </si>
  <si>
    <t>Directly connected to transmission network</t>
  </si>
  <si>
    <t>Sequestered in permanent storage</t>
  </si>
  <si>
    <t>Used in centralised concrete manufacture</t>
  </si>
  <si>
    <t>The emissions are claimed or credited elsewhere</t>
  </si>
  <si>
    <t>Electricity</t>
  </si>
  <si>
    <t>Offsets are not used in projections</t>
  </si>
  <si>
    <t>Yes</t>
  </si>
  <si>
    <t>Waste gasification with CCS</t>
  </si>
  <si>
    <t>Wind/solar electricity</t>
  </si>
  <si>
    <t>Dedicated pipeline/direct connection</t>
  </si>
  <si>
    <t>Cereals and other starch-rich crops</t>
  </si>
  <si>
    <t>On</t>
  </si>
  <si>
    <t>Best case</t>
  </si>
  <si>
    <t>tonnes/yr</t>
  </si>
  <si>
    <t>Forestry residues</t>
  </si>
  <si>
    <t>Yes - Great Britain</t>
  </si>
  <si>
    <t>Electrolysis using nuclear electricity</t>
  </si>
  <si>
    <t>Natural gas partial oxidation (POX) with CCS</t>
  </si>
  <si>
    <t>No</t>
  </si>
  <si>
    <t>Non-UK origin</t>
  </si>
  <si>
    <t>Default</t>
  </si>
  <si>
    <t>Autothermal reformer (ATR)</t>
  </si>
  <si>
    <t>Directly connected to intermediate/medium pressure distribution network</t>
  </si>
  <si>
    <t>Utilised</t>
  </si>
  <si>
    <t>Used in centralised asphalt manufacture</t>
  </si>
  <si>
    <t>The emissions are not claimed or credited elsewhere</t>
  </si>
  <si>
    <t>Fossil natural gas</t>
  </si>
  <si>
    <t>Offsets are used in projections</t>
  </si>
  <si>
    <t>Waste gasification without CCS</t>
  </si>
  <si>
    <t>Dedicated truck</t>
  </si>
  <si>
    <t>Mixed</t>
  </si>
  <si>
    <t>Sugar crops</t>
  </si>
  <si>
    <t>Off</t>
  </si>
  <si>
    <t>Annual average case</t>
  </si>
  <si>
    <t>Analysed in another workbook</t>
  </si>
  <si>
    <t>MWh/yr (LHV)</t>
  </si>
  <si>
    <t>Food waste biomethane</t>
  </si>
  <si>
    <t>Yes - Northern Ireland</t>
  </si>
  <si>
    <t>Electrolysis using grid electricity</t>
  </si>
  <si>
    <t>Natural gas splitting producing solid carbon</t>
  </si>
  <si>
    <t>Partial oxidation (POX)</t>
  </si>
  <si>
    <t>Directly connected to low pressure distribution network</t>
  </si>
  <si>
    <t>Mix of permanent storage and utilisation</t>
  </si>
  <si>
    <t>Inert underground storage</t>
  </si>
  <si>
    <t>Not applicable</t>
  </si>
  <si>
    <t>Refinery off gas (residue with counterfactual)</t>
  </si>
  <si>
    <t>Biomethane autothermal reforming (ATR) without CCS</t>
  </si>
  <si>
    <t>Grid electricity</t>
  </si>
  <si>
    <t>Dedicated ship</t>
  </si>
  <si>
    <t>Oil crops</t>
  </si>
  <si>
    <t>Municipal Solid Waste</t>
  </si>
  <si>
    <t>Electrolysis using stored electricity</t>
  </si>
  <si>
    <t>Electrolysis using mixed electricity inputs</t>
  </si>
  <si>
    <t>Not directly connected to gas grid</t>
  </si>
  <si>
    <t>Refinery off gas (residue without counterfactual)</t>
  </si>
  <si>
    <t>Biomethane autothermal reforming (ATR) with CCS</t>
  </si>
  <si>
    <t>Other crop/purpose grown feedstock</t>
  </si>
  <si>
    <t>Electrolysis using other electricity input</t>
  </si>
  <si>
    <t>Crude oil via refinery off gas (co-product)</t>
  </si>
  <si>
    <t>Electricity input mix as above</t>
  </si>
  <si>
    <t>Other biomass feedstock group</t>
  </si>
  <si>
    <t>Waste/residue fossil feedstock</t>
  </si>
  <si>
    <t>Natural gas steam methane reformer (SMR) with CCS</t>
  </si>
  <si>
    <t>Biomethane steam methane reformer (SMR) with CCS</t>
  </si>
  <si>
    <t>Other fossil feedstock</t>
  </si>
  <si>
    <t>Natural gas autothermal reformer (ATR) with CCS</t>
  </si>
  <si>
    <t>Biomethane steam methane reformer (SMR) without CCS</t>
  </si>
  <si>
    <t>Forest biomass, including forest residues/wastes</t>
  </si>
  <si>
    <t>Refinery off gas (ROG) autothermal reformer (ATR) with CCS</t>
  </si>
  <si>
    <t>Biogenic residues, not from agriculture, aquaculture, fisheries or forestry</t>
  </si>
  <si>
    <t>Biogenic wastes, not from agriculture, aquaculture, fisheries or forestry</t>
  </si>
  <si>
    <t>Agricultural biogenic residues or wastes</t>
  </si>
  <si>
    <t>Other biogenic feedstock</t>
  </si>
  <si>
    <t>Mixed biogenic/fossil feedstock (including MSW, RDF)</t>
  </si>
  <si>
    <t>Biomethane autothermal reformer (ATR) with CCS</t>
  </si>
  <si>
    <t>Biomethane autothermal reformer (ATR) without CCS</t>
  </si>
  <si>
    <t>Biomass gasification with CCS</t>
  </si>
  <si>
    <t>Biomass gasification without CCS</t>
  </si>
  <si>
    <t>Conditional formatting master switch</t>
  </si>
  <si>
    <t>All data</t>
  </si>
  <si>
    <t>Feedstock Supply</t>
  </si>
  <si>
    <t>Energy Supply</t>
  </si>
  <si>
    <t>Input Materials</t>
  </si>
  <si>
    <t>Default data for pre-operational Hydrogen Production Facilities</t>
  </si>
  <si>
    <t>All GHG emissions values use 100 year GWPs from IPCC AR5 without carbon feedbacks.</t>
  </si>
  <si>
    <t>These Default Data values are derived using the YTD 2025 GB grid electricity intensity (36.4 gCO2e/MJe delivered to an industrial consumer, generation GHG emissions and T&amp;D losses included, upstream emissions excluded). Despite the use of GB grid intensity, these values remain applicable to all UK pre-operational projects. The exception is grid electrolysis, where the GB or NI grid electricity intensity in the relevant calendar year of operations is to be used instead (with a default electrolysis efficiency).</t>
  </si>
  <si>
    <t>Feedstock Supply for fossil natural gas - a weighted average of UK gas fields' net supply, pipeline imports from primarily Norway and liquefied natural gas (LNG) imports from various countries. Losses of natural gas in gas grid transport, via fugitive methane emissions and combustion are then accounted to calculate a final delivered intensity.</t>
  </si>
  <si>
    <r>
      <t>Processing plant CO</t>
    </r>
    <r>
      <rPr>
        <vertAlign val="subscript"/>
        <sz val="11"/>
        <color theme="1"/>
        <rFont val="Calibri"/>
        <family val="2"/>
        <scheme val="minor"/>
      </rPr>
      <t>2</t>
    </r>
    <r>
      <rPr>
        <sz val="11"/>
        <color theme="1"/>
        <rFont val="Calibri"/>
        <family val="2"/>
        <scheme val="minor"/>
      </rPr>
      <t xml:space="preserve"> generated, CO</t>
    </r>
    <r>
      <rPr>
        <vertAlign val="subscript"/>
        <sz val="11"/>
        <color theme="1"/>
        <rFont val="Calibri"/>
        <family val="2"/>
        <scheme val="minor"/>
      </rPr>
      <t>2</t>
    </r>
    <r>
      <rPr>
        <sz val="11"/>
        <color theme="1"/>
        <rFont val="Calibri"/>
        <family val="2"/>
        <scheme val="minor"/>
      </rPr>
      <t xml:space="preserve"> capture and network entry, and CO</t>
    </r>
    <r>
      <rPr>
        <vertAlign val="subscript"/>
        <sz val="11"/>
        <color theme="1"/>
        <rFont val="Calibri"/>
        <family val="2"/>
        <scheme val="minor"/>
      </rPr>
      <t>2</t>
    </r>
    <r>
      <rPr>
        <sz val="11"/>
        <color theme="1"/>
        <rFont val="Calibri"/>
        <family val="2"/>
        <scheme val="minor"/>
      </rPr>
      <t xml:space="preserve"> sequestered values are not accounted for within defaults, projected data has to be used</t>
    </r>
    <r>
      <rPr>
        <sz val="11"/>
        <color theme="1"/>
        <rFont val="Calibri"/>
        <family val="2"/>
        <scheme val="minor"/>
      </rPr>
      <t xml:space="preserve"> instead</t>
    </r>
  </si>
  <si>
    <r>
      <t>Fugitive emissions of CH</t>
    </r>
    <r>
      <rPr>
        <vertAlign val="subscript"/>
        <sz val="11"/>
        <color theme="1"/>
        <rFont val="Calibri"/>
        <family val="2"/>
        <scheme val="minor"/>
      </rPr>
      <t>4</t>
    </r>
    <r>
      <rPr>
        <sz val="11"/>
        <color theme="1"/>
        <rFont val="Calibri"/>
        <family val="2"/>
        <scheme val="minor"/>
      </rPr>
      <t>, N</t>
    </r>
    <r>
      <rPr>
        <vertAlign val="subscript"/>
        <sz val="11"/>
        <color theme="1"/>
        <rFont val="Calibri"/>
        <family val="2"/>
        <scheme val="minor"/>
      </rPr>
      <t>2</t>
    </r>
    <r>
      <rPr>
        <sz val="11"/>
        <color theme="1"/>
        <rFont val="Calibri"/>
        <family val="2"/>
        <scheme val="minor"/>
      </rPr>
      <t>O not accounted for within defaults, projected data has to be used instead</t>
    </r>
  </si>
  <si>
    <r>
      <t>Fugitive H</t>
    </r>
    <r>
      <rPr>
        <vertAlign val="subscript"/>
        <sz val="11"/>
        <color theme="1"/>
        <rFont val="Calibri"/>
        <family val="2"/>
        <scheme val="minor"/>
      </rPr>
      <t>2</t>
    </r>
    <r>
      <rPr>
        <sz val="11"/>
        <color theme="1"/>
        <rFont val="Calibri"/>
        <family val="2"/>
        <scheme val="minor"/>
      </rPr>
      <t xml:space="preserve"> emissions and Indirect Land Use Change (ILUC) are to be reported separately, but not included in GHG calculations</t>
    </r>
    <r>
      <rPr>
        <sz val="11"/>
        <color theme="1"/>
        <rFont val="Calibri"/>
        <family val="2"/>
        <scheme val="minor"/>
      </rPr>
      <t>.</t>
    </r>
  </si>
  <si>
    <r>
      <t>Energy supply defaults includes electricity use for H</t>
    </r>
    <r>
      <rPr>
        <vertAlign val="subscript"/>
        <sz val="11"/>
        <color theme="1"/>
        <rFont val="Calibri"/>
        <family val="2"/>
        <scheme val="minor"/>
      </rPr>
      <t>2</t>
    </r>
    <r>
      <rPr>
        <sz val="11"/>
        <color theme="1"/>
        <rFont val="Calibri"/>
        <family val="2"/>
        <scheme val="minor"/>
      </rPr>
      <t xml:space="preserve"> compression and purification up to the minimum theoretical standard (3 MPa, 99.9 vol% purity), as well as the energy required for CO</t>
    </r>
    <r>
      <rPr>
        <vertAlign val="subscript"/>
        <sz val="11"/>
        <color theme="1"/>
        <rFont val="Calibri"/>
        <family val="2"/>
        <scheme val="minor"/>
      </rPr>
      <t>2</t>
    </r>
    <r>
      <rPr>
        <sz val="11"/>
        <color theme="1"/>
        <rFont val="Calibri"/>
        <family val="2"/>
        <scheme val="minor"/>
      </rPr>
      <t xml:space="preserve"> capture for all CCS pathways - but excludes CO</t>
    </r>
    <r>
      <rPr>
        <vertAlign val="subscript"/>
        <sz val="11"/>
        <color theme="1"/>
        <rFont val="Calibri"/>
        <family val="2"/>
        <scheme val="minor"/>
      </rPr>
      <t>2</t>
    </r>
    <r>
      <rPr>
        <sz val="11"/>
        <color theme="1"/>
        <rFont val="Calibri"/>
        <family val="2"/>
        <scheme val="minor"/>
      </rPr>
      <t xml:space="preserve"> network operations. These electricity consumption default values are already aligned to a certain typical CO</t>
    </r>
    <r>
      <rPr>
        <vertAlign val="subscript"/>
        <sz val="11"/>
        <color theme="1"/>
        <rFont val="Calibri"/>
        <family val="2"/>
        <scheme val="minor"/>
      </rPr>
      <t>2</t>
    </r>
    <r>
      <rPr>
        <sz val="11"/>
        <color theme="1"/>
        <rFont val="Calibri"/>
        <family val="2"/>
        <scheme val="minor"/>
      </rPr>
      <t xml:space="preserve"> capture rate which may differ to the actual capture rate of the system, and a certain typical H</t>
    </r>
    <r>
      <rPr>
        <vertAlign val="subscript"/>
        <sz val="11"/>
        <color theme="1"/>
        <rFont val="Calibri"/>
        <family val="2"/>
        <scheme val="minor"/>
      </rPr>
      <t>2</t>
    </r>
    <r>
      <rPr>
        <sz val="11"/>
        <color theme="1"/>
        <rFont val="Calibri"/>
        <family val="2"/>
        <scheme val="minor"/>
      </rPr>
      <t xml:space="preserve"> pressure/purity which may differ to the actual output of the system.</t>
    </r>
  </si>
  <si>
    <t>All default values apply a 1.4x multiplier from the LCA tool central case, unless otherwise stated.</t>
  </si>
  <si>
    <t>Feedstock supply (for Feedstock extraction/cultivation/collection, storage, transport, pre-processing)</t>
  </si>
  <si>
    <t>Production Pathway</t>
  </si>
  <si>
    <t>Unit</t>
  </si>
  <si>
    <t>Default value</t>
  </si>
  <si>
    <t>LCA tool (central case)</t>
  </si>
  <si>
    <t>LCA tool (best case)</t>
  </si>
  <si>
    <t>LCA tool (worst case)</t>
  </si>
  <si>
    <t>Comments</t>
  </si>
  <si>
    <t xml:space="preserve"> </t>
  </si>
  <si>
    <t>Fossil natural gas SMR+CCS</t>
  </si>
  <si>
    <r>
      <t>gCO</t>
    </r>
    <r>
      <rPr>
        <vertAlign val="subscript"/>
        <sz val="11"/>
        <color rgb="FF000000"/>
        <rFont val="Calibri"/>
        <family val="2"/>
      </rPr>
      <t>2</t>
    </r>
    <r>
      <rPr>
        <sz val="11"/>
        <color rgb="FF000000"/>
        <rFont val="Calibri"/>
        <family val="2"/>
      </rPr>
      <t>e/MJ H</t>
    </r>
    <r>
      <rPr>
        <vertAlign val="subscript"/>
        <sz val="11"/>
        <color rgb="FF000000"/>
        <rFont val="Calibri"/>
        <family val="2"/>
      </rPr>
      <t>2</t>
    </r>
    <r>
      <rPr>
        <sz val="11"/>
        <color rgb="FF000000"/>
        <rFont val="Calibri"/>
        <family val="2"/>
      </rPr>
      <t xml:space="preserve"> (LHV)</t>
    </r>
  </si>
  <si>
    <t>No 1.4x multiplier applied. The weighted average GHG intensity of gas taken from the UK NTS is updated with 2024 UK net supply, piped import and LNG imports data (DESNZ Energy Trends 2025), combined with emissions intensities from NSTA (2025) and IEA (2025), and NTS loss data</t>
  </si>
  <si>
    <t>Fossil natural gas ATR+CCS</t>
  </si>
  <si>
    <t>Fossil natural gas POX+CCS</t>
  </si>
  <si>
    <t>Use projected</t>
  </si>
  <si>
    <t>Pathway not analysed</t>
  </si>
  <si>
    <t>Projected data must be used</t>
  </si>
  <si>
    <t xml:space="preserve">Refinery Off Gas ATR+CCS </t>
  </si>
  <si>
    <t>Food waste biomethane SMR+CCS</t>
  </si>
  <si>
    <t>Biogas and biomethane production are included in the Feedstock supply category emissions, not in processing</t>
  </si>
  <si>
    <t>Food waste biomethane ATR+CCS</t>
  </si>
  <si>
    <t>Forestry residue gasification+CCS</t>
  </si>
  <si>
    <t>Collection and transportation</t>
  </si>
  <si>
    <t>Biogenic fraction of RDF gasification+CCS</t>
  </si>
  <si>
    <t>Collection, RDF pre-processing and transportation</t>
  </si>
  <si>
    <t>Fossil fraction of RDF gasification+CCS</t>
  </si>
  <si>
    <t>Grid average electrolysis</t>
  </si>
  <si>
    <t>Grid electricity emissions are included in Energy supply, not in Feedstock supply</t>
  </si>
  <si>
    <t>Wind/solar electrolysis</t>
  </si>
  <si>
    <t>Wind/solar electricity emissions (nil) are included in Energy supply, not in Feedstock supply</t>
  </si>
  <si>
    <t>Nuclear electrolysis</t>
  </si>
  <si>
    <t>Nuclear electricity emissions are included in Energy supply, not in Feedstock supply</t>
  </si>
  <si>
    <t>Energy supply (electricity, steam, heat, upstream fuel supply emissions)</t>
  </si>
  <si>
    <t>These do not include natural gas used for furnace heating - all natural gas combustion emissions (from reformer and furnace), have to be included in the Process CO2 emissions category, and then CO2 capture reduces these emissions to atmosphere. Upstream emissions for supply natural gas used for furance heating are considered within the Feedstock Supply category, and not in this category</t>
  </si>
  <si>
    <t>Includes power input to ATR+CCS. These emissions do not include natural gas used for furnace heating - all natural gas combustion emissions (from reformer and furnace), have to be included in the Process CO2 emissions, and then CO2 capture reduces these emissions to atmosphere. Upstream emissions for supply natural gas used for furance heating are considered within the Feedstock Supply category, and not in this category. Best/Central/Worst cases are ordered by their overall pathway emissions, due to the ATR efficiency ranges, and not ordered by their power input assumptions</t>
  </si>
  <si>
    <t>Assumed same Energy Supply category default value as for Fossil natural gas ATR+CCS. This does not include gas used for furnace heating - all natural gas emissions (from reformer and furnace), have to be included in the process emissions, and then CO2 capture reduces these emissions to atmosphere</t>
  </si>
  <si>
    <t>Includes power input to SMR+CCS only - i.e. electricity used in biogas/biomethane production is included within feedstock emissions</t>
  </si>
  <si>
    <t>Includes power input to ATR+CCS - i.e. biogas/biomethane production is included within feedstock emissions</t>
  </si>
  <si>
    <t>No 1.4x multiplier applied. 50.1% LHV efficiency (from PEM 2020 mid-point of IRENA 2020 Green H2 cost reduction report) applied to GB or NI grid electricity factor for relevant calendar year of operations. LCA tool comparator data taken from 2025 grid intensity</t>
  </si>
  <si>
    <t>No 1.4x multiplier applied. 50.1% LHV efficiency utililsed with assumed T&amp;D losses</t>
  </si>
  <si>
    <t>No 1.4x multiplier applied. 50.1% LHV efficiency utililsed with UNECE (2022) nuclear electricity generation intensity and assumed T&amp;D losses</t>
  </si>
  <si>
    <t>Input materials (upstream material emissions, but not emissions from their use in the process)</t>
  </si>
  <si>
    <t>Water and MEA</t>
  </si>
  <si>
    <t>Assumed same input materials default value as Fossil natural gas ATR+CCS. Water and MEA</t>
  </si>
  <si>
    <t>Chemicals for gasification</t>
  </si>
  <si>
    <t>Chemicals and oxygen</t>
  </si>
  <si>
    <t>From water, HCl and NaOH</t>
  </si>
  <si>
    <t>Process CO2 generated (for comparison purposes only)</t>
  </si>
  <si>
    <t>This value is per MJ of biogenic H2 produced</t>
  </si>
  <si>
    <t>This value is per MJ of fossil H2 produced</t>
  </si>
  <si>
    <t>CO2 capture and network entry (for comparison purposes only)</t>
  </si>
  <si>
    <t>Already within Energy supply</t>
  </si>
  <si>
    <t>Grid electricity for CO2 compression, pipeline transport and injection already included within LCA tool Energy Supply emissions above</t>
  </si>
  <si>
    <t>CO2 sequestration (for comparison purposes only)</t>
  </si>
  <si>
    <t>Fugitive non-CO2 emissions (for comparison purposes only)</t>
  </si>
  <si>
    <t>Fossil Waste/Residue feedstock counterfactual emissions (for comparison purposes only)</t>
  </si>
  <si>
    <t>Foresty residue gasification+CCS</t>
  </si>
  <si>
    <t>Grid electricity assumed to be displaced</t>
  </si>
  <si>
    <t>Total chain GHG emissions (for comparison purposes only, noting feedstock may differ/data may not be applicable to your pathway)</t>
  </si>
  <si>
    <t>NA</t>
  </si>
  <si>
    <t>Global warming potentials (GWP100), without climate feedbacks (Data Annex Table 1)</t>
  </si>
  <si>
    <t>Greenhouse gas</t>
  </si>
  <si>
    <r>
      <t>GWP factor (in CO</t>
    </r>
    <r>
      <rPr>
        <b/>
        <vertAlign val="subscript"/>
        <sz val="11"/>
        <rFont val="Calibri"/>
        <family val="2"/>
        <scheme val="minor"/>
      </rPr>
      <t>2e</t>
    </r>
    <r>
      <rPr>
        <b/>
        <sz val="11"/>
        <rFont val="Calibri"/>
        <family val="2"/>
        <scheme val="minor"/>
      </rPr>
      <t xml:space="preserve"> g/g)</t>
    </r>
  </si>
  <si>
    <t>Source</t>
  </si>
  <si>
    <r>
      <t>CO</t>
    </r>
    <r>
      <rPr>
        <vertAlign val="subscript"/>
        <sz val="11"/>
        <color rgb="FF000000"/>
        <rFont val="Calibri"/>
        <family val="2"/>
        <scheme val="minor"/>
      </rPr>
      <t>2</t>
    </r>
    <r>
      <rPr>
        <sz val="11"/>
        <color rgb="FF000000"/>
        <rFont val="Calibri"/>
        <family val="2"/>
        <scheme val="minor"/>
      </rPr>
      <t>, carbon dioxide</t>
    </r>
  </si>
  <si>
    <t>IPCC Fifth Assessment Reports (AR5), GWP100 without climate feedback</t>
  </si>
  <si>
    <r>
      <t>CH</t>
    </r>
    <r>
      <rPr>
        <vertAlign val="subscript"/>
        <sz val="11"/>
        <color rgb="FF000000"/>
        <rFont val="Calibri"/>
        <family val="2"/>
        <scheme val="minor"/>
      </rPr>
      <t>4</t>
    </r>
    <r>
      <rPr>
        <sz val="11"/>
        <color rgb="FF000000"/>
        <rFont val="Calibri"/>
        <family val="2"/>
        <scheme val="minor"/>
      </rPr>
      <t>, methane</t>
    </r>
  </si>
  <si>
    <r>
      <t>N</t>
    </r>
    <r>
      <rPr>
        <vertAlign val="subscript"/>
        <sz val="11"/>
        <color rgb="FF000000"/>
        <rFont val="Calibri"/>
        <family val="2"/>
        <scheme val="minor"/>
      </rPr>
      <t>2</t>
    </r>
    <r>
      <rPr>
        <sz val="11"/>
        <color rgb="FF000000"/>
        <rFont val="Calibri"/>
        <family val="2"/>
        <scheme val="minor"/>
      </rPr>
      <t>O, nitrous oxide</t>
    </r>
  </si>
  <si>
    <r>
      <t>SF</t>
    </r>
    <r>
      <rPr>
        <vertAlign val="subscript"/>
        <sz val="11"/>
        <color rgb="FF000000"/>
        <rFont val="Calibri"/>
        <family val="2"/>
        <scheme val="minor"/>
      </rPr>
      <t>6</t>
    </r>
  </si>
  <si>
    <t>HFC-23</t>
  </si>
  <si>
    <t>HFC-32</t>
  </si>
  <si>
    <t>HFC-41</t>
  </si>
  <si>
    <t>HFC-125</t>
  </si>
  <si>
    <t>HFC-134</t>
  </si>
  <si>
    <t>HFC-134a</t>
  </si>
  <si>
    <t>HFC-143</t>
  </si>
  <si>
    <t>HFC-143a</t>
  </si>
  <si>
    <t>HFC-152</t>
  </si>
  <si>
    <t>HFC-152a</t>
  </si>
  <si>
    <t>HFC-161</t>
  </si>
  <si>
    <t>HFC-227ea</t>
  </si>
  <si>
    <t>HFC-236cb</t>
  </si>
  <si>
    <t>HFC-236ea</t>
  </si>
  <si>
    <t>HFC-236fa</t>
  </si>
  <si>
    <t>HFC-245ca</t>
  </si>
  <si>
    <t>HFC-245fa</t>
  </si>
  <si>
    <t>HFC-365mfc</t>
  </si>
  <si>
    <t>HFC-43-10mee</t>
  </si>
  <si>
    <t>Indirect Land Use Change (ILUC) factors for crop feedstock (Data Annex Table 2)</t>
  </si>
  <si>
    <t>Crop</t>
  </si>
  <si>
    <r>
      <t>gCO</t>
    </r>
    <r>
      <rPr>
        <b/>
        <vertAlign val="subscript"/>
        <sz val="11"/>
        <rFont val="Calibri"/>
        <family val="2"/>
        <scheme val="minor"/>
      </rPr>
      <t>2e</t>
    </r>
    <r>
      <rPr>
        <b/>
        <sz val="11"/>
        <rFont val="Calibri"/>
        <family val="2"/>
        <scheme val="minor"/>
      </rPr>
      <t>/MJ LHV feedstock</t>
    </r>
  </si>
  <si>
    <t>DESNZ LCHS Data Annex https://assets.publishing.service.gov.uk/media/6579cc770467eb001355f75b/uk-low-carbon-hydrogen-standard-data-annex-v3-december-2023.pdf</t>
  </si>
  <si>
    <t>Crude oil upstream intensity (Data Annex Table 3)</t>
  </si>
  <si>
    <t>Pathways that utilise crude oil as a feedstock shall use the country-specific delivered GHG Emission Intensity values in the table below to derive a weighted average for their crude oil mix. These values combine upstream production emissions and transport emissions to the UK mainland, and so are only applicable to UK refineries.</t>
  </si>
  <si>
    <t>Upstream production emissions in 2023 are taken from The Archie Initiative (2023) (https://app.archieinitiative.org/map?mode=oil) and converted to a per MJ LHV basis using regional average volumetric energy contents from Dixit et al (2023) (https://www.nature.com/articles/s41467-023-41701-z).</t>
  </si>
  <si>
    <t>The Archie Initiative was used to identify key production regions and ports, with pipeline distances calculated using great-circle distances (https://www.gpsvisualizer.com/calculators) and a representative tortuosity factor of 1.23x based on CPC pipeline 1,511km length vs 1,229km great-circle distance (https://www.chevron.com/worldwide/kazakhstan). Shipping distances to Immingham, UK from each port were calculated using Sea Distances (https://sea-distances.org/).</t>
  </si>
  <si>
    <t>Transport emissions are calculated using crude tanker shipping emissions per km from UK Government Conversion Factors 2025 (https://www.gov.uk/government/publications/greenhouse-gas-reporting-conversion-factors-2025), and pipeline electricity use per km from GREET (https://onlinelibrary.wiley.com/doi/am-pdf/10.1111/jiec.13262) combined with 2023 country grid electricity intensities from Ember, 2025 (https://ember-energy.org/data/yearly-electricity-data/), along with a crude oil LHV from UK DUKES 2025 (https://www.gov.uk/government/statistics/dukes-calorific-values).</t>
  </si>
  <si>
    <t>Country</t>
  </si>
  <si>
    <r>
      <t>gCO</t>
    </r>
    <r>
      <rPr>
        <b/>
        <vertAlign val="subscript"/>
        <sz val="11"/>
        <color theme="1"/>
        <rFont val="Calibri"/>
        <family val="2"/>
        <scheme val="minor"/>
      </rPr>
      <t>2</t>
    </r>
    <r>
      <rPr>
        <b/>
        <sz val="11"/>
        <color theme="1"/>
        <rFont val="Calibri"/>
        <family val="2"/>
        <scheme val="minor"/>
      </rPr>
      <t>e/MJ</t>
    </r>
    <r>
      <rPr>
        <b/>
        <vertAlign val="subscript"/>
        <sz val="11"/>
        <color theme="1"/>
        <rFont val="Calibri"/>
        <family val="2"/>
        <scheme val="minor"/>
      </rPr>
      <t>LHV</t>
    </r>
  </si>
  <si>
    <t>Albania</t>
  </si>
  <si>
    <t>Algeria</t>
  </si>
  <si>
    <t>Angola</t>
  </si>
  <si>
    <t>Argentina</t>
  </si>
  <si>
    <t>Australia</t>
  </si>
  <si>
    <t>Austria</t>
  </si>
  <si>
    <t>Azerbaijan</t>
  </si>
  <si>
    <t>Bahrain</t>
  </si>
  <si>
    <t>Brazil</t>
  </si>
  <si>
    <t>Brunei Darussalam</t>
  </si>
  <si>
    <t>Cameroon</t>
  </si>
  <si>
    <t>Canada</t>
  </si>
  <si>
    <t>Chad</t>
  </si>
  <si>
    <t>Chile</t>
  </si>
  <si>
    <t>China</t>
  </si>
  <si>
    <t>Colombia</t>
  </si>
  <si>
    <t>Congo</t>
  </si>
  <si>
    <t>Cote d'Ivoire</t>
  </si>
  <si>
    <t>Croatia</t>
  </si>
  <si>
    <t>Democratic Republic of Congo</t>
  </si>
  <si>
    <t>Denmark</t>
  </si>
  <si>
    <t>Ecuador</t>
  </si>
  <si>
    <t>Egypt</t>
  </si>
  <si>
    <t>Equatorial Guinea</t>
  </si>
  <si>
    <t>France</t>
  </si>
  <si>
    <t>Gabon</t>
  </si>
  <si>
    <t>Germany</t>
  </si>
  <si>
    <t>Ghana</t>
  </si>
  <si>
    <t>Greece</t>
  </si>
  <si>
    <t>Guatemala</t>
  </si>
  <si>
    <t>Guyana</t>
  </si>
  <si>
    <t>Hungary</t>
  </si>
  <si>
    <t>India</t>
  </si>
  <si>
    <t>Indonesia</t>
  </si>
  <si>
    <t>Iran</t>
  </si>
  <si>
    <t>Iraq</t>
  </si>
  <si>
    <t>Italy</t>
  </si>
  <si>
    <t>Japan</t>
  </si>
  <si>
    <t>Jordan</t>
  </si>
  <si>
    <t>Kazakhstan</t>
  </si>
  <si>
    <t>Kuwait</t>
  </si>
  <si>
    <t>Libya</t>
  </si>
  <si>
    <t>Malaysia</t>
  </si>
  <si>
    <t>Mexico</t>
  </si>
  <si>
    <t>Myanmar</t>
  </si>
  <si>
    <t>Netherlands</t>
  </si>
  <si>
    <t>New Zealand</t>
  </si>
  <si>
    <t>Niger</t>
  </si>
  <si>
    <t>Nigeria</t>
  </si>
  <si>
    <t>Norway</t>
  </si>
  <si>
    <t>Oman</t>
  </si>
  <si>
    <t>Pakistan</t>
  </si>
  <si>
    <t>Papua New Guinea</t>
  </si>
  <si>
    <t>Peru</t>
  </si>
  <si>
    <t>Philippines</t>
  </si>
  <si>
    <t>Poland</t>
  </si>
  <si>
    <t>Qatar</t>
  </si>
  <si>
    <t>Romania</t>
  </si>
  <si>
    <t>Russian Federation</t>
  </si>
  <si>
    <t>Saudi Arabia</t>
  </si>
  <si>
    <t>Serbia</t>
  </si>
  <si>
    <t>South Sudan</t>
  </si>
  <si>
    <t>Spain</t>
  </si>
  <si>
    <t>Sudan</t>
  </si>
  <si>
    <t>Suriname</t>
  </si>
  <si>
    <t>Syria</t>
  </si>
  <si>
    <t>Thailand</t>
  </si>
  <si>
    <t>Trinidad and Tobago</t>
  </si>
  <si>
    <t>Tunisia</t>
  </si>
  <si>
    <t>Turkey</t>
  </si>
  <si>
    <t>Turkmenistan</t>
  </si>
  <si>
    <t>Ukraine</t>
  </si>
  <si>
    <t>United Arab Emirates</t>
  </si>
  <si>
    <t>United Kingdom</t>
  </si>
  <si>
    <t>United States</t>
  </si>
  <si>
    <t>Uzbekistan</t>
  </si>
  <si>
    <t>Venezuela</t>
  </si>
  <si>
    <t>Vietnam</t>
  </si>
  <si>
    <t>Yemen</t>
  </si>
  <si>
    <t>Electricity sourced from specific generators (Data Annex Table 4)</t>
  </si>
  <si>
    <t>Typical emissions intensities are not provided for biomass or waste electricity generators given the diversity of input feedstocks and conversion efficiencies.</t>
  </si>
  <si>
    <t>If the hydrogen production facility (or Electricity Storage System) consuming electricity is co-located with the electricity generation asset, the values in the table below can be used directly.</t>
  </si>
  <si>
    <t>If the hydrogen production facility (or Electricity Storage System) consuming electricity is not co-located with the electricity generation asset, then any transmission and distribution (T&amp;D) losses will need to be accounted for, following Annex B guidance. For pre-operational facilities, the projected T&amp;D losses may be used instead</t>
  </si>
  <si>
    <t>Generator</t>
  </si>
  <si>
    <r>
      <t>gCO</t>
    </r>
    <r>
      <rPr>
        <b/>
        <vertAlign val="subscript"/>
        <sz val="11"/>
        <color theme="1"/>
        <rFont val="Calibri"/>
        <family val="2"/>
        <scheme val="minor"/>
      </rPr>
      <t>2</t>
    </r>
    <r>
      <rPr>
        <b/>
        <sz val="11"/>
        <color theme="1"/>
        <rFont val="Calibri"/>
        <family val="2"/>
        <scheme val="minor"/>
      </rPr>
      <t>e/kWh</t>
    </r>
    <r>
      <rPr>
        <b/>
        <vertAlign val="subscript"/>
        <sz val="11"/>
        <color theme="1"/>
        <rFont val="Calibri"/>
        <family val="2"/>
        <scheme val="minor"/>
      </rPr>
      <t>e</t>
    </r>
  </si>
  <si>
    <r>
      <t>gCO</t>
    </r>
    <r>
      <rPr>
        <b/>
        <vertAlign val="subscript"/>
        <sz val="11"/>
        <color theme="1"/>
        <rFont val="Calibri"/>
        <family val="2"/>
        <scheme val="minor"/>
      </rPr>
      <t>2</t>
    </r>
    <r>
      <rPr>
        <b/>
        <sz val="11"/>
        <color theme="1"/>
        <rFont val="Calibri"/>
        <family val="2"/>
        <scheme val="minor"/>
      </rPr>
      <t>e/MJ</t>
    </r>
    <r>
      <rPr>
        <b/>
        <vertAlign val="subscript"/>
        <sz val="11"/>
        <color theme="1"/>
        <rFont val="Calibri"/>
        <family val="2"/>
        <scheme val="minor"/>
      </rPr>
      <t>e</t>
    </r>
  </si>
  <si>
    <t>Sources &amp; supporting notes</t>
  </si>
  <si>
    <t>Onshore wind</t>
  </si>
  <si>
    <t>JEC (2020) Well-to-tank report v5. WDEL1. https://publications.jrc.ec.europa.eu/repository/handle/JRC119036</t>
  </si>
  <si>
    <t>Offshore wind</t>
  </si>
  <si>
    <t>Solar</t>
  </si>
  <si>
    <t>IPCC (2014) Technology-specific cost and performance parameters. Table A.III.2. https://www.ipcc.ch/site/assets/uploads/2018/02/ipcc_wg3_ar5_annex-iii.pdf</t>
  </si>
  <si>
    <t>Hydro-electric dam</t>
  </si>
  <si>
    <t>IPCC (2014) Technology-specific cost and performance parameters. Table A.III.2. https://www.ipcc.ch/site/assets/uploads/2018/02/ipcc_wg3_ar5_annex-iii.pdf. Note that UK methane emissions are uncertain, but are taken to be zero (rather than using IPCC global methane data), based on data received from G-RES modelling team regarding the 8 UK hydro reservoirs they have information for https://g-res.hydropower.org/</t>
  </si>
  <si>
    <t>Run-of-river hydro</t>
  </si>
  <si>
    <t>Geothermal</t>
  </si>
  <si>
    <t>IPCC (2014) Technology-specific cost and performance parameters. Table A.III.2. Assuming geothermal power generation has not led to any increase in venting of geological CO2. Any increase requires a projected emissions factor to be used. https://www.ipcc.ch/site/assets/uploads/2018/02/ipcc_wg3_ar5_annex-iii.pdf</t>
  </si>
  <si>
    <t>Natural gas CCGT</t>
  </si>
  <si>
    <t>JEC (2020) Well-to-tank report v5. GPEL1a. https://publications.jrc.ec.europa.eu/repository/handle/JRC119036</t>
  </si>
  <si>
    <t>Natural gas CCGT + CCS</t>
  </si>
  <si>
    <t>JEC (2020) Well-to-tank report v5. GPEL1c. https://publications.jrc.ec.europa.eu/repository/handle/JRC119036</t>
  </si>
  <si>
    <t>Oil</t>
  </si>
  <si>
    <t>JEC (2020) Well-to-tank report v5. FOEL1. https://publications.jrc.ec.europa.eu/repository/handle/JRC119036</t>
  </si>
  <si>
    <t>Coal</t>
  </si>
  <si>
    <t>JEC (2020) Well-to-tank report v5. KOEL1. https://publications.jrc.ec.europa.eu/repository/handle/JRC119036</t>
  </si>
  <si>
    <t>Coal + CCS</t>
  </si>
  <si>
    <t>JEC (2020) Well-to-tank report v5. KOEL2C. https://publications.jrc.ec.europa.eu/repository/handle/JRC119036</t>
  </si>
  <si>
    <t>Nuclear</t>
  </si>
  <si>
    <t>UNECE (2022) report, Table 14 for EU28. Fossil and biogenic emissions only (no land use change emissions included). This value excludes construction (14%) and decomissioning (2%) emissions from the total emissions (using Figure 35 split). https://unece.org/sites/default/files/2022-04/LCA_3_FINAL%20March%202022.pdf</t>
  </si>
  <si>
    <t>Projected grid average electricity intensity for pre-operational facilities (Data Annex Table 5)</t>
  </si>
  <si>
    <t>For pre-operational hydrogen production facilities, or pre-operational electricity storage systems, the table below provides the future delivered GHG intensity of GB or NI grid average electricity to be used.</t>
  </si>
  <si>
    <t>Note that actual real-world grid average GHG intensity factors during facility operations will be different to these projections, as compliance with the Standard relies on using actual reported GB/NI data every 30 minutes.</t>
  </si>
  <si>
    <t>For GB, this annual GHG emission intensity data comes from the NESO FES Holistic Transition (ES1) excluding BECCS (https://www.nationalgrideso.com/future-energy/future-energy-scenarios-fes/fes-documents), and includes transmission and distribution losses, and minor generation nonCO2 emissions are added, but does not yet include any emisisons upstream of GB electricity generators. The 2025 value uses the generation-weighted intensity of GB delivered grid electricity from the NESO Historic Generation Mix (https://www.nationalgrideso.com/data-portal/historic-generation-mix), for the year-to-date (20th November 2025)</t>
  </si>
  <si>
    <t xml:space="preserve">For NI, this annual GHG emission intensity data comes from SONI Tomorrow's Energy Scenarios (TES): Self-Sustaining scenario for 2040 (https://www.soni.ltd.uk/future-energy/tomorrows-energy-scenarios), assuming a straight line from 2025 to 2040, given the lack of intermediate years' data from SONI TES. The 2025 value uses the demand-weighted intensity of NI delivered grid electricity from the EirGrid Dashboard (https://www.smartgriddashboard.com/ni/co2/) for year-to-date (20th November 2025). These values include transmission and distribution losses, and minor generation non CO2 emissions are added, but does not yet include any emisisons upstream of NI electricity generators. </t>
  </si>
  <si>
    <t>GB grid Transmission &amp; Distribution losses are based on data from NESO FES Holistic Transition (ED1) - see the Data Annex, Table 8</t>
  </si>
  <si>
    <t>NI grid Transmission &amp; Distribution losses are based on data from SONI TES: Self Sustaining scenario - see the Data Annex, Table 8</t>
  </si>
  <si>
    <t>Minor (~1.2%) added non-CO2 generation emissions are based on GHG and CO2 intensity data of electricity generation from UK Conversion Factors (2025) https://www.gov.uk/government/publications/greenhouse-gas-reporting-conversion-factors-2025</t>
  </si>
  <si>
    <t>Year</t>
  </si>
  <si>
    <r>
      <t xml:space="preserve"> Location grid electricity (gCO</t>
    </r>
    <r>
      <rPr>
        <b/>
        <vertAlign val="subscript"/>
        <sz val="11"/>
        <color rgb="FF000000"/>
        <rFont val="Calibri"/>
        <family val="2"/>
        <scheme val="minor"/>
      </rPr>
      <t>2</t>
    </r>
    <r>
      <rPr>
        <b/>
        <sz val="11"/>
        <color rgb="FF000000"/>
        <rFont val="Calibri"/>
        <family val="2"/>
        <scheme val="minor"/>
      </rPr>
      <t>e/kWh</t>
    </r>
    <r>
      <rPr>
        <b/>
        <vertAlign val="subscript"/>
        <sz val="11"/>
        <color rgb="FF000000"/>
        <rFont val="Calibri"/>
        <family val="2"/>
        <scheme val="minor"/>
      </rPr>
      <t>e</t>
    </r>
    <r>
      <rPr>
        <b/>
        <sz val="11"/>
        <color theme="1"/>
        <rFont val="Calibri"/>
        <family val="2"/>
        <scheme val="minor"/>
      </rPr>
      <t xml:space="preserve"> delivered)</t>
    </r>
  </si>
  <si>
    <r>
      <t xml:space="preserve"> GB grid electricity (gCO</t>
    </r>
    <r>
      <rPr>
        <b/>
        <vertAlign val="subscript"/>
        <sz val="11"/>
        <color rgb="FF000000"/>
        <rFont val="Calibri"/>
        <family val="2"/>
        <scheme val="minor"/>
      </rPr>
      <t>2</t>
    </r>
    <r>
      <rPr>
        <b/>
        <sz val="11"/>
        <color rgb="FF000000"/>
        <rFont val="Calibri"/>
        <family val="2"/>
        <scheme val="minor"/>
      </rPr>
      <t>e/kWh</t>
    </r>
    <r>
      <rPr>
        <b/>
        <vertAlign val="subscript"/>
        <sz val="11"/>
        <color rgb="FF000000"/>
        <rFont val="Calibri"/>
        <family val="2"/>
        <scheme val="minor"/>
      </rPr>
      <t>e</t>
    </r>
    <r>
      <rPr>
        <b/>
        <sz val="11"/>
        <color theme="1"/>
        <rFont val="Calibri"/>
        <family val="2"/>
        <scheme val="minor"/>
      </rPr>
      <t xml:space="preserve"> delivered)</t>
    </r>
  </si>
  <si>
    <r>
      <t xml:space="preserve"> GB grid electricity (gCO</t>
    </r>
    <r>
      <rPr>
        <b/>
        <vertAlign val="subscript"/>
        <sz val="11"/>
        <color rgb="FF000000"/>
        <rFont val="Calibri"/>
        <family val="2"/>
        <scheme val="minor"/>
      </rPr>
      <t>2</t>
    </r>
    <r>
      <rPr>
        <b/>
        <sz val="11"/>
        <color rgb="FF000000"/>
        <rFont val="Calibri"/>
        <family val="2"/>
        <scheme val="minor"/>
      </rPr>
      <t>e/MJ</t>
    </r>
    <r>
      <rPr>
        <b/>
        <vertAlign val="subscript"/>
        <sz val="11"/>
        <color rgb="FF000000"/>
        <rFont val="Calibri"/>
        <family val="2"/>
        <scheme val="minor"/>
      </rPr>
      <t xml:space="preserve">e </t>
    </r>
    <r>
      <rPr>
        <b/>
        <sz val="11"/>
        <color theme="1"/>
        <rFont val="Calibri"/>
        <family val="2"/>
        <scheme val="minor"/>
      </rPr>
      <t>delivered)</t>
    </r>
  </si>
  <si>
    <r>
      <t xml:space="preserve"> NI grid electricity (gCO</t>
    </r>
    <r>
      <rPr>
        <b/>
        <vertAlign val="subscript"/>
        <sz val="11"/>
        <color rgb="FF000000"/>
        <rFont val="Calibri"/>
        <family val="2"/>
        <scheme val="minor"/>
      </rPr>
      <t>2</t>
    </r>
    <r>
      <rPr>
        <b/>
        <sz val="11"/>
        <color rgb="FF000000"/>
        <rFont val="Calibri"/>
        <family val="2"/>
        <scheme val="minor"/>
      </rPr>
      <t>e/kWh</t>
    </r>
    <r>
      <rPr>
        <b/>
        <vertAlign val="subscript"/>
        <sz val="11"/>
        <color rgb="FF000000"/>
        <rFont val="Calibri"/>
        <family val="2"/>
        <scheme val="minor"/>
      </rPr>
      <t>e</t>
    </r>
    <r>
      <rPr>
        <b/>
        <sz val="11"/>
        <color theme="1"/>
        <rFont val="Calibri"/>
        <family val="2"/>
        <scheme val="minor"/>
      </rPr>
      <t xml:space="preserve"> delivered)</t>
    </r>
  </si>
  <si>
    <r>
      <t xml:space="preserve"> NI grid electricity (gCO</t>
    </r>
    <r>
      <rPr>
        <b/>
        <vertAlign val="subscript"/>
        <sz val="11"/>
        <color rgb="FF000000"/>
        <rFont val="Calibri"/>
        <family val="2"/>
        <scheme val="minor"/>
      </rPr>
      <t>2</t>
    </r>
    <r>
      <rPr>
        <b/>
        <sz val="11"/>
        <color rgb="FF000000"/>
        <rFont val="Calibri"/>
        <family val="2"/>
        <scheme val="minor"/>
      </rPr>
      <t>e/MJ</t>
    </r>
    <r>
      <rPr>
        <b/>
        <vertAlign val="subscript"/>
        <sz val="11"/>
        <color rgb="FF000000"/>
        <rFont val="Calibri"/>
        <family val="2"/>
        <scheme val="minor"/>
      </rPr>
      <t xml:space="preserve">e </t>
    </r>
    <r>
      <rPr>
        <b/>
        <sz val="11"/>
        <color theme="1"/>
        <rFont val="Calibri"/>
        <family val="2"/>
        <scheme val="minor"/>
      </rPr>
      <t>delivered)</t>
    </r>
  </si>
  <si>
    <t>Self-discharge loss values for different Electricity Storage Systems (Data Annex Table 6)</t>
  </si>
  <si>
    <t>Electricity Storage System operators shall use the 30 minute self-discharge loss values provided in the table below to estimate the self-discharge losses when updating the weighted average GHG intensity of the electricity storage system.</t>
  </si>
  <si>
    <t>In case the operator does no provide evidence of the type of battery chemistry, self-discharge data for nickel metal hydride shall be used.</t>
  </si>
  <si>
    <t>For any chemistries not listed, the battery operators shall provide a self-discharge loss value with supporting evidence.</t>
  </si>
  <si>
    <t>Electricity Storage System</t>
  </si>
  <si>
    <t>Loss per month (for info only)</t>
  </si>
  <si>
    <t>Loss per 30 minutes</t>
  </si>
  <si>
    <t>Lithium ion battery</t>
  </si>
  <si>
    <t xml:space="preserve">Umweltbundesamt Table 3, Page 20, Li Ion Battery https://www.umweltbundesamt.de/sites/default/files/medien/publikation/long/4414.pdf </t>
  </si>
  <si>
    <t>Lead acid battery</t>
  </si>
  <si>
    <t xml:space="preserve">iSEA (2012) Technology Overview on Electricity Storage. https://sei.info.yorku.ca/files/2013/03/Sauer2.pdf </t>
  </si>
  <si>
    <t>Nickel cadmium battery</t>
  </si>
  <si>
    <t>Nickel metal hydride battery</t>
  </si>
  <si>
    <t>LSD-nickel metal hydride battery</t>
  </si>
  <si>
    <t>Zinc manganese battery</t>
  </si>
  <si>
    <t>Pumped storage hydroelectricity</t>
  </si>
  <si>
    <t>Compressed air energy storage</t>
  </si>
  <si>
    <t>Liquid air energy storage</t>
  </si>
  <si>
    <t>EPD Sciences (2014) The application of liquid air energy storage for large scale long duration solutions to grid balancing https://www.epj-conferences.org/articles/epjconf/pdf/2014/16/epjconf_e2c2013_03002.pdf</t>
  </si>
  <si>
    <t>Flywheel</t>
  </si>
  <si>
    <t>~100%</t>
  </si>
  <si>
    <t>Gravity-based energy storage</t>
  </si>
  <si>
    <t>Hunt, J. D. et al. (2023) Underground Gravity Energy Storage: A Solution for Long-Term Energy Storage. Energies. 16 (2), 825. https://www.mdpi.com/1996-1073/16/2/825</t>
  </si>
  <si>
    <t>Liquid CO2 energy storage</t>
  </si>
  <si>
    <t xml:space="preserve">Vecchi, A. et al. (2022) Carnot Battery development: A review on system performance, applications and commerical state-of-the-art. Journal of Energy Storage. Volume 55, Part 9. https://www.sciencedirect.com/science/article/pii/S2352152X22017704 </t>
  </si>
  <si>
    <t>Sensible heat energy storage</t>
  </si>
  <si>
    <t>Kebede, A. A. et al. (2022) A comprehensive review of stationary energy storage devices for large scale renewable energy sources grid integration. Renewable and Sustainable Energy Reviews. Volume 159. https://www.sciencedirect.com/science/article/pii/S1364032122001368</t>
  </si>
  <si>
    <t>Latent heat energy storage</t>
  </si>
  <si>
    <t>Thermochemical energy storage</t>
  </si>
  <si>
    <t>Supercapacitor</t>
  </si>
  <si>
    <t>Superconducting magnetic energy storage</t>
  </si>
  <si>
    <t>~99%</t>
  </si>
  <si>
    <t>Round Trip Efficiency values for different Electricity Storage Systems (Data Annex Table 7)</t>
  </si>
  <si>
    <t>Round trip efficiency</t>
  </si>
  <si>
    <t>Heating and cooling loss of battery Figures 18 and 19 https://onlinelibrary.wiley.com/doi/epdf/10.1002/ecj.12221
Cooling equipment COP efficiency Air chiller and water chiller https://www.sciencedirect.com/science/article/pii/S1876610214033372#:~:text=Under%20standard%20rating%20conditions%20at,6.39%20for%20water%2Dcooled%20chillers
Battery Charging and Discharging Losses: Frontiers of Mechanical Engineering, Table 1, https://link.springer.com/article/10.1007/s11465-018-0516-8</t>
  </si>
  <si>
    <t xml:space="preserve">McKinsey&amp;Company (2021) Net-zero power: Long duration energy storage for a renewable grid. https://www.mckinsey.com/~/media/mckinsey/business%20functions/sustainability/our%20insights/net%20zero%20power%20long%20duration%20energy%20storage%20for%20a%20renewable%20grid/net-zero-power-long-duration-energy-storage-for-a-renewable-grid.pdf </t>
  </si>
  <si>
    <t xml:space="preserve">Aneke, M. (2016) Energy storage technologies and real life applications - A state of the art review. Applied Energy, 179. pp. 350-377. https://eprints.whiterose.ac.uk/154479/1/2016_05_05_MA_Modified_Manuscript_NotMarked.pdf </t>
  </si>
  <si>
    <t>Projected Transmission &amp; Distribution losses for pre-operational facilities (Data Annex Table 8)</t>
  </si>
  <si>
    <t>For pre-operational hydrogen production facilities, or pre-operational electricity storage systems, the table below provides the future T&amp;D losses that should be assumed when projecting the delivered GHG intensity of electricity from specific generation facilities or from/to specific electricity storage systems.</t>
  </si>
  <si>
    <t>The GB losses are calculated from the NESO Future Energy Scenarios 2025 data assuming the Holistic Transition scenario (ED1) (https://www.nationalgrideso.com/future-energy/future-energy-scenarios-fes/fes-documents), and shall be used for GB pre-operational projects</t>
  </si>
  <si>
    <t>The GB transmission loss % is the transmission loss in TWh divided by the total system demand in TWh in the NESO FES Holistic scenario. The GB Distribution loss % is the distribution loss in TWh divided by the (total system demand TWh - transmission loss TWh) in the NESO FES Holistic scenario.</t>
  </si>
  <si>
    <t>The NI losses are calculated from the SONI Tomorrow's Energy Scenarios 2025 data and report, assuming the Self-Sustaining scenario. https://www.soni.ltd.uk/future-energy/tomorrows-energy-scenarios, and shall be used for NI pre-operational projects (regardless of the network connection between the PPA generator and consumer)</t>
  </si>
  <si>
    <t>The NI losses are calculated from TES Figure 6.5 Self-Sustaining, dividing Losses by the total of the demand rows including Losses. In the absence of more granular data, assumed 2035 value applies to 2031-35, 2040 value to 2036-40, 2045 value to 2041-45 and 2050 value to 2046-50. Current 8% loss from Full TES Report, page 63, assumed to apply to 2025-30.</t>
  </si>
  <si>
    <t>GB Transmission Loss</t>
  </si>
  <si>
    <t>GB Distribution Loss</t>
  </si>
  <si>
    <t>GB Total T&amp;D Loss</t>
  </si>
  <si>
    <t>NI Total T&amp;D Loss</t>
  </si>
  <si>
    <t>Fuel GHG intensity (production and supply, without combustion/conversion) (Data Annex Table 9)</t>
  </si>
  <si>
    <t>The GHG emission intensity factors in the table below aleady consider the typical transport emissions associated with delivery to a hydrogen production facility site, and so do not need any adjustment for transport.</t>
  </si>
  <si>
    <t>If using a fuel that is not listed in the table below, the GHG calculation methodology used within the RTFO (excluding any soil carbon accumulation credit, manure credit, degraded land credit, excess electricity credit or carbon capture and replacment/utilisation credit) should be used for calculating the delivered GHG emission intensity factor of this fuel.</t>
  </si>
  <si>
    <t>Fuel</t>
  </si>
  <si>
    <t>Diesel</t>
  </si>
  <si>
    <t>UK Government (2025) conversion factors for company reporting of greenhouse gas emissions: https://www.gov.uk/government/publications/greenhouse-gas-reporting-conversion-factors-2025</t>
  </si>
  <si>
    <t>Petrol</t>
  </si>
  <si>
    <t>Natural gas (transmission network)</t>
  </si>
  <si>
    <t>Gas grid mix from Energy Trends: UK gas, ET4.3 https://www.gov.uk/government/statistics/gas-section-4-energy-trends and Digest of UK Energy Statistics (DUKES): natural gas https://www.gov.uk/government/statistics/natural-gas-chapter-4-digest-of-united-kingdom-energy-statistics-dukes
GHG intensities from NSTA: Emissions Monitoring Report 2025 https://www.nstauthority.co.uk/news-publications/emissions-monitoring-report-2025/
with the exception of US LNG intensity from IEA: Assessing Emissions from LNG Supply and Abatement Options 2025 https://iea.blob.core.windows.net/assets/5ad737ee-750d-460e-8c33-fb9140f1043d/AssessingemissionsfromLNGsupplyandabatementoptions.pdf
Volumetric energy density of natural gas: The Energy Institute: Statistical review of world energy https://www.energyinst.org/statistical-review/about
LHV and HHV: UK Government Conversion Factors 2025 Full Set https://www.gov.uk/government/publications/greenhouse-gas-reporting-conversion-factors-2025 
Methane GWP: IPCC: Global Warming Potential Values (AR5 without ccfb GWP 100, Table 8.7) https://ghgprotocol.org/sites/default/files/ghgp/Global-Warming-Potential-Values%20%28Feb%2016%202016%29_1.pdf
NTS losses: ScienceDirect (Durham University): Assessing fugitive emissions of CH4 from high-pressure gas pipelines in the UK https://www.sciencedirect.com/science/article/pii/S0048969718306399
NTS own use: National Gas: Unaccounted for Gas https://www.nationalgas.com/balancing/unaccounted-gas-uag
Methane composition: UK Environment Agency: Material comparators for end-of-waste decisions https://assets.publishing.service.gov.uk/government/uploads/system/uploads/attachment_data/file/545567/Material_comparators_for_fuels_-_natural_gas.pdf</t>
  </si>
  <si>
    <t>Natural gas (intermediate/medium pressure distribution network)</t>
  </si>
  <si>
    <t>Gas grid mix from Energy Trends: UK gas, ET4.3 https://www.gov.uk/government/statistics/gas-section-4-energy-trends and Digest of UK Energy Statistics (DUKES): natural gas https://www.gov.uk/government/statistics/natural-gas-chapter-4-digest-of-united-kingdom-energy-statistics-dukes
GHG intensities from NSTA: Emissions Monitoring Report 2025 https://www.nstauthority.co.uk/news-publications/emissions-monitoring-report-2025/
with the exception of US LNG intensity from IEA: Assessing Emissions from LNG Supply and Abatement Options 2025 https://iea.blob.core.windows.net/assets/5ad737ee-750d-460e-8c33-fb9140f1043d/AssessingemissionsfromLNGsupplyandabatementoptions.pdf
Volumetric energy density of natural gas: The Energy Institute: Statistical review of world energy https://www.energyinst.org/statistical-review/about
LHV and HHV: UK Government Conversion Factors 2025 Full Set https://www.gov.uk/government/publications/greenhouse-gas-reporting-conversion-factors-2025 
Methane GWP: IPCC: Global Warming Potential Values (AR5 without ccfb GWP 100, Table 8.7) https://ghgprotocol.org/sites/default/files/ghgp/Global-Warming-Potential-Values%20%28Feb%2016%202016%29_1.pdf
NTS losses: ScienceDirect (Durham University): Assessing fugitive emissions of CH4 from high-pressure gas pipelines in the UK https://www.sciencedirect.com/science/article/pii/S0048969718306399
NTS own use: National Gas: Unaccounted for Gas https://www.nationalgas.com/balancing/unaccounted-gas-uag
Distribution shrinkage: Gas Governance (2025) https://www.gasgovernance.co.uk/shrinkage/aa2025
Methane composition: UK Environment Agency: Material comparators for end-of-waste decisions https://assets.publishing.service.gov.uk/government/uploads/system/uploads/attachment_data/file/545567/Material_comparators_for_fuels_-_natural_gas.pdf</t>
  </si>
  <si>
    <t>Natural gas (low pressure distribution network)</t>
  </si>
  <si>
    <t>Marine gas oil</t>
  </si>
  <si>
    <t>Fuel oil</t>
  </si>
  <si>
    <t>Fossil methanol</t>
  </si>
  <si>
    <t>JRC (2019) Definition of input data to assess GHG default emissions from biofuels in EU legislation: https://publications.jrc.ec.europa.eu/repository/handle/JRC115952</t>
  </si>
  <si>
    <t>Biomethanol</t>
  </si>
  <si>
    <t>Bioethanol</t>
  </si>
  <si>
    <t>Biodiesel FAME</t>
  </si>
  <si>
    <t>Biodiesel HVO</t>
  </si>
  <si>
    <t>Biomethane from wet manure (open digestate, no off-gas combustion) delivered via gas grid</t>
  </si>
  <si>
    <t>DfT (2024) RTFO and SAF Mandate Technical Guidance: https://www.gov.uk/government/publications/rtfo-and-saf-mandate-technical-information. Filling station compression emissions have been removed.</t>
  </si>
  <si>
    <t>Biomethane from wet manure (open digestate, off-gas combustion) delivered via gas grid</t>
  </si>
  <si>
    <t>Biomethane from wet manure (closed digestate, no off-gas combustion) delivered via gas grid</t>
  </si>
  <si>
    <t>Biomethane from wet manure (closed digestate, off-gas combustion) delivered via gas grid</t>
  </si>
  <si>
    <t>Biomethane from maize whole plant (open digestate, no off-gas combustion) delivered via gas grid</t>
  </si>
  <si>
    <t>Biomethane from maize whole plant (open digestate, off-gas combustion) delivered via gas grid</t>
  </si>
  <si>
    <t>Biomethane from maize whole plant (closed digestate, no off-gas combustion) delivered via gas grid</t>
  </si>
  <si>
    <t>Biomethane from maize whole plant (closed digestate, off-gas combustion) delivered via gas grid</t>
  </si>
  <si>
    <t>Biomethane from biowaste (open digestate, no off-gas combustion) delivered via gas grid</t>
  </si>
  <si>
    <t>Biomethane from biowaste (open digestate, off-gas combustion) delivered via gas grid</t>
  </si>
  <si>
    <t>Biomethane from biowaste (closed digestate, no off-gas combustion) delivered via gas grid</t>
  </si>
  <si>
    <t>Biomethane from biowaste (closed digestate, off-gas combustion) delivered via gas grid</t>
  </si>
  <si>
    <t>Biomethane from sewage sludge (closed digestate, off-gas combustion) delivered via gas grid</t>
  </si>
  <si>
    <t xml:space="preserve">JEC (2020) Well-to-tank report, OWCG3: https://publications.jrc.ec.europa.eu/repository/handle/JRC119036 </t>
  </si>
  <si>
    <t>Biomethane from wet manure (open digestate, no off-gas combustion) delivered via truck</t>
  </si>
  <si>
    <t>DfT (2024) RTFO and SAF Mandate Technical Guidance for biomethane production emissions: https://www.gov.uk/government/publications/rtfo-and-saf-mandate-technical-information. Trucking distance from Ricardo (2015) Biomethane for Transport from Landfill and Anaerobic Digestion: https://assets.publishing.service.gov.uk/media/5a7f191f40f0b62305b850e9/biomethane-for-transport.pdf. Diesel use from JEC (2020) Well-to-tank report: https://publications.jrc.ec.europa.eu/repository/handle/JRC119036 . Biomethane LHV from UK Government Conversion Factors (2025).</t>
  </si>
  <si>
    <t>Biomethane from wet manure (open digestate, off-gas combustion) delivered via truck</t>
  </si>
  <si>
    <t>Biomethane from wet manure (closed digestate, no off-gas combustion) delivered via truck</t>
  </si>
  <si>
    <t>Biomethane from wet manure (closed digestate, off-gas combustion) delivered via truck</t>
  </si>
  <si>
    <t>Biomethane from maize whole plant (open digestate, no off-gas combustion) delivered via truck</t>
  </si>
  <si>
    <t>Biomethane from maize whole plant (open digestate, off-gas combustion) delivered via truck</t>
  </si>
  <si>
    <t>Biomethane from maize whole plant (closed digestate, no off-gas combustion) delivered via truck</t>
  </si>
  <si>
    <t>Biomethane from maize whole plant (closed digestate, off-gas combustion) delivered via truck</t>
  </si>
  <si>
    <t>Biomethane from biowaste (open digestate, no off-gas combustion) delivered via truck</t>
  </si>
  <si>
    <t>Biomethane from biowaste (open digestate, off-gas combustion) delivered via truck</t>
  </si>
  <si>
    <t>Biomethane from biowaste (closed digestate, no off-gas combustion) delivered via truck</t>
  </si>
  <si>
    <t>Biomethane from biowaste (closed digestate, off-gas combustion) delivered via truck</t>
  </si>
  <si>
    <t>Biomethane from sewage sludge (closed digestate, off-gas combustion) delivered via truck</t>
  </si>
  <si>
    <t>JEC (2020) Well-to-tank report, OWCG3: https://publications.jrc.ec.europa.eu/repository/handle/JRC119036 for biomethane production emissions. Trucking distance from Ricardo (2015) Biomethane for Transport from Landfill and Anaerobic Digestion: https://assets.publishing.service.gov.uk/media/5a7f191f40f0b62305b850e9/biomethane-for-transport.pdf. Diesel use from JEC (2020) Well-to-tank report: https://publications.jrc.ec.europa.eu/repository/handle/JRC119036 . Biomethane LHV from UK Government Conversion Factors (2025).</t>
  </si>
  <si>
    <t>Input materials (Data Annex Table 10)</t>
  </si>
  <si>
    <t>The following emissions intensities should be used with projected/actual material flow rates.</t>
  </si>
  <si>
    <t>These factors include manufacture of the material and implictly include transport to a typical project site, based on the references provided, although this may be made more explicit in future iterations.</t>
  </si>
  <si>
    <r>
      <t>These factors do not consider emissions resulting from the combustion or conversion of these input materials within the hydrogen production facility (these combustion/conversion emissions are to be covered within the Process CO</t>
    </r>
    <r>
      <rPr>
        <vertAlign val="subscript"/>
        <sz val="11"/>
        <color rgb="FF000000"/>
        <rFont val="Calibri"/>
        <family val="2"/>
      </rPr>
      <t>2</t>
    </r>
    <r>
      <rPr>
        <sz val="11"/>
        <color rgb="FF000000"/>
        <rFont val="Calibri"/>
        <family val="2"/>
      </rPr>
      <t xml:space="preserve"> emissions and Fugitive non-CO</t>
    </r>
    <r>
      <rPr>
        <vertAlign val="subscript"/>
        <sz val="11"/>
        <color rgb="FF000000"/>
        <rFont val="Calibri"/>
        <family val="2"/>
      </rPr>
      <t>2</t>
    </r>
    <r>
      <rPr>
        <sz val="11"/>
        <color rgb="FF000000"/>
        <rFont val="Calibri"/>
        <family val="2"/>
      </rPr>
      <t xml:space="preserve"> emissions categories).</t>
    </r>
  </si>
  <si>
    <t>If using a material that is not listed in the table below, the references given in the Non Typical data tab should be consulted to source and evidence a suitable GHG emission intensity factor input.</t>
  </si>
  <si>
    <t>Material</t>
  </si>
  <si>
    <r>
      <t>gCO</t>
    </r>
    <r>
      <rPr>
        <b/>
        <vertAlign val="subscript"/>
        <sz val="11"/>
        <color theme="1"/>
        <rFont val="Calibri"/>
        <family val="2"/>
        <scheme val="minor"/>
      </rPr>
      <t>2</t>
    </r>
    <r>
      <rPr>
        <b/>
        <sz val="11"/>
        <color theme="1"/>
        <rFont val="Calibri"/>
        <family val="2"/>
        <scheme val="minor"/>
      </rPr>
      <t>e/kg</t>
    </r>
  </si>
  <si>
    <t>Mains water</t>
  </si>
  <si>
    <t>Desalinated water onsite from grid power</t>
  </si>
  <si>
    <t>Fayyaz et al (2023) Life cycle assessment of reverse osmosis for high-salinity seawater desalination process: Potable and industrial water production. https://www.sciencedirect.com/science/article/abs/pii/S0959652622048739
Najjar et al (2021) Life cycle assessment of a seawater reverse osmosis plant powered by a hybrid energy system (fossil fuel and waste to energy) https://www.sciencedirect.com/science/article/pii/S2352484721005710</t>
  </si>
  <si>
    <t>Oxygen (liquid) onsite from grid power</t>
  </si>
  <si>
    <t>Hersari (2020): https://www.jgt.irangi.org/article_251658_2f9cc90ad987bb1250c10a292d975504.pdf</t>
  </si>
  <si>
    <t>Oxygen onsite from wind/solar</t>
  </si>
  <si>
    <t>Nil intensity, due to nil intensity of input power</t>
  </si>
  <si>
    <t>Nitrogen (gaseous) onsite from grid power</t>
  </si>
  <si>
    <t>Nitrogen (liquid) onsite from grid power</t>
  </si>
  <si>
    <t>Wu et al. (2020): https://www.sciencedirect.com/science/article/abs/pii/S0959652620330729</t>
  </si>
  <si>
    <t>Nitrogen onsite from wind/solar</t>
  </si>
  <si>
    <t>Sodium hydroxide (NaOH) solution</t>
  </si>
  <si>
    <t>EU Commission Implementing Regulation (EU) 2022/996 (14 June 2022) https://eur-lex.europa.eu/legal-content/EN/TXT/PDF/?uri=CELEX:02022R0996-20231230</t>
  </si>
  <si>
    <t>Potassium hydroxide (KOH) solution</t>
  </si>
  <si>
    <t>Calcium hydroxide (CaO, pure)</t>
  </si>
  <si>
    <r>
      <t>Calcium carbonate (CaCO</t>
    </r>
    <r>
      <rPr>
        <vertAlign val="subscript"/>
        <sz val="11"/>
        <color rgb="FF000000"/>
        <rFont val="Calibri"/>
        <family val="2"/>
      </rPr>
      <t>3</t>
    </r>
    <r>
      <rPr>
        <sz val="11"/>
        <color rgb="FF000000"/>
        <rFont val="Calibri"/>
        <family val="2"/>
      </rPr>
      <t>, pure)</t>
    </r>
  </si>
  <si>
    <t>GHG Protocol (2005) Calculation Tools for Estimating GHG emissions from pulp and paper mills: https://ghgprotocol.org/sites/default/files/2023-03/Pulp_and_Paper_Guidance.pdf</t>
  </si>
  <si>
    <r>
      <t>Sodium carbonate (Na</t>
    </r>
    <r>
      <rPr>
        <vertAlign val="subscript"/>
        <sz val="11"/>
        <color rgb="FF000000"/>
        <rFont val="Calibri"/>
        <family val="2"/>
      </rPr>
      <t>2</t>
    </r>
    <r>
      <rPr>
        <sz val="11"/>
        <color rgb="FF000000"/>
        <rFont val="Calibri"/>
        <family val="2"/>
      </rPr>
      <t>CO</t>
    </r>
    <r>
      <rPr>
        <vertAlign val="subscript"/>
        <sz val="11"/>
        <color rgb="FF000000"/>
        <rFont val="Calibri"/>
        <family val="2"/>
      </rPr>
      <t>3</t>
    </r>
    <r>
      <rPr>
        <sz val="11"/>
        <color rgb="FF000000"/>
        <rFont val="Calibri"/>
        <family val="2"/>
      </rPr>
      <t>, pure)</t>
    </r>
  </si>
  <si>
    <t>Sodium hypochlorite (NaClO)</t>
  </si>
  <si>
    <t>Euro Chlor (2022): https://www.eurochlor.org/wp-content/uploads/2022/02/2022-Euro-Chlor-Eco-profile.pdf</t>
  </si>
  <si>
    <r>
      <t>Sodium methoxide (NaCH</t>
    </r>
    <r>
      <rPr>
        <vertAlign val="subscript"/>
        <sz val="11"/>
        <color rgb="FF000000"/>
        <rFont val="Calibri"/>
        <family val="2"/>
      </rPr>
      <t>3</t>
    </r>
    <r>
      <rPr>
        <sz val="11"/>
        <color rgb="FF000000"/>
        <rFont val="Calibri"/>
        <family val="2"/>
      </rPr>
      <t>O)</t>
    </r>
  </si>
  <si>
    <r>
      <t>Sodium bisulphite (NaHSO</t>
    </r>
    <r>
      <rPr>
        <vertAlign val="subscript"/>
        <sz val="11"/>
        <color rgb="FF000000"/>
        <rFont val="Calibri"/>
        <family val="2"/>
      </rPr>
      <t>3</t>
    </r>
    <r>
      <rPr>
        <sz val="11"/>
        <color rgb="FF000000"/>
        <rFont val="Calibri"/>
        <family val="2"/>
      </rPr>
      <t>)</t>
    </r>
  </si>
  <si>
    <t>Winnepeg (2012): https://www.winnipeg.ca/finance/findata/matmgt/documents/2012/682-2012/682-2012_Appendix_H-WSTP_South_End_Plant_Process_Selection_Report/Appendix%207.pdf</t>
  </si>
  <si>
    <t>Salt (NaCl)</t>
  </si>
  <si>
    <t>Hydrochloric acid (HCl) solution</t>
  </si>
  <si>
    <r>
      <t>Sulphuric acid (H</t>
    </r>
    <r>
      <rPr>
        <vertAlign val="subscript"/>
        <sz val="11"/>
        <color rgb="FF000000"/>
        <rFont val="Calibri"/>
        <family val="2"/>
      </rPr>
      <t>2</t>
    </r>
    <r>
      <rPr>
        <sz val="11"/>
        <color rgb="FF000000"/>
        <rFont val="Calibri"/>
        <family val="2"/>
      </rPr>
      <t>SO</t>
    </r>
    <r>
      <rPr>
        <vertAlign val="subscript"/>
        <sz val="11"/>
        <color rgb="FF000000"/>
        <rFont val="Calibri"/>
        <family val="2"/>
      </rPr>
      <t>4</t>
    </r>
    <r>
      <rPr>
        <sz val="11"/>
        <color rgb="FF000000"/>
        <rFont val="Calibri"/>
        <family val="2"/>
      </rPr>
      <t>)</t>
    </r>
  </si>
  <si>
    <r>
      <t>Phosphoric acid (H</t>
    </r>
    <r>
      <rPr>
        <vertAlign val="subscript"/>
        <sz val="11"/>
        <color rgb="FF000000"/>
        <rFont val="Calibri"/>
        <family val="2"/>
      </rPr>
      <t>3</t>
    </r>
    <r>
      <rPr>
        <sz val="11"/>
        <color rgb="FF000000"/>
        <rFont val="Calibri"/>
        <family val="2"/>
      </rPr>
      <t>PO</t>
    </r>
    <r>
      <rPr>
        <vertAlign val="subscript"/>
        <sz val="11"/>
        <color rgb="FF000000"/>
        <rFont val="Calibri"/>
        <family val="2"/>
      </rPr>
      <t>4</t>
    </r>
    <r>
      <rPr>
        <sz val="11"/>
        <color rgb="FF000000"/>
        <rFont val="Calibri"/>
        <family val="2"/>
      </rPr>
      <t>)</t>
    </r>
  </si>
  <si>
    <r>
      <t>Boric acid (H</t>
    </r>
    <r>
      <rPr>
        <vertAlign val="subscript"/>
        <sz val="11"/>
        <color rgb="FF000000"/>
        <rFont val="Calibri"/>
        <family val="2"/>
      </rPr>
      <t>3</t>
    </r>
    <r>
      <rPr>
        <sz val="11"/>
        <color rgb="FF000000"/>
        <rFont val="Calibri"/>
        <family val="2"/>
      </rPr>
      <t>BO</t>
    </r>
    <r>
      <rPr>
        <vertAlign val="subscript"/>
        <sz val="11"/>
        <color rgb="FF000000"/>
        <rFont val="Calibri"/>
        <family val="2"/>
      </rPr>
      <t>3</t>
    </r>
    <r>
      <rPr>
        <sz val="11"/>
        <color rgb="FF000000"/>
        <rFont val="Calibri"/>
        <family val="2"/>
      </rPr>
      <t>)</t>
    </r>
  </si>
  <si>
    <t>Türkbay et al. (2022): https://hal.science/hal-03585831/document</t>
  </si>
  <si>
    <t>Lubrication oils</t>
  </si>
  <si>
    <t>Cyclohexane</t>
  </si>
  <si>
    <t>Monoethanolamine (MEA)</t>
  </si>
  <si>
    <t>Cuellar-Franca et al. (2016) A novel methodology for assessing the environmental sustainability of ionic liquids used for CO2 capture: https://pubs.rsc.org/en/content/articlepdf/2016/fd/c6fd00054a</t>
  </si>
  <si>
    <r>
      <t>Ammonia (NH</t>
    </r>
    <r>
      <rPr>
        <vertAlign val="subscript"/>
        <sz val="11"/>
        <color rgb="FF000000"/>
        <rFont val="Calibri"/>
        <family val="2"/>
      </rPr>
      <t>3</t>
    </r>
    <r>
      <rPr>
        <sz val="11"/>
        <color rgb="FF000000"/>
        <rFont val="Calibri"/>
        <family val="2"/>
      </rPr>
      <t>) from unabated natural gas</t>
    </r>
  </si>
  <si>
    <r>
      <t>Urea (CH</t>
    </r>
    <r>
      <rPr>
        <vertAlign val="subscript"/>
        <sz val="11"/>
        <color rgb="FF000000"/>
        <rFont val="Calibri"/>
        <family val="2"/>
      </rPr>
      <t>4</t>
    </r>
    <r>
      <rPr>
        <sz val="11"/>
        <color rgb="FF000000"/>
        <rFont val="Calibri"/>
        <family val="2"/>
      </rPr>
      <t>N</t>
    </r>
    <r>
      <rPr>
        <vertAlign val="subscript"/>
        <sz val="11"/>
        <color rgb="FF000000"/>
        <rFont val="Calibri"/>
        <family val="2"/>
      </rPr>
      <t>2</t>
    </r>
    <r>
      <rPr>
        <sz val="11"/>
        <color rgb="FF000000"/>
        <rFont val="Calibri"/>
        <family val="2"/>
      </rPr>
      <t>O) from unabated natural gas</t>
    </r>
  </si>
  <si>
    <t>Activated carbon</t>
  </si>
  <si>
    <t>Vilen et al (2022): https://www.sciencedirect.com/science/article/pii/S0301479722019296</t>
  </si>
  <si>
    <t>Pellet binder</t>
  </si>
  <si>
    <t>Chemigate (2020) https://chemigate.fi/en/chemigates-modified-starch-helps-protect-the-environment/</t>
  </si>
  <si>
    <t>Propylene glycol</t>
  </si>
  <si>
    <t>JRC (2019): Definition of input data to assess GHG default emissions from biofuels in EU legislation: https://publications.jrc.ec.europa.eu/repository/handle/JRC115952</t>
  </si>
  <si>
    <t>Ferric (Iron (III)) chloride</t>
  </si>
  <si>
    <t>GREET (2024) R&amp;D GREET: https://greet.anl.gov/index.php?content=greetdotnet</t>
  </si>
  <si>
    <t>Citric acid</t>
  </si>
  <si>
    <r>
      <t>Process CO</t>
    </r>
    <r>
      <rPr>
        <b/>
        <vertAlign val="subscript"/>
        <sz val="11"/>
        <color rgb="FF000000"/>
        <rFont val="Calibri"/>
        <family val="2"/>
      </rPr>
      <t>2</t>
    </r>
    <r>
      <rPr>
        <b/>
        <sz val="11"/>
        <color rgb="FF000000"/>
        <rFont val="Calibri"/>
        <family val="2"/>
      </rPr>
      <t xml:space="preserve"> emissions (Data Annex Table 11)</t>
    </r>
  </si>
  <si>
    <t>The following emissions intensities should be used with projected/actual flow rates.</t>
  </si>
  <si>
    <t>Note that these factors do not include the input production and supply of these feedstock/fuels to the hydrogen production site, which are considered in earlier emissions categories.</t>
  </si>
  <si>
    <r>
      <t>If using a feedstock, fuel or material that is not listed in the table below, the various references given in the Assumption tab should be consulted to source and evidence a suitable CO</t>
    </r>
    <r>
      <rPr>
        <vertAlign val="subscript"/>
        <sz val="11"/>
        <color rgb="FF000000"/>
        <rFont val="Calibri"/>
        <family val="2"/>
      </rPr>
      <t>2</t>
    </r>
    <r>
      <rPr>
        <sz val="11"/>
        <color rgb="FF000000"/>
        <rFont val="Calibri"/>
        <family val="2"/>
      </rPr>
      <t xml:space="preserve"> emission intensity.</t>
    </r>
  </si>
  <si>
    <r>
      <t>gCO</t>
    </r>
    <r>
      <rPr>
        <b/>
        <vertAlign val="subscript"/>
        <sz val="11"/>
        <color theme="1"/>
        <rFont val="Calibri"/>
        <family val="2"/>
        <scheme val="minor"/>
      </rPr>
      <t>2</t>
    </r>
    <r>
      <rPr>
        <b/>
        <sz val="11"/>
        <color theme="1"/>
        <rFont val="Calibri"/>
        <family val="2"/>
        <scheme val="minor"/>
      </rPr>
      <t>/MJ</t>
    </r>
    <r>
      <rPr>
        <b/>
        <vertAlign val="subscript"/>
        <sz val="11"/>
        <color theme="1"/>
        <rFont val="Calibri"/>
        <family val="2"/>
        <scheme val="minor"/>
      </rPr>
      <t>LHV</t>
    </r>
  </si>
  <si>
    <t>gC/kg</t>
  </si>
  <si>
    <t>Natural gas</t>
  </si>
  <si>
    <t>Hydrogen theoretical compression (Data Annex Table 12)</t>
  </si>
  <si>
    <t>Parameters</t>
  </si>
  <si>
    <t>Value</t>
  </si>
  <si>
    <t>Inlet pressure to compressor</t>
  </si>
  <si>
    <t>Hydrogen pressure chosen, unless Default data is selected for Energy Supply emissions category in which case 3MPa chosen</t>
  </si>
  <si>
    <t>Inlet temperature (To) to compressor</t>
  </si>
  <si>
    <t>⁰C</t>
  </si>
  <si>
    <t>Outlet pressure of compressor</t>
  </si>
  <si>
    <t>3MPa theoretical set point of the Low Carbon Hydrogen Standard is specified, unless Default data is selected for Energy Supply emissions category and desired hydrogen pressure is higher than 3MPa</t>
  </si>
  <si>
    <t>Initial specific volume (Vo)</t>
  </si>
  <si>
    <r>
      <t>m</t>
    </r>
    <r>
      <rPr>
        <vertAlign val="superscript"/>
        <sz val="11"/>
        <color rgb="FF000000"/>
        <rFont val="Calibri"/>
        <family val="2"/>
      </rPr>
      <t>3</t>
    </r>
    <r>
      <rPr>
        <sz val="11"/>
        <color rgb="FF000000"/>
        <rFont val="Calibri"/>
        <family val="2"/>
      </rPr>
      <t>/kg</t>
    </r>
  </si>
  <si>
    <t>Rounds temperature to the nearest 25 degrees, to match the specific volume formula</t>
  </si>
  <si>
    <t>Adiabatic coefficient (n)</t>
  </si>
  <si>
    <t>Specific compression work required, no losses</t>
  </si>
  <si>
    <t>MJ/kg</t>
  </si>
  <si>
    <t>Adiabatic efficiency (η)</t>
  </si>
  <si>
    <t>%</t>
  </si>
  <si>
    <t>Specific compression power with losses</t>
  </si>
  <si>
    <t>kWhe/kg</t>
  </si>
  <si>
    <t>GHG intensity of electricity used</t>
  </si>
  <si>
    <r>
      <t>gCO</t>
    </r>
    <r>
      <rPr>
        <vertAlign val="subscript"/>
        <sz val="11"/>
        <color rgb="FF000000"/>
        <rFont val="Calibri"/>
        <family val="2"/>
      </rPr>
      <t>2</t>
    </r>
    <r>
      <rPr>
        <sz val="11"/>
        <color rgb="FF000000"/>
        <rFont val="Calibri"/>
        <family val="2"/>
      </rPr>
      <t>e/kWhe</t>
    </r>
  </si>
  <si>
    <t>GHG emissions due to compression</t>
  </si>
  <si>
    <r>
      <t>gCO</t>
    </r>
    <r>
      <rPr>
        <b/>
        <vertAlign val="subscript"/>
        <sz val="11"/>
        <color rgb="FF000000"/>
        <rFont val="Calibri"/>
        <family val="2"/>
      </rPr>
      <t>2</t>
    </r>
    <r>
      <rPr>
        <b/>
        <sz val="11"/>
        <color rgb="FF000000"/>
        <rFont val="Calibri"/>
        <family val="2"/>
      </rPr>
      <t>e/MJ H</t>
    </r>
    <r>
      <rPr>
        <b/>
        <vertAlign val="subscript"/>
        <sz val="11"/>
        <color rgb="FF000000"/>
        <rFont val="Calibri"/>
        <family val="2"/>
      </rPr>
      <t>2</t>
    </r>
    <r>
      <rPr>
        <b/>
        <sz val="11"/>
        <color rgb="FF000000"/>
        <rFont val="Calibri"/>
        <family val="2"/>
      </rPr>
      <t xml:space="preserve"> (LHV)</t>
    </r>
  </si>
  <si>
    <t>Specific volume values</t>
  </si>
  <si>
    <r>
      <t>Temperature (</t>
    </r>
    <r>
      <rPr>
        <b/>
        <vertAlign val="superscript"/>
        <sz val="10"/>
        <rFont val="Calibri"/>
        <family val="2"/>
        <scheme val="minor"/>
      </rPr>
      <t>o</t>
    </r>
    <r>
      <rPr>
        <b/>
        <sz val="10"/>
        <rFont val="Calibri"/>
        <family val="2"/>
        <scheme val="minor"/>
      </rPr>
      <t>C)</t>
    </r>
  </si>
  <si>
    <t>α</t>
  </si>
  <si>
    <t>β</t>
  </si>
  <si>
    <r>
      <t>R</t>
    </r>
    <r>
      <rPr>
        <b/>
        <vertAlign val="superscript"/>
        <sz val="11"/>
        <color theme="1"/>
        <rFont val="Calibri"/>
        <family val="2"/>
        <scheme val="minor"/>
      </rPr>
      <t>2</t>
    </r>
  </si>
  <si>
    <t>Hydrogen theoretical purification (Data Annex Table 12)</t>
  </si>
  <si>
    <t>Purification energy with losses</t>
  </si>
  <si>
    <r>
      <t>kWhe/kgH</t>
    </r>
    <r>
      <rPr>
        <vertAlign val="subscript"/>
        <sz val="11"/>
        <rFont val="Calibri"/>
        <family val="2"/>
      </rPr>
      <t>2</t>
    </r>
  </si>
  <si>
    <t>Purification energy is required if purity &lt;99.9% by vol, or if purity is &gt;99.9% by vol but Default data is selected for Energy Supply emissions category</t>
  </si>
  <si>
    <t>GHG emissions due to purification</t>
  </si>
  <si>
    <t>Useful links and references to explore for Non Typical data values</t>
  </si>
  <si>
    <t>UK Low Carbon Hydrogen Standard &amp; Annexes</t>
  </si>
  <si>
    <t>https://www.gov.uk/government/publications/uk-low-carbon-hydrogen-standard-emissions-reporting-and-sustainability-criteria</t>
  </si>
  <si>
    <t>UK Low Carbon Hydrogen Standard - Data Annex</t>
  </si>
  <si>
    <t>UK Government conversion factors for Company Reporting. Year 2025</t>
  </si>
  <si>
    <t>https://www.gov.uk/government/publications/greenhouse-gas-reporting-conversion-factors-2025</t>
  </si>
  <si>
    <t>RTFO &amp; SAF Mandate technical guidance</t>
  </si>
  <si>
    <t>https://www.gov.uk/government/publications/rtfo-and-saf-mandate-technical-information</t>
  </si>
  <si>
    <t>RTFO Carbon Calculator</t>
  </si>
  <si>
    <t>https://www.gov.uk/government/publications/biofuels-carbon-calculator-rtfo</t>
  </si>
  <si>
    <t>RTFO and SAF Mandate standard data</t>
  </si>
  <si>
    <t>https://www.gov.uk/government/publications/rtfo-and-saf-mandate-standard-data</t>
  </si>
  <si>
    <t>The following links can provide useful data sources that may be relevant to the UK Low Carbon Hydrogen Standard</t>
  </si>
  <si>
    <t>EU Renewable Energy Directive III text</t>
  </si>
  <si>
    <t>https://eur-lex.europa.eu/legal-content/EN/TXT/PDF/?uri=CELEX:02018L2001-20231120</t>
  </si>
  <si>
    <t>EU Low Carbon Fuels Directive text</t>
  </si>
  <si>
    <t>https://eur-lex.europa.eu/legal-content/EN/TXT/PDF/?uri=OJ:L_202401788&amp;qid=1761352616178</t>
  </si>
  <si>
    <t>JEC WTT v5</t>
  </si>
  <si>
    <t>https://ec.europa.eu/jrc/en/publication/eur-scientific-and-technical-research-reports/jec-well-tank-report-v5</t>
  </si>
  <si>
    <t>JRC updated input data for biofuel GHG default values</t>
  </si>
  <si>
    <t>https://op.europa.eu/en/publication-detail/-/publication/7d6dd4ba-720a-11e9-9f05-01aa75ed71a1</t>
  </si>
  <si>
    <t>JRC updated data for solid/gaseous biogenic GHG default values</t>
  </si>
  <si>
    <t>https://publications.jrc.ec.europa.eu/repository/handle/JRC104759</t>
  </si>
  <si>
    <t>JRC LCA comparison of hydrogen delivery options</t>
  </si>
  <si>
    <t>https://publications.jrc.ec.europa.eu/repository/handle/JRC137953</t>
  </si>
  <si>
    <t>Biograce II biomass electricity, heating, cooling calculator (RED II compliant)</t>
  </si>
  <si>
    <t>https://www.biograce.net/biograce2/</t>
  </si>
  <si>
    <t>Biograce I biofuels calculator (RED I compliant)</t>
  </si>
  <si>
    <t>http://www.biograce.net/home</t>
  </si>
  <si>
    <t>EcoInvent database of GHG emissions</t>
  </si>
  <si>
    <t>https://ecoinvent.org/
https://web.archive.org/web/20190605065129/http://www.arb.ca.gov/fuels/lcfs/workgroups/lcfssustain/ISCC_EU_205_GHG_Calculation_and_GHG_Audit_2.3_eng.pdf</t>
  </si>
  <si>
    <t>IEA Net Zero Emissions by 2050 scenario</t>
  </si>
  <si>
    <t>https://iea.blob.core.windows.net/assets/deebef5d-0c34-4539-9d0c-10b13d840027/NetZeroby2050-ARoadmapfortheGlobalEnergySector_CORR.pdf</t>
  </si>
  <si>
    <t>Wind/solar electricity consignment of Electrolysis</t>
  </si>
  <si>
    <t>Supply chain step (Excel worksheet)</t>
  </si>
  <si>
    <t>UK Low Carbon Hydrogen Standard emissions category</t>
  </si>
  <si>
    <t>Projected or default data?</t>
  </si>
  <si>
    <r>
      <t xml:space="preserve">Step efficiency 
</t>
    </r>
    <r>
      <rPr>
        <b/>
        <sz val="10"/>
        <color rgb="FF000000"/>
        <rFont val="Calibri"/>
        <family val="2"/>
      </rPr>
      <t>(MJ</t>
    </r>
    <r>
      <rPr>
        <b/>
        <vertAlign val="subscript"/>
        <sz val="10"/>
        <color rgb="FF000000"/>
        <rFont val="Calibri"/>
        <family val="2"/>
      </rPr>
      <t>LHV</t>
    </r>
    <r>
      <rPr>
        <b/>
        <sz val="10"/>
        <color rgb="FF000000"/>
        <rFont val="Calibri"/>
        <family val="2"/>
      </rPr>
      <t xml:space="preserve"> main output/MJ</t>
    </r>
    <r>
      <rPr>
        <b/>
        <vertAlign val="subscript"/>
        <sz val="10"/>
        <color rgb="FF000000"/>
        <rFont val="Calibri"/>
        <family val="2"/>
      </rPr>
      <t>LHV</t>
    </r>
    <r>
      <rPr>
        <b/>
        <sz val="10"/>
        <color rgb="FF000000"/>
        <rFont val="Calibri"/>
        <family val="2"/>
      </rPr>
      <t xml:space="preserve"> main input)</t>
    </r>
  </si>
  <si>
    <r>
      <t xml:space="preserve">Cumulative backward chain efficiency 
</t>
    </r>
    <r>
      <rPr>
        <b/>
        <sz val="10"/>
        <color rgb="FF000000"/>
        <rFont val="Calibri"/>
        <family val="2"/>
      </rPr>
      <t>(MJ</t>
    </r>
    <r>
      <rPr>
        <b/>
        <vertAlign val="subscript"/>
        <sz val="10"/>
        <color rgb="FF000000"/>
        <rFont val="Calibri"/>
        <family val="2"/>
      </rPr>
      <t>LHV</t>
    </r>
    <r>
      <rPr>
        <b/>
        <sz val="10"/>
        <color rgb="FF000000"/>
        <rFont val="Calibri"/>
        <family val="2"/>
      </rPr>
      <t xml:space="preserve"> step main output/MJ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</si>
  <si>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GHG emissions from step,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step main output)</t>
    </r>
  </si>
  <si>
    <r>
      <t xml:space="preserve">GHG emissions from step, WITHOUT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</si>
  <si>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t>Allocation of GHG emissions to main output of each step</t>
  </si>
  <si>
    <t>Cumulative backward chain allocation of GHG emissions</t>
  </si>
  <si>
    <r>
      <t xml:space="preserve">Projected GHG emissions from step, WITH allocation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</si>
  <si>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Default GHG emissions from step</t>
    </r>
    <r>
      <rPr>
        <b/>
        <sz val="10"/>
        <color rgb="FF000000"/>
        <rFont val="Calibri"/>
        <family val="2"/>
      </rPr>
      <t xml:space="preserve"> 
(gCO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</si>
  <si>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 xml:space="preserve">Selected GHG emissions from step 
</t>
    </r>
    <r>
      <rPr>
        <b/>
        <sz val="10"/>
        <color rgb="FF000000"/>
        <rFont val="Calibri"/>
        <family val="2"/>
      </rPr>
      <t>(gCO</t>
    </r>
    <r>
      <rPr>
        <b/>
        <vertAlign val="subscript"/>
        <sz val="10"/>
        <color rgb="FF000000"/>
        <rFont val="Calibri"/>
        <family val="2"/>
      </rPr>
      <t>2</t>
    </r>
    <r>
      <rPr>
        <b/>
        <sz val="10"/>
        <color rgb="FF000000"/>
        <rFont val="Calibri"/>
        <family val="2"/>
      </rPr>
      <t>e/MJ</t>
    </r>
    <r>
      <rPr>
        <b/>
        <vertAlign val="subscript"/>
        <sz val="10"/>
        <color rgb="FF000000"/>
        <rFont val="Calibri"/>
        <family val="2"/>
      </rPr>
      <t>LHV</t>
    </r>
    <r>
      <rPr>
        <b/>
        <sz val="10"/>
        <color rgb="FF000000"/>
        <rFont val="Calibri"/>
        <family val="2"/>
      </rPr>
      <t xml:space="preserve"> standard H</t>
    </r>
    <r>
      <rPr>
        <b/>
        <vertAlign val="subscript"/>
        <sz val="10"/>
        <color rgb="FF000000"/>
        <rFont val="Calibri"/>
        <family val="2"/>
      </rPr>
      <t>2</t>
    </r>
    <r>
      <rPr>
        <b/>
        <sz val="10"/>
        <color rgb="FF000000"/>
        <rFont val="Calibri"/>
        <family val="2"/>
      </rPr>
      <t>)</t>
    </r>
  </si>
  <si>
    <r>
      <t>Wind/solar PV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</si>
  <si>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</si>
  <si>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Wind/solar PV electrolysis PEM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</si>
  <si>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Process CO</t>
    </r>
    <r>
      <rPr>
        <vertAlign val="subscript"/>
        <sz val="11"/>
        <color theme="10"/>
        <rFont val="Calibri"/>
        <family val="2"/>
      </rPr>
      <t>2</t>
    </r>
    <r>
      <rPr>
        <sz val="11"/>
        <color theme="10"/>
        <rFont val="Calibri"/>
        <family val="2"/>
      </rPr>
      <t xml:space="preserve"> emissions</t>
    </r>
  </si>
  <si>
    <t>Must be projected</t>
  </si>
  <si>
    <r>
      <t>CO</t>
    </r>
    <r>
      <rPr>
        <vertAlign val="subscript"/>
        <sz val="11"/>
        <color theme="10"/>
        <rFont val="Calibri"/>
        <family val="2"/>
      </rPr>
      <t>2</t>
    </r>
    <r>
      <rPr>
        <sz val="11"/>
        <color theme="10"/>
        <rFont val="Calibri"/>
        <family val="2"/>
      </rPr>
      <t xml:space="preserve"> capture and network entry</t>
    </r>
  </si>
  <si>
    <r>
      <t>CO</t>
    </r>
    <r>
      <rPr>
        <vertAlign val="subscript"/>
        <sz val="11"/>
        <color theme="10"/>
        <rFont val="Calibri"/>
        <family val="2"/>
      </rPr>
      <t>2</t>
    </r>
    <r>
      <rPr>
        <sz val="11"/>
        <color theme="10"/>
        <rFont val="Calibri"/>
        <family val="2"/>
      </rPr>
      <t xml:space="preserve"> sequestration</t>
    </r>
  </si>
  <si>
    <r>
      <t>Fugitive non-CO</t>
    </r>
    <r>
      <rPr>
        <vertAlign val="subscript"/>
        <sz val="11"/>
        <color theme="10"/>
        <rFont val="Calibri"/>
        <family val="2"/>
      </rPr>
      <t>2</t>
    </r>
    <r>
      <rPr>
        <sz val="11"/>
        <color theme="10"/>
        <rFont val="Calibri"/>
        <family val="2"/>
      </rPr>
      <t xml:space="preserve"> emissions</t>
    </r>
  </si>
  <si>
    <r>
      <t>Theoretical H</t>
    </r>
    <r>
      <rPr>
        <vertAlign val="subscript"/>
        <sz val="11"/>
        <color theme="10"/>
        <rFont val="Calibri"/>
        <family val="2"/>
      </rPr>
      <t>2</t>
    </r>
    <r>
      <rPr>
        <sz val="11"/>
        <color theme="10"/>
        <rFont val="Calibri"/>
        <family val="2"/>
      </rPr>
      <t xml:space="preserve"> Compression</t>
    </r>
  </si>
  <si>
    <t>Compression and purification</t>
  </si>
  <si>
    <t>Set formula if &lt;3 MPa, or default Energy supply and &gt;3 MPa</t>
  </si>
  <si>
    <t>Included within Energy Supply</t>
  </si>
  <si>
    <r>
      <t>Theoretical H</t>
    </r>
    <r>
      <rPr>
        <vertAlign val="subscript"/>
        <sz val="11"/>
        <color theme="10"/>
        <rFont val="Calibri"/>
        <family val="2"/>
      </rPr>
      <t>2</t>
    </r>
    <r>
      <rPr>
        <sz val="11"/>
        <color theme="10"/>
        <rFont val="Calibri"/>
        <family val="2"/>
      </rPr>
      <t xml:space="preserve"> Purification</t>
    </r>
  </si>
  <si>
    <t>Set formula if &lt;99.9% by vol, or default Energy supply and &gt;99.9%</t>
  </si>
  <si>
    <t>Total chain</t>
  </si>
  <si>
    <t>Standard threshold</t>
  </si>
  <si>
    <t>NB: the central, best and worst case values are specific to a certain electricity mix (in this case, 100% wind/solar electricity), so values in these columns may not be appropriate for comparison with your pathway.</t>
  </si>
  <si>
    <t>Nuclear electricity consignment of Electrolysis</t>
  </si>
  <si>
    <r>
      <t>Nuclear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</si>
  <si>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</si>
  <si>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Nuclear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</si>
  <si>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NB: the central, best and worst case values are specific to a certain electricity mix (in this case, 100% nuclear electricity), so values in these columns may not be appropriate for comparison with your pathway.</t>
  </si>
  <si>
    <t>Grid electricity consignment of Electrolysis</t>
  </si>
  <si>
    <r>
      <t>Grid PEM electrolysis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</si>
  <si>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</si>
  <si>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Grid PEM electrolysis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</si>
  <si>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NB: the central, best and worst case values are specific to a certain electricity mix (in this case, 100% grid electricity), so values in these columns may not be appropriate for comparison with your pathway.</t>
  </si>
  <si>
    <t>Stored electricity consignment of Electrolysis</t>
  </si>
  <si>
    <t>Other electricity consignment of Electrolysis</t>
  </si>
  <si>
    <t>NG Feedstock Collection</t>
  </si>
  <si>
    <t>Feedstock supply</t>
  </si>
  <si>
    <t>NG Feedstock Transport</t>
  </si>
  <si>
    <t>NB: the central, best and worst case values from the LCA tool are specific to certain feedstocks (UK weighted average supply, Norwegian piped gas and imported LNG respectively), so values in these columns may not be appropriate for comparison with your pathway.</t>
  </si>
  <si>
    <t>NG Splitting Producing Solid Carbon</t>
  </si>
  <si>
    <t>Solid carbon distribution</t>
  </si>
  <si>
    <t>Solid carbon sequestration</t>
  </si>
  <si>
    <r>
      <t>Food waste biomethane to ATR+CCS,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</si>
  <si>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Food waste biomethane+CCS to ATR+CCS,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</si>
  <si>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Maize biomethane to ATR+CCS,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</si>
  <si>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Must be projected if purpose-grown feedstock</t>
  </si>
  <si>
    <t>Biogas + Biomethane Upgrading</t>
  </si>
  <si>
    <t>Biomethane Reforming (+CCS)</t>
  </si>
  <si>
    <r>
      <t>Process CO</t>
    </r>
    <r>
      <rPr>
        <vertAlign val="subscript"/>
        <sz val="11"/>
        <rFont val="Calibri"/>
        <family val="2"/>
      </rPr>
      <t>2</t>
    </r>
    <r>
      <rPr>
        <sz val="11"/>
        <rFont val="Calibri"/>
        <family val="2"/>
      </rPr>
      <t xml:space="preserve"> emissions</t>
    </r>
  </si>
  <si>
    <r>
      <t>NB: the central, best and worst case values are specific to certain feedstocks (food waste, food waste with biomethane CO</t>
    </r>
    <r>
      <rPr>
        <vertAlign val="subscript"/>
        <sz val="11"/>
        <color rgb="FF000000"/>
        <rFont val="Calibri"/>
        <family val="2"/>
      </rPr>
      <t>2</t>
    </r>
    <r>
      <rPr>
        <sz val="11"/>
        <color rgb="FF000000"/>
        <rFont val="Calibri"/>
        <family val="2"/>
      </rPr>
      <t xml:space="preserve"> capture, and whole maize crop respectively), so values in these columns may not be appropriate for comparison with your pathway.</t>
    </r>
  </si>
  <si>
    <r>
      <t>Forestry residue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</si>
  <si>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Forestry residue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</si>
  <si>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Forestry residue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</si>
  <si>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Biomass Gasification (+CCS)</t>
  </si>
  <si>
    <t>NB: the central, best and worst case values from the LCA tool are specific to certain feedstocks (in this case forestry residues), so values in these columns may not be appropriate for comparison with your pathway.</t>
  </si>
  <si>
    <t>Biogenic fraction consignment of Waste Gasification</t>
  </si>
  <si>
    <r>
      <t>Biogenic fraction of MSW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</si>
  <si>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Biogenic fraction of MSW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</si>
  <si>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Biogenic fraction of MSW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</si>
  <si>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Waste Gasification (+CCS) (bio)</t>
  </si>
  <si>
    <t>NB: the central, best and worst case values are specific to certain feedstocks (in this case, municipal waste with 49% biogenic and 51% fossil fractions), so values in these columns may not be appropriate for comparison with your pathway.</t>
  </si>
  <si>
    <t>Fossil fraction consignment of Waste Gasification</t>
  </si>
  <si>
    <r>
      <t>Fossil fraction of MSW gasification+CCS, GHG emissions from LCA tool (central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</si>
  <si>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Fossil fraction of MSW gasification+CCS, GHG emissions from LCA tool (best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</si>
  <si>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r>
      <t>Fossil fraction of MSW gasification+CCS, GHG emissions from LCA tool (worst case) - for comparison only
(gCO</t>
    </r>
    <r>
      <rPr>
        <b/>
        <i/>
        <vertAlign val="subscript"/>
        <sz val="11"/>
        <color theme="0" tint="-0.34998626667073579"/>
        <rFont val="Calibri"/>
        <family val="2"/>
      </rPr>
      <t>2</t>
    </r>
    <r>
      <rPr>
        <b/>
        <i/>
        <sz val="11"/>
        <color theme="0" tint="-0.34998626667073579"/>
        <rFont val="Calibri"/>
        <family val="2"/>
      </rPr>
      <t>e/MJ</t>
    </r>
    <r>
      <rPr>
        <b/>
        <i/>
        <vertAlign val="subscript"/>
        <sz val="11"/>
        <color theme="0" tint="-0.34998626667073579"/>
        <rFont val="Calibri"/>
        <family val="2"/>
      </rPr>
      <t>LHV</t>
    </r>
    <r>
      <rPr>
        <b/>
        <i/>
        <sz val="11"/>
        <color theme="0" tint="-0.34998626667073579"/>
        <rFont val="Calibri"/>
        <family val="2"/>
      </rPr>
      <t xml:space="preserve"> standard H</t>
    </r>
    <r>
      <rPr>
        <b/>
        <i/>
        <vertAlign val="subscript"/>
        <sz val="11"/>
        <color theme="0" tint="-0.34998626667073579"/>
        <rFont val="Calibri"/>
        <family val="2"/>
      </rPr>
      <t>2</t>
    </r>
    <r>
      <rPr>
        <b/>
        <i/>
        <sz val="11"/>
        <color theme="0" tint="-0.34998626667073579"/>
        <rFont val="Calibri"/>
        <family val="2"/>
      </rPr>
      <t>)</t>
    </r>
  </si>
  <si>
    <t>Fossil counterfactual</t>
  </si>
  <si>
    <t>Waste Gasification (+CCS) (fossil)</t>
  </si>
  <si>
    <t>Set formula if &lt;3 MPa</t>
  </si>
  <si>
    <t>Set formula if &lt;99.9% by vol</t>
  </si>
  <si>
    <t>Waste fossil counterfactual</t>
  </si>
  <si>
    <t>Feedstock Cultivation</t>
  </si>
  <si>
    <t>Feedstock Harvesting</t>
  </si>
  <si>
    <t>Feedstock Collection</t>
  </si>
  <si>
    <t>Feedstock Transport</t>
  </si>
  <si>
    <t>Pre-Processing</t>
  </si>
  <si>
    <t>Further Transport</t>
  </si>
  <si>
    <t>Conversion</t>
  </si>
  <si>
    <t>Go to the summary GHG worksheet</t>
  </si>
  <si>
    <t>Type of flow</t>
  </si>
  <si>
    <t>Description of flow</t>
  </si>
  <si>
    <t>Further flow details (e.g. energy source, type, distance, temperature, pressure, purity, moisture content)</t>
  </si>
  <si>
    <t>Source / evidence (e.g. production reports, contracts, delivery notes, lab testing, model)</t>
  </si>
  <si>
    <t>Flow in from/out to:</t>
  </si>
  <si>
    <t>Does flow cross the GHG assessment boundary?</t>
  </si>
  <si>
    <t>Lower heating value [LHV] (MJ/kg dry)</t>
  </si>
  <si>
    <t>Reference for LHV</t>
  </si>
  <si>
    <t>Moisture content (kg water/kg as received)</t>
  </si>
  <si>
    <t>Reference for moisture content</t>
  </si>
  <si>
    <t>Equivalent energy flow for efficiencies (MWh/yr LHV)</t>
  </si>
  <si>
    <r>
      <t>Step efficiency (MJ</t>
    </r>
    <r>
      <rPr>
        <b/>
        <vertAlign val="subscript"/>
        <sz val="11"/>
        <color rgb="FF000098"/>
        <rFont val="Calibri"/>
        <family val="2"/>
      </rPr>
      <t>LHV</t>
    </r>
    <r>
      <rPr>
        <b/>
        <sz val="11"/>
        <color rgb="FF000098"/>
        <rFont val="Calibri"/>
        <family val="2"/>
      </rPr>
      <t xml:space="preserve"> main output/MJ</t>
    </r>
    <r>
      <rPr>
        <b/>
        <vertAlign val="subscript"/>
        <sz val="11"/>
        <color rgb="FF000098"/>
        <rFont val="Calibri"/>
        <family val="2"/>
      </rPr>
      <t>LHV</t>
    </r>
    <r>
      <rPr>
        <b/>
        <sz val="11"/>
        <color rgb="FF000098"/>
        <rFont val="Calibri"/>
        <family val="2"/>
      </rPr>
      <t xml:space="preserve"> electricity and heat inputs)</t>
    </r>
  </si>
  <si>
    <t>Equivalent energy flow for energy allocation (MWh/yr LHV)</t>
  </si>
  <si>
    <r>
      <t>Energy allocation (MJ</t>
    </r>
    <r>
      <rPr>
        <b/>
        <vertAlign val="subscript"/>
        <sz val="11"/>
        <color rgb="FF000098"/>
        <rFont val="Calibri"/>
        <family val="2"/>
      </rPr>
      <t>LHV</t>
    </r>
    <r>
      <rPr>
        <b/>
        <sz val="11"/>
        <color rgb="FF000098"/>
        <rFont val="Calibri"/>
        <family val="2"/>
      </rPr>
      <t>/MJ</t>
    </r>
    <r>
      <rPr>
        <b/>
        <vertAlign val="subscript"/>
        <sz val="11"/>
        <color rgb="FF000098"/>
        <rFont val="Calibri"/>
        <family val="2"/>
      </rPr>
      <t>LHV</t>
    </r>
    <r>
      <rPr>
        <b/>
        <sz val="11"/>
        <color rgb="FF000098"/>
        <rFont val="Calibri"/>
        <family val="2"/>
      </rPr>
      <t xml:space="preserve"> all products)</t>
    </r>
  </si>
  <si>
    <r>
      <t>GHG intensity 
(gCO</t>
    </r>
    <r>
      <rPr>
        <b/>
        <vertAlign val="subscript"/>
        <sz val="11"/>
        <color rgb="FF000098"/>
        <rFont val="Calibri"/>
        <family val="2"/>
      </rPr>
      <t>2</t>
    </r>
    <r>
      <rPr>
        <b/>
        <sz val="11"/>
        <color rgb="FF000098"/>
        <rFont val="Calibri"/>
        <family val="2"/>
      </rPr>
      <t>e/kg of material) - for flows with tonnes/yr units</t>
    </r>
  </si>
  <si>
    <r>
      <t>GHG intensity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of energy) - for flows with MWh/yr (LHV) units</t>
    </r>
  </si>
  <si>
    <t>Reference for GHG intensity</t>
  </si>
  <si>
    <r>
      <t>GHG emissions (gCO</t>
    </r>
    <r>
      <rPr>
        <b/>
        <vertAlign val="subscript"/>
        <sz val="11"/>
        <color rgb="FF000098"/>
        <rFont val="Calibri"/>
        <family val="2"/>
      </rPr>
      <t>2</t>
    </r>
    <r>
      <rPr>
        <b/>
        <sz val="11"/>
        <color rgb="FF000098"/>
        <rFont val="Calibri"/>
        <family val="2"/>
      </rPr>
      <t>e/MJ</t>
    </r>
    <r>
      <rPr>
        <b/>
        <vertAlign val="subscript"/>
        <sz val="11"/>
        <color rgb="FF000098"/>
        <rFont val="Calibri"/>
        <family val="2"/>
      </rPr>
      <t>LHV</t>
    </r>
    <r>
      <rPr>
        <b/>
        <sz val="11"/>
        <color rgb="FF000098"/>
        <rFont val="Calibri"/>
        <family val="2"/>
      </rPr>
      <t xml:space="preserve"> step main output), WITHOUT allocation</t>
    </r>
  </si>
  <si>
    <t>Comments &amp; questions</t>
  </si>
  <si>
    <t>Step main input and (co)products</t>
  </si>
  <si>
    <t>Main feedstock</t>
  </si>
  <si>
    <t>None - please fill in electricity and water usage in sections below</t>
  </si>
  <si>
    <t>Main output</t>
  </si>
  <si>
    <t>Hydrogen (wind/solar + nuclear + grid + stored + other consignments)</t>
  </si>
  <si>
    <t>Co-products</t>
  </si>
  <si>
    <t>e.g. Exported steam</t>
  </si>
  <si>
    <t>e.g. Oxygen</t>
  </si>
  <si>
    <t>e.g. Co-product 3</t>
  </si>
  <si>
    <t>e.g. Co-product 4</t>
  </si>
  <si>
    <t>Wastes</t>
  </si>
  <si>
    <t>e.g. Wastewater (gross output)</t>
  </si>
  <si>
    <t>e.g. Spent catalysts</t>
  </si>
  <si>
    <t>Residues</t>
  </si>
  <si>
    <t>e.g. Sulphur</t>
  </si>
  <si>
    <t>e.g. Ash</t>
  </si>
  <si>
    <t>gCO2e/MJ wind or solar H2</t>
  </si>
  <si>
    <t>Energy supply - wind/solar hydrogen consignment (electricity). Include any wind/solar electricity used in onsite (non-theoretical) Compression &amp; Purification</t>
  </si>
  <si>
    <t>Energy</t>
  </si>
  <si>
    <t>e.g. Annual wind/solar electricity to electrolyser and de-ionisation of water and onsite compression/purification</t>
  </si>
  <si>
    <t>From Typical data tab</t>
  </si>
  <si>
    <t>gCO2e/MJ nuclear H2</t>
  </si>
  <si>
    <t>Energy supply - nuclear hydrogen consignment (electricity). Include any nuclear electricity used in onsite (non-theoretical) Compression &amp; Purification</t>
  </si>
  <si>
    <t>e.g. Annual nuclear electricity to electrolyser and de-ionisation of water and onsite compression/purification</t>
  </si>
  <si>
    <t>From Initial Questions tab</t>
  </si>
  <si>
    <t>gCO2e/MJ grid H2</t>
  </si>
  <si>
    <t>Energy supply - grid hydrogen consignment (electricity). Include any grid electricity used in onsite (non-theoretical) Compression &amp; Purification</t>
  </si>
  <si>
    <t>e.g. Annual grid electricity to electrolyser and de-ionisation of water and onsite compression/purification</t>
  </si>
  <si>
    <t>gCO2e/MJ stored elec H2</t>
  </si>
  <si>
    <t>Energy supply - "stored electricity source" hydrogen consignment (electricity). Include any "stored electricity source" used in onsite (non-theoretical) Compression &amp; Purification</t>
  </si>
  <si>
    <t>e.g. Annual stored electricity to electrolyser and de-ionisation of water and onsite compression/purification</t>
  </si>
  <si>
    <t>gCO2e/MJ other H2</t>
  </si>
  <si>
    <t>Energy supply - "other electricity source" hydrogen consignment (electricity). Include any "other electricity source" used in onsite (non-theoretical) Compression &amp; Purification</t>
  </si>
  <si>
    <t>e.g. Annual electricity to electrolyser and de-ionisation of water and onsite compression/purification</t>
  </si>
  <si>
    <t>gCO2e/MJ all H2</t>
  </si>
  <si>
    <t>Energy supply (steam, heat, upstream fuel supply emissions) used across all consignments, excluding consignment energy flows already listed above. Include any non-electricity energy sources used in onsite (non-theoretical) Compression &amp; Purification</t>
  </si>
  <si>
    <t>e.g. Imported steam (not generated onsite)</t>
  </si>
  <si>
    <t>Accounting for only the upstream supply chain to the plant within the GHG intensity (extraction, manufacturing and supply of the input).</t>
  </si>
  <si>
    <t>e.g. Imported heat (not generated onsite)</t>
  </si>
  <si>
    <t>Fuels</t>
  </si>
  <si>
    <t>e.g. Diesel</t>
  </si>
  <si>
    <t>Accounting for only the upstream supply chain to the plant within the GHG intensity (extraction, manufacturing and supply of the input). Record any CO2 released on use in Process CO2 generated table below</t>
  </si>
  <si>
    <t>e.g. Heating oil</t>
  </si>
  <si>
    <t>e.g. Coal</t>
  </si>
  <si>
    <r>
      <t>Input materials (upstream emissions in manufacture and supply of materials to the process plant, but not emissions from their onsite use - which are dealt with in Process CO</t>
    </r>
    <r>
      <rPr>
        <b/>
        <vertAlign val="subscript"/>
        <sz val="11"/>
        <color rgb="FF000098"/>
        <rFont val="Calibri"/>
        <family val="2"/>
      </rPr>
      <t>2</t>
    </r>
    <r>
      <rPr>
        <b/>
        <sz val="11"/>
        <color rgb="FF000098"/>
        <rFont val="Calibri"/>
        <family val="2"/>
      </rPr>
      <t xml:space="preserve"> generation or Fugitive non-CO</t>
    </r>
    <r>
      <rPr>
        <b/>
        <vertAlign val="subscript"/>
        <sz val="11"/>
        <color rgb="FF000098"/>
        <rFont val="Calibri"/>
        <family val="2"/>
      </rPr>
      <t>2</t>
    </r>
    <r>
      <rPr>
        <b/>
        <sz val="11"/>
        <color rgb="FF000098"/>
        <rFont val="Calibri"/>
        <family val="2"/>
      </rPr>
      <t xml:space="preserve"> emissions categories). Include any materials used in onsite (non-theoretical) Compression &amp; Purification</t>
    </r>
  </si>
  <si>
    <t>Water</t>
  </si>
  <si>
    <t>e.g. Mains water (gross input)</t>
  </si>
  <si>
    <t>Accounting for only the upstream supply chain to the plant within the GHG intensity (manufacturing and supply of the material). Record any CO2 released on use in Process CO2 generated table below</t>
  </si>
  <si>
    <t>Chemicals</t>
  </si>
  <si>
    <t>e.g. Acid</t>
  </si>
  <si>
    <t>e.g. Alkali solution</t>
  </si>
  <si>
    <t>Catalysts</t>
  </si>
  <si>
    <t>e.g. Catalyst</t>
  </si>
  <si>
    <r>
      <t>Process CO</t>
    </r>
    <r>
      <rPr>
        <b/>
        <vertAlign val="subscript"/>
        <sz val="11"/>
        <color rgb="FF000098"/>
        <rFont val="Calibri"/>
        <family val="2"/>
      </rPr>
      <t>2</t>
    </r>
    <r>
      <rPr>
        <b/>
        <sz val="11"/>
        <color rgb="FF000098"/>
        <rFont val="Calibri"/>
        <family val="2"/>
      </rPr>
      <t xml:space="preserve"> emissions generated in hydrogen production, prior to any CO</t>
    </r>
    <r>
      <rPr>
        <b/>
        <vertAlign val="subscript"/>
        <sz val="11"/>
        <color rgb="FF000098"/>
        <rFont val="Calibri"/>
        <family val="2"/>
      </rPr>
      <t>2</t>
    </r>
    <r>
      <rPr>
        <b/>
        <sz val="11"/>
        <color rgb="FF000098"/>
        <rFont val="Calibri"/>
        <family val="2"/>
      </rPr>
      <t xml:space="preserve"> capture</t>
    </r>
  </si>
  <si>
    <t>CO2 generated</t>
  </si>
  <si>
    <t>e.g. Fossil CO2 emissions generated from combustion/conversion/use of diesel, natural gas, other energy and input materials onsite</t>
  </si>
  <si>
    <t>IPCC Fifth Assessment Report (AR5), GWP100 without carbon feedbacks</t>
  </si>
  <si>
    <r>
      <t>CO</t>
    </r>
    <r>
      <rPr>
        <b/>
        <vertAlign val="subscript"/>
        <sz val="11"/>
        <color rgb="FF000098"/>
        <rFont val="Calibri"/>
        <family val="2"/>
      </rPr>
      <t>2</t>
    </r>
    <r>
      <rPr>
        <b/>
        <sz val="11"/>
        <color rgb="FF000098"/>
        <rFont val="Calibri"/>
        <family val="2"/>
      </rPr>
      <t xml:space="preserve"> capture and network entry (includes CO</t>
    </r>
    <r>
      <rPr>
        <b/>
        <vertAlign val="subscript"/>
        <sz val="11"/>
        <color rgb="FF000098"/>
        <rFont val="Calibri"/>
        <family val="2"/>
      </rPr>
      <t>2</t>
    </r>
    <r>
      <rPr>
        <b/>
        <sz val="11"/>
        <color rgb="FF000098"/>
        <rFont val="Calibri"/>
        <family val="2"/>
      </rPr>
      <t xml:space="preserve"> transport to network)</t>
    </r>
  </si>
  <si>
    <t>e.g. Electricity for CO2 capture</t>
  </si>
  <si>
    <t>From Initial questions tab</t>
  </si>
  <si>
    <t>e.g. Electricity for CO2 transport</t>
  </si>
  <si>
    <t>Likely to be UK grid electricity</t>
  </si>
  <si>
    <t>e.g. Diesel for CO2 transport</t>
  </si>
  <si>
    <t>Accounting for both supply and combustion of any fuel within the GHG intensity</t>
  </si>
  <si>
    <t>e.g. Gasoline for CO2 transport</t>
  </si>
  <si>
    <t>e.g. Electricity for CO2 entry into network</t>
  </si>
  <si>
    <r>
      <t>CO</t>
    </r>
    <r>
      <rPr>
        <b/>
        <vertAlign val="subscript"/>
        <sz val="11"/>
        <color rgb="FF000098"/>
        <rFont val="Calibri"/>
        <family val="2"/>
      </rPr>
      <t>2</t>
    </r>
    <r>
      <rPr>
        <b/>
        <sz val="11"/>
        <color rgb="FF000098"/>
        <rFont val="Calibri"/>
        <family val="2"/>
      </rPr>
      <t xml:space="preserve"> sequestration</t>
    </r>
  </si>
  <si>
    <t>CO2 sequestered</t>
  </si>
  <si>
    <t>e.g. Fossil CO2 captured and sequestered</t>
  </si>
  <si>
    <t>CH4 emissions</t>
  </si>
  <si>
    <t>e.g. Methane emitted, net of any mitigation</t>
  </si>
  <si>
    <t>N2O emissions</t>
  </si>
  <si>
    <t>e.g. N2O emitted, net of any mitigation</t>
  </si>
  <si>
    <t>SF6 emissions</t>
  </si>
  <si>
    <t>e.g. SF6 emitted, net of any mitigation</t>
  </si>
  <si>
    <t>HFC emissions</t>
  </si>
  <si>
    <t>e.g. HFC emitted, net of any mitigation</t>
  </si>
  <si>
    <t>User to input</t>
  </si>
  <si>
    <t>Step total (gCO2e/MJ wind or solar H2)</t>
  </si>
  <si>
    <t>Step total (gCO2e/MJ nuclear H2)</t>
  </si>
  <si>
    <t>Step total (gCO2e/MJ grid H2)</t>
  </si>
  <si>
    <t>Step total (gCO2e/MJ stored elec H2)</t>
  </si>
  <si>
    <t>Step total (gCO2e/MJ other H2)</t>
  </si>
  <si>
    <t>Operating hours</t>
  </si>
  <si>
    <t>Full-load equivalents</t>
  </si>
  <si>
    <t>hr/yr</t>
  </si>
  <si>
    <t>Electricity mix</t>
  </si>
  <si>
    <t>Other electricity</t>
  </si>
  <si>
    <t>Capture rate</t>
  </si>
  <si>
    <t>e.g. CCS capture rate</t>
  </si>
  <si>
    <t>Go to the next step of this pathway</t>
  </si>
  <si>
    <t>Further flow details (eg. energy source, type, distance, temperature, pressure, purity, moisture content)</t>
  </si>
  <si>
    <r>
      <t>Step efficiency 
(MJ</t>
    </r>
    <r>
      <rPr>
        <b/>
        <vertAlign val="subscript"/>
        <sz val="11"/>
        <color rgb="FF000098"/>
        <rFont val="Calibri"/>
        <family val="2"/>
      </rPr>
      <t>LHV</t>
    </r>
    <r>
      <rPr>
        <b/>
        <sz val="11"/>
        <color rgb="FF000098"/>
        <rFont val="Calibri"/>
        <family val="2"/>
      </rPr>
      <t xml:space="preserve"> main output/MJ</t>
    </r>
    <r>
      <rPr>
        <b/>
        <vertAlign val="subscript"/>
        <sz val="11"/>
        <color rgb="FF000098"/>
        <rFont val="Calibri"/>
        <family val="2"/>
      </rPr>
      <t>LHV</t>
    </r>
    <r>
      <rPr>
        <b/>
        <sz val="11"/>
        <color rgb="FF000098"/>
        <rFont val="Calibri"/>
        <family val="2"/>
      </rPr>
      <t xml:space="preserve"> main input)</t>
    </r>
  </si>
  <si>
    <r>
      <t>Energy allocation (MJ</t>
    </r>
    <r>
      <rPr>
        <b/>
        <vertAlign val="subscript"/>
        <sz val="11"/>
        <color rgb="FF000098"/>
        <rFont val="Calibri"/>
        <family val="2"/>
      </rPr>
      <t>LHV</t>
    </r>
    <r>
      <rPr>
        <b/>
        <sz val="11"/>
        <color rgb="FF000098"/>
        <rFont val="Calibri"/>
        <family val="2"/>
      </rPr>
      <t xml:space="preserve"> main product/MJ</t>
    </r>
    <r>
      <rPr>
        <b/>
        <vertAlign val="subscript"/>
        <sz val="11"/>
        <color rgb="FF000098"/>
        <rFont val="Calibri"/>
        <family val="2"/>
      </rPr>
      <t>LHV</t>
    </r>
    <r>
      <rPr>
        <b/>
        <sz val="11"/>
        <color rgb="FF000098"/>
        <rFont val="Calibri"/>
        <family val="2"/>
      </rPr>
      <t xml:space="preserve"> all products)</t>
    </r>
  </si>
  <si>
    <t>Inputs</t>
  </si>
  <si>
    <t>e.g. Electricity</t>
  </si>
  <si>
    <t>e.g. Steam</t>
  </si>
  <si>
    <t>Accounting for only the upstream supply chain to the plant within the GHG intensity (extraction, manufacturing and supply of the input). Record any CO2 released on use in outputs table below</t>
  </si>
  <si>
    <t>e.g. Chemicals</t>
  </si>
  <si>
    <t xml:space="preserve">Catalysts </t>
  </si>
  <si>
    <t>Outputs</t>
  </si>
  <si>
    <t>Step main output</t>
  </si>
  <si>
    <t>e.g. Natural gas</t>
  </si>
  <si>
    <t>e.g. Co-product 1</t>
  </si>
  <si>
    <t>e.g. Co-product 2</t>
  </si>
  <si>
    <t>e.g. Wastewater</t>
  </si>
  <si>
    <t>e.g. Fossil CO2 generated from use of inputs &amp; feedstock, prior to any CO2 capture</t>
  </si>
  <si>
    <t>Fossil CO2 generated, prior to any CO2 capture, is given a penalty of 1 tonne CO2e/tonne CO2 under LCHS</t>
  </si>
  <si>
    <t>e.g. Fossil CO2 captured and sequestered (cannot be larger than fossil CO2 generated)</t>
  </si>
  <si>
    <t>Fossil CO2 sequestered is given a credit of 1 tonne CO2e/tonne CO2 under LCHS, provided that the CO2 generated before captured is counted as an emission (row above)</t>
  </si>
  <si>
    <t>Fugitive non-CO2 emissions</t>
  </si>
  <si>
    <t>Step total</t>
  </si>
  <si>
    <t>Step main feedstock</t>
  </si>
  <si>
    <t>e.g. Electricity for compression</t>
  </si>
  <si>
    <t>e.g. Fossil CO2 generated from use of inputs &amp; feedstock</t>
  </si>
  <si>
    <t>Fossil CO2 generated and emitted (no CO2 capture) is given a penalty of 1 tonne CO2e/tonne CO2 under LCHS</t>
  </si>
  <si>
    <t>Distance</t>
  </si>
  <si>
    <t>One-way</t>
  </si>
  <si>
    <t>Hydrogen</t>
  </si>
  <si>
    <t>e.g. Exported electricity</t>
  </si>
  <si>
    <t>Energy supply (electricity, steam, heat, upstream fuel supply emissions). Include any energy used in onsite (non-theoretical) Compression &amp; Purification</t>
  </si>
  <si>
    <t>e.g. Electricity for compression of natural gas</t>
  </si>
  <si>
    <t>e.g. Electricity for reforming</t>
  </si>
  <si>
    <t>e.g. Electricity for compression of hydrogen</t>
  </si>
  <si>
    <r>
      <t>Input materials (upstream emissions in manufacture and supply of materials to the process plant, but not emissions from their onsite use - which are dealt with in Process CO</t>
    </r>
    <r>
      <rPr>
        <b/>
        <vertAlign val="subscript"/>
        <sz val="11"/>
        <color rgb="FF000098"/>
        <rFont val="Calibri"/>
        <family val="2"/>
      </rPr>
      <t>2</t>
    </r>
    <r>
      <rPr>
        <b/>
        <sz val="11"/>
        <color rgb="FF000098"/>
        <rFont val="Calibri"/>
        <family val="2"/>
      </rPr>
      <t xml:space="preserve"> generation and Fugitive non-CO</t>
    </r>
    <r>
      <rPr>
        <b/>
        <vertAlign val="subscript"/>
        <sz val="11"/>
        <color rgb="FF000098"/>
        <rFont val="Calibri"/>
        <family val="2"/>
      </rPr>
      <t>2</t>
    </r>
    <r>
      <rPr>
        <b/>
        <sz val="11"/>
        <color rgb="FF000098"/>
        <rFont val="Calibri"/>
        <family val="2"/>
      </rPr>
      <t xml:space="preserve"> emissions sections). Include any materials used in onsite (non-theoretical) Compression &amp; Purification</t>
    </r>
  </si>
  <si>
    <t>e.g. Mains water</t>
  </si>
  <si>
    <t>Enter data here</t>
  </si>
  <si>
    <t>Use column to left</t>
  </si>
  <si>
    <r>
      <t>Process emissions generated in hydrogen production, prior to any CO</t>
    </r>
    <r>
      <rPr>
        <b/>
        <vertAlign val="subscript"/>
        <sz val="11"/>
        <color rgb="FF000098"/>
        <rFont val="Calibri"/>
        <family val="2"/>
      </rPr>
      <t>2</t>
    </r>
    <r>
      <rPr>
        <b/>
        <sz val="11"/>
        <color rgb="FF000098"/>
        <rFont val="Calibri"/>
        <family val="2"/>
      </rPr>
      <t xml:space="preserve"> capture</t>
    </r>
  </si>
  <si>
    <t>e.g. Fossil CO2 emissions generated from combustion/conversion/use of natural gas, input materials and energy onsite</t>
  </si>
  <si>
    <t>e.g. Captured and sequestered fossil CO2</t>
  </si>
  <si>
    <t>Fossil CO2 sequestered is given a credit of 1 tonne CO2e/tonne CO2 under LCHS, provided that the CO2 generated before capture is counted as an emission in the Process Emissions category</t>
  </si>
  <si>
    <t>Full-load equivalent hours</t>
  </si>
  <si>
    <t>CCS capture rate</t>
  </si>
  <si>
    <t>Accounting for only the upstream supply chain to the plant within the GHG intensity. Record any CO2 released on use in the process emissions table below</t>
  </si>
  <si>
    <r>
      <t>Input materials (upstream materials supply emissions, but not emissions from their use in the process - which are dealt with in Process CO</t>
    </r>
    <r>
      <rPr>
        <b/>
        <vertAlign val="subscript"/>
        <sz val="11"/>
        <color rgb="FF000098"/>
        <rFont val="Calibri"/>
        <family val="2"/>
      </rPr>
      <t>2</t>
    </r>
    <r>
      <rPr>
        <b/>
        <sz val="11"/>
        <color rgb="FF000098"/>
        <rFont val="Calibri"/>
        <family val="2"/>
      </rPr>
      <t xml:space="preserve"> generation and Fugitive non-CO</t>
    </r>
    <r>
      <rPr>
        <b/>
        <vertAlign val="subscript"/>
        <sz val="11"/>
        <color rgb="FF000098"/>
        <rFont val="Calibri"/>
        <family val="2"/>
      </rPr>
      <t>2</t>
    </r>
    <r>
      <rPr>
        <b/>
        <sz val="11"/>
        <color rgb="FF000098"/>
        <rFont val="Calibri"/>
        <family val="2"/>
      </rPr>
      <t xml:space="preserve"> emissions sections). Include any materials used in onsite (non-theoretical) Compression &amp; Purification</t>
    </r>
  </si>
  <si>
    <t>CO2 capture and network entry (includes CO2 transport to network)</t>
  </si>
  <si>
    <t>Solid carbon distribution (includes any solid carbon collection, transport, storage, purification and/or densification before sequestration)</t>
  </si>
  <si>
    <t>e.g. Electricity for solid carbon collection</t>
  </si>
  <si>
    <t>e.g. Electricity for solid carbon transport</t>
  </si>
  <si>
    <t>e.g. Diesel for solid carbon transport</t>
  </si>
  <si>
    <t>e.g. Gasoline for solid carbon transport</t>
  </si>
  <si>
    <t>e.g. Electricity for storage of solid carbon before sequesteration</t>
  </si>
  <si>
    <t>e.g. Electricity for solid carbon purification</t>
  </si>
  <si>
    <t>e.g. Electricity for solid carbon densification</t>
  </si>
  <si>
    <t>Solid carbon sequestered</t>
  </si>
  <si>
    <t>e.g. Fossil solid carbon used for cement/concrete (tonnes of pure carbon)</t>
  </si>
  <si>
    <t>Fossil solid carbon sequestered is given a nil emissions credit under LCHS. Only permissable sequestration is given a credit.</t>
  </si>
  <si>
    <t>e.g. Fossil carbon sent to inert underground storage (tonnes of pure carbon)</t>
  </si>
  <si>
    <t>Solid carbon conversion rate</t>
  </si>
  <si>
    <t>ROG fossil feedstock counterfactual emissions</t>
  </si>
  <si>
    <r>
      <t>This worksheet calculates the ROG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feedstock (prior to allocation), which will feed into the relevant "Summary" tab</t>
    </r>
  </si>
  <si>
    <t>Energy vector displaced by ROG fossil feedstock diversion from counterfactual use</t>
  </si>
  <si>
    <t>Natural gas is the assumed displaced utility (used unabated for heat/steam generation)</t>
  </si>
  <si>
    <r>
      <t>Eff</t>
    </r>
    <r>
      <rPr>
        <vertAlign val="subscript"/>
        <sz val="11"/>
        <color rgb="FF000000"/>
        <rFont val="Calibri"/>
        <family val="2"/>
      </rPr>
      <t>counterfactual</t>
    </r>
    <r>
      <rPr>
        <sz val="11"/>
        <color rgb="FF000000"/>
        <rFont val="Calibri"/>
        <family val="2"/>
      </rPr>
      <t xml:space="preserve"> = Counterfactual conversion efficiency (MJ</t>
    </r>
    <r>
      <rPr>
        <vertAlign val="subscript"/>
        <sz val="11"/>
        <color rgb="FF000000"/>
        <rFont val="Calibri"/>
        <family val="2"/>
      </rPr>
      <t>LHV</t>
    </r>
    <r>
      <rPr>
        <sz val="11"/>
        <color rgb="FF000000"/>
        <rFont val="Calibri"/>
        <family val="2"/>
      </rPr>
      <t xml:space="preserve"> nat gas/MJ</t>
    </r>
    <r>
      <rPr>
        <vertAlign val="subscript"/>
        <sz val="11"/>
        <color rgb="FF000000"/>
        <rFont val="Calibri"/>
        <family val="2"/>
      </rPr>
      <t>LHV</t>
    </r>
    <r>
      <rPr>
        <sz val="11"/>
        <color rgb="FF000000"/>
        <rFont val="Calibri"/>
        <family val="2"/>
      </rPr>
      <t xml:space="preserve"> ROG)</t>
    </r>
  </si>
  <si>
    <t>Assumed that natural gas is replacing ROG in your process without any change in boiler/furnace efficiency. Please do not change this assumption</t>
  </si>
  <si>
    <r>
      <t>CI</t>
    </r>
    <r>
      <rPr>
        <vertAlign val="subscript"/>
        <sz val="11"/>
        <color rgb="FF000000"/>
        <rFont val="Calibri"/>
        <family val="2"/>
      </rPr>
      <t>energy</t>
    </r>
    <r>
      <rPr>
        <sz val="11"/>
        <color rgb="FF000000"/>
        <rFont val="Calibri"/>
        <family val="2"/>
      </rPr>
      <t xml:space="preserve"> = Emission factor of displaced energy in counterfactual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nat gas)</t>
    </r>
  </si>
  <si>
    <t>Natural gas upstream and combustion emissions factor combined, assuming the refinery is connected to the UK gas transmission network</t>
  </si>
  <si>
    <r>
      <t>E</t>
    </r>
    <r>
      <rPr>
        <vertAlign val="subscript"/>
        <sz val="11"/>
        <color rgb="FF000000"/>
        <rFont val="Calibri"/>
        <family val="2"/>
      </rPr>
      <t>fossil counterfactual CO2 emitted</t>
    </r>
    <r>
      <rPr>
        <sz val="11"/>
        <color rgb="FF000000"/>
        <rFont val="Calibri"/>
        <family val="2"/>
      </rPr>
      <t xml:space="preserve"> per MJ fossil feedstock in the counterfactual (gCO</t>
    </r>
    <r>
      <rPr>
        <vertAlign val="subscript"/>
        <sz val="11"/>
        <color rgb="FF000000"/>
        <rFont val="Calibri"/>
        <family val="2"/>
      </rPr>
      <t>2</t>
    </r>
    <r>
      <rPr>
        <sz val="11"/>
        <color rgb="FF000000"/>
        <rFont val="Calibri"/>
        <family val="2"/>
      </rPr>
      <t>/MJ</t>
    </r>
    <r>
      <rPr>
        <vertAlign val="subscript"/>
        <sz val="11"/>
        <color rgb="FF000000"/>
        <rFont val="Calibri"/>
        <family val="2"/>
      </rPr>
      <t>LHV</t>
    </r>
    <r>
      <rPr>
        <sz val="11"/>
        <color rgb="FF000000"/>
        <rFont val="Calibri"/>
        <family val="2"/>
      </rPr>
      <t xml:space="preserve"> ROG)</t>
    </r>
  </si>
  <si>
    <t>Each ROG fossil feedstock will be slightly different in terms of carbon content and LHV, so use data for your feedstock supply. However, it can be assumed for simplicity that 100% of the ROG fossil carbon in the feedstock will be converted into CO2, prior to any CO2 capture in the counterfactual (no capture in the ROG counterfactual at present)</t>
  </si>
  <si>
    <t>Following the latest Low Carbon Hydrogen Standard, DESNZ are including emissions arising from replacing the lost utility when ROG fossil feedstock is diverted from its existing counterfactual use (providing steam or heating) within the total hydrogen emissions calculation, but are also including a credit for any feedstock fossil carbon emitted as CO2 in the counterfactual that is now avoided.</t>
  </si>
  <si>
    <t>Note that the GHG methodology set out does not indicate a confirmed UK Government policy position in relation to other policies that support hydrogen use, such as the Renewable Transport Fuel Obligation.</t>
  </si>
  <si>
    <t>For ROG, the counterfactual use is set out in the Data Annex section 3, currently natural gas (used unabated in heat/steam generation).</t>
  </si>
  <si>
    <t>e.g. Crude oil</t>
  </si>
  <si>
    <t>e.g. Raw ROG</t>
  </si>
  <si>
    <t>e.g. Co-product 5</t>
  </si>
  <si>
    <t>e.g. Co-product 6</t>
  </si>
  <si>
    <t>e.g. Co-product 7</t>
  </si>
  <si>
    <t>e.g. Co-product 8</t>
  </si>
  <si>
    <t>e.g. Co-product 9</t>
  </si>
  <si>
    <t>e.g. Co-product 10</t>
  </si>
  <si>
    <t>e.g. Processed ROG</t>
  </si>
  <si>
    <t>e.g. ROG</t>
  </si>
  <si>
    <t>e.g. Nitrogen fertilizer</t>
  </si>
  <si>
    <t>Materials</t>
  </si>
  <si>
    <t>e.g. Seeds</t>
  </si>
  <si>
    <t>e.g. Maize</t>
  </si>
  <si>
    <t>CO2 emitted</t>
  </si>
  <si>
    <t>e.g. CO2 emissions from soil neutralisation</t>
  </si>
  <si>
    <t>e.g. Fossil CO2 generated from use of inputs</t>
  </si>
  <si>
    <t>e.g. Emissions to air (methane emissions from diesel)</t>
  </si>
  <si>
    <t>Direct land use change</t>
  </si>
  <si>
    <t>dLUC (in tCO2e/yr)</t>
  </si>
  <si>
    <t>e.g. change in soil carbon stocks</t>
  </si>
  <si>
    <t>Crop yield</t>
  </si>
  <si>
    <t>tonnes/hectare/yr</t>
  </si>
  <si>
    <t>dLUC</t>
  </si>
  <si>
    <t>Direct Land Use Change emissions</t>
  </si>
  <si>
    <t>tCO2e/hectare/yr</t>
  </si>
  <si>
    <t>e.g. Food waste, manure, sewage sludge, maize</t>
  </si>
  <si>
    <t>e.g. Heat for biogas production</t>
  </si>
  <si>
    <t>e.g. Electricity for biogas production</t>
  </si>
  <si>
    <t>e.g. Electricity for biogas upgrading</t>
  </si>
  <si>
    <t>e.g. Electricity for AD CO2 transport &amp; injection</t>
  </si>
  <si>
    <t>e.g. Biomethane</t>
  </si>
  <si>
    <t>e.g. Digestate</t>
  </si>
  <si>
    <t>e.g. Biogenic CO2 generated from use of feedstock or products onsite (e.g. some maize, biogas or biomethane burnt onsite for heating)</t>
  </si>
  <si>
    <t>Biogenic CO2 has nil GWP under LCHS</t>
  </si>
  <si>
    <t>e.g. Fossil CO2 generated from use of inputs (e.g. some diesel burnt onsite)</t>
  </si>
  <si>
    <t>e.g. Biogenic CO2 captured and sequestered (cannot be larger than biogenic CO2 generated)</t>
  </si>
  <si>
    <t>Biogenic CO2 sequestered is given a credit of 1 tonne CO2e/tonne CO2 under LCHS</t>
  </si>
  <si>
    <t>Fossil CO2 sequestered is given a credit of 1 tonne CO2e/tonne CO2 under LCHS, provided that the CO2 generated before capture is counted as an emission</t>
  </si>
  <si>
    <t>CO2 content</t>
  </si>
  <si>
    <t>e.g. Biogas CO2 content</t>
  </si>
  <si>
    <t>% by vol</t>
  </si>
  <si>
    <t>e.g. Electricity for compression of biomethane</t>
  </si>
  <si>
    <t>e.g. Electricity for ATR/SMR</t>
  </si>
  <si>
    <t>e.g. Biogenic CO2 emissions generated from combustion/conversion/use of biomethane onsite</t>
  </si>
  <si>
    <t>e.g. Fossil CO2 emissions generated from combustion/conversion/use of natural gas, diesel, other fossil energy and input materials onsite</t>
  </si>
  <si>
    <t>e.g. Captured and sequestered biogenic CO2</t>
  </si>
  <si>
    <t xml:space="preserve">e.g. Water </t>
  </si>
  <si>
    <t>e.g. Perennial energy crops</t>
  </si>
  <si>
    <t>e.g. Perennial energy crop chips</t>
  </si>
  <si>
    <t>e.g. Forestry residues</t>
  </si>
  <si>
    <t>e.g. Forestry residue chips</t>
  </si>
  <si>
    <t>e.g. Electricity for pre-processing</t>
  </si>
  <si>
    <t>e.g. Water</t>
  </si>
  <si>
    <t>e.g. Forestry residue pellets</t>
  </si>
  <si>
    <t>e.g. Biogenic CO2 generated from use of feedstock or products onsite (e.g. some chip or pellets burnt onsite for heating)</t>
  </si>
  <si>
    <t>e.g. Fossil CO2 generated from use of inputs onsite (e.g. combustion of diesel)</t>
  </si>
  <si>
    <t>e.g. Electricity for gasifier</t>
  </si>
  <si>
    <t>e.g. Chemicals for gasification</t>
  </si>
  <si>
    <t/>
  </si>
  <si>
    <t>e.g. Biogenic CO2 emissions generated from combustion/conversion/use of biomass and other biogenic inputs onsite</t>
  </si>
  <si>
    <t>Waste fossil feedstock counterfactual emissions</t>
  </si>
  <si>
    <r>
      <t>This worksheet calculates the waste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feedstock (prior to allocation), which will feed into the relevant "Summary" tab</t>
    </r>
  </si>
  <si>
    <t>Energy vector displaced by waste fossil feedstock diversion from counterfactual use</t>
  </si>
  <si>
    <t>UK grid electricity is the assumed displaced utility for the fossil fraction of Refuse Derived Fuel. Change this input if using a different feedstock/counterfactual</t>
  </si>
  <si>
    <r>
      <t>Eff</t>
    </r>
    <r>
      <rPr>
        <vertAlign val="subscript"/>
        <sz val="11"/>
        <color rgb="FF000000"/>
        <rFont val="Calibri"/>
        <family val="2"/>
      </rPr>
      <t>counterfactual</t>
    </r>
    <r>
      <rPr>
        <sz val="11"/>
        <color rgb="FF000000"/>
        <rFont val="Calibri"/>
        <family val="2"/>
      </rPr>
      <t xml:space="preserve"> = Counterfactual conversion efficiency (MJ</t>
    </r>
    <r>
      <rPr>
        <vertAlign val="subscript"/>
        <sz val="11"/>
        <color rgb="FF000000"/>
        <rFont val="Calibri"/>
        <family val="2"/>
      </rPr>
      <t>LHV</t>
    </r>
    <r>
      <rPr>
        <sz val="11"/>
        <color rgb="FF000000"/>
        <rFont val="Calibri"/>
        <family val="2"/>
      </rPr>
      <t xml:space="preserve"> energy/MJ</t>
    </r>
    <r>
      <rPr>
        <vertAlign val="subscript"/>
        <sz val="11"/>
        <color rgb="FF000000"/>
        <rFont val="Calibri"/>
        <family val="2"/>
      </rPr>
      <t>LHV</t>
    </r>
    <r>
      <rPr>
        <sz val="11"/>
        <color rgb="FF000000"/>
        <rFont val="Calibri"/>
        <family val="2"/>
      </rPr>
      <t xml:space="preserve"> fossil feedstock)</t>
    </r>
  </si>
  <si>
    <t>22% is assuming UK Energy-from-Waste power generation is the appropriate counterfactual for your feedstock. Change this value if using a different counterfactual</t>
  </si>
  <si>
    <r>
      <t>CI</t>
    </r>
    <r>
      <rPr>
        <vertAlign val="subscript"/>
        <sz val="11"/>
        <color rgb="FF000000"/>
        <rFont val="Calibri"/>
        <family val="2"/>
      </rPr>
      <t>energy</t>
    </r>
    <r>
      <rPr>
        <sz val="11"/>
        <color rgb="FF000000"/>
        <rFont val="Calibri"/>
        <family val="2"/>
      </rPr>
      <t xml:space="preserve"> = Emission factor of displaced energy in counterfactual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energy)</t>
    </r>
  </si>
  <si>
    <r>
      <t>E</t>
    </r>
    <r>
      <rPr>
        <vertAlign val="subscript"/>
        <sz val="11"/>
        <color rgb="FF000000"/>
        <rFont val="Calibri"/>
        <family val="2"/>
      </rPr>
      <t>fossil counterfactual CO2 emitted</t>
    </r>
    <r>
      <rPr>
        <sz val="11"/>
        <color rgb="FF000000"/>
        <rFont val="Calibri"/>
        <family val="2"/>
      </rPr>
      <t xml:space="preserve"> per MJ fossil feedstock in the counterfactual (gCO</t>
    </r>
    <r>
      <rPr>
        <vertAlign val="subscript"/>
        <sz val="11"/>
        <color rgb="FF000000"/>
        <rFont val="Calibri"/>
        <family val="2"/>
      </rPr>
      <t>2</t>
    </r>
    <r>
      <rPr>
        <sz val="11"/>
        <color rgb="FF000000"/>
        <rFont val="Calibri"/>
        <family val="2"/>
      </rPr>
      <t>/MJ</t>
    </r>
    <r>
      <rPr>
        <vertAlign val="subscript"/>
        <sz val="11"/>
        <color rgb="FF000000"/>
        <rFont val="Calibri"/>
        <family val="2"/>
      </rPr>
      <t>LHV</t>
    </r>
    <r>
      <rPr>
        <sz val="11"/>
        <color rgb="FF000000"/>
        <rFont val="Calibri"/>
        <family val="2"/>
      </rPr>
      <t xml:space="preserve"> fossil feedstock)</t>
    </r>
  </si>
  <si>
    <t>Each waste fossil feedstock will be slightly different in terms of carbon content and LHV, so use data for your feedstock supply. However, it can be assumed for simplicity that 100% of the waste fossil carbon in the feedstock will be converted into CO2, prior to any CO2 capture in the counterfactual (no capture in the RDF counterfactual at present)</t>
  </si>
  <si>
    <t>This worksheet should only be filled in when considering the waste fossil derived fraction of your hydrogen production within this Excel workbook.</t>
  </si>
  <si>
    <t>Following the latest Low Carbon Hydrogen Standard, DESNZ are including emissions arising from replacing the lost utility when waste fossil feedstock is diverted from its existing counterfactual use within the total hydrogen emissions calculation, but are also including a credit for any feedstock fossil carbon emitted as CO2 in the counterfactual that is now avoided.</t>
  </si>
  <si>
    <t>For the fossil fraction of RDF (Refused Derived Fuel), the counterfactual use is set out in the Data Annex section 4, currently Energy-from-Waste combustion with electricity generation (no heat sales, and no CO2 capture), at 22% net electrical efficiency.</t>
  </si>
  <si>
    <t xml:space="preserve">If UK grid power is displaced, use the factor in the Typical data tab for the relevant year of operations. If overseas power is displaced, use the latest available government published projections for the relevant country and year. </t>
  </si>
  <si>
    <t>Suppliers of hydrogen produced from non-RDF waste fossil feedstocks must demonstrate that heat generation is not displaced by the production of hydrogen. If heat is displaced, then the counterfactual use will need to be set as heat generation, and the calculations above will need adjusted</t>
  </si>
  <si>
    <t>For non-RDF feedstocks, an alternative counterfactual to the RDF counterfactual could be considered at the production plant level if sufficient evidence is provided below.</t>
  </si>
  <si>
    <t>Evidence that non-RDF feedstocks are not displacing heat generation. Or if heat is being displaced, state the efficiency of its generation and how much heat is being displaced, and its emissions factor (in what year), and feed this into the above calculations</t>
  </si>
  <si>
    <t>Evidence for any alternative counterfactual for non-RDF feedstocks - state clearly how the feedstock is used, what output product is being displaced, the efficiency of its generation and how much product is displaced, and its emissions factor (in what year), and feed this into the above calculations</t>
  </si>
  <si>
    <t>e.g. Residual waste</t>
  </si>
  <si>
    <t>e.g. Processed waste</t>
  </si>
  <si>
    <t>e.g. Biogenic CO2 generated from use of biogenic inputs onsite (not feedstock or products)</t>
  </si>
  <si>
    <t>e.g. Fossil CO2 generated from use of fossil inputs onsite (not feedstock or products)</t>
  </si>
  <si>
    <t>e.g. Biogenic CO2 captured and sequestered from biogenic inputs only (not from feedstock or products)</t>
  </si>
  <si>
    <t>e.g. Fossil CO2 captured and sequestered from fossil inputs only (not from feedstock or products)</t>
  </si>
  <si>
    <t>Process emissions and sequestration (biogenic fraction of feedstock only)</t>
  </si>
  <si>
    <t>gCO2e/MJ biogenic H2</t>
  </si>
  <si>
    <t>e.g. Biogenic CO2 generated from use of feedstock or products onsite (e.g. some MSW or RDF composted, or burnt to provide heat)</t>
  </si>
  <si>
    <t>e.g. Biogenic CO2 captured and sequestered (from feedstock or products)</t>
  </si>
  <si>
    <t>Process emissions and sequestration (fossil fraction of feedstock only)</t>
  </si>
  <si>
    <t>gCO2e/MJ fossil H2</t>
  </si>
  <si>
    <t>e.g. Fossil CO2 generated from use of feedstock or products onsite  (e.g. some MSW or RDF burnt to provide heat)</t>
  </si>
  <si>
    <t>Fossil CO2 generated and emitted (no CO2 capture) is given a penalty of 1 tonne CO2e/tonne CO2 under LCHS. Any release of fossil carbon to atmosphere that would have occurred anyway in a counterfactual is considered separately in the counterfactual emissions tab</t>
  </si>
  <si>
    <t>e.g. Fossil CO2 captured and sequestered (from feedstock or products)</t>
  </si>
  <si>
    <t>Fossil CO2 sequestered is given a credit of 1 tonne CO2e/tonne CO2 under LCHS, since it is assumed that the fossil carbon in the counterfactual would have been released to atmosphere.</t>
  </si>
  <si>
    <t>Step total (gCO2e/MJ biogenic H2)</t>
  </si>
  <si>
    <t>Step total (gCO2e/MJ fossil H2)</t>
  </si>
  <si>
    <t>Feedstock composition</t>
  </si>
  <si>
    <t>Biogenic content (LHV basis)</t>
  </si>
  <si>
    <t>Fossil content (LHV basis)</t>
  </si>
  <si>
    <t xml:space="preserve">Fossil CO2 generated and emitted (no CO2 capture) is given a penalty of 1 tonne CO2e/tonne CO2 under LCHS </t>
  </si>
  <si>
    <t>Hydrogen (biogenic+fossil consignments)</t>
  </si>
  <si>
    <t>Upstream GHGs</t>
  </si>
  <si>
    <r>
      <t>Process emissions (from feedstock biogenic fraction) generated in hydrogen production, prior to any CO</t>
    </r>
    <r>
      <rPr>
        <b/>
        <vertAlign val="subscript"/>
        <sz val="11"/>
        <color rgb="FF000098"/>
        <rFont val="Calibri"/>
        <family val="2"/>
      </rPr>
      <t>2</t>
    </r>
    <r>
      <rPr>
        <b/>
        <sz val="11"/>
        <color rgb="FF000098"/>
        <rFont val="Calibri"/>
        <family val="2"/>
      </rPr>
      <t xml:space="preserve"> capture</t>
    </r>
  </si>
  <si>
    <t>Generated CO2</t>
  </si>
  <si>
    <t>e.g. Biogenic CO2 generated from use of feedstock or products onsite (e.g. some RDF, syngas or hydrogen burnt onsite for heating)</t>
  </si>
  <si>
    <r>
      <t>Process emissions (from feedstock fossil fraction) generated in hydrogen production, prior to any CO</t>
    </r>
    <r>
      <rPr>
        <b/>
        <vertAlign val="subscript"/>
        <sz val="11"/>
        <color rgb="FF000098"/>
        <rFont val="Calibri"/>
        <family val="2"/>
      </rPr>
      <t>2</t>
    </r>
    <r>
      <rPr>
        <b/>
        <sz val="11"/>
        <color rgb="FF000098"/>
        <rFont val="Calibri"/>
        <family val="2"/>
      </rPr>
      <t xml:space="preserve"> capture</t>
    </r>
  </si>
  <si>
    <t>e.g. Fossil CO2 generated from use of feedstock or products onsite (e.g. some RDF, syngas or hydrogen burnt onsite for heating)</t>
  </si>
  <si>
    <r>
      <t>Process emissions (from other inputs) generated in hydrogen production, prior to any CO</t>
    </r>
    <r>
      <rPr>
        <b/>
        <vertAlign val="subscript"/>
        <sz val="11"/>
        <color rgb="FF000098"/>
        <rFont val="Calibri"/>
        <family val="2"/>
      </rPr>
      <t>2</t>
    </r>
    <r>
      <rPr>
        <b/>
        <sz val="11"/>
        <color rgb="FF000098"/>
        <rFont val="Calibri"/>
        <family val="2"/>
      </rPr>
      <t xml:space="preserve"> capture</t>
    </r>
  </si>
  <si>
    <t>e.g. Biogenic CO2 emissions generated from combustion/conversion/use of biomethane, biodiesel, other biogenic energy and input materials onsite</t>
  </si>
  <si>
    <t>Supply+use GHGs</t>
  </si>
  <si>
    <t>e.g. Diesel for CO2 transport (accounting for both supply and combustion of any fuel)</t>
  </si>
  <si>
    <t>e.g. Gasoline for CO2 transport (accounting for both supply and combustion of any fuel)</t>
  </si>
  <si>
    <r>
      <t>CO</t>
    </r>
    <r>
      <rPr>
        <b/>
        <vertAlign val="subscript"/>
        <sz val="11"/>
        <color rgb="FF000098"/>
        <rFont val="Calibri"/>
        <family val="2"/>
      </rPr>
      <t>2</t>
    </r>
    <r>
      <rPr>
        <b/>
        <sz val="11"/>
        <color rgb="FF000098"/>
        <rFont val="Calibri"/>
        <family val="2"/>
      </rPr>
      <t xml:space="preserve"> sequestration (from feedstock biogenic fraction)</t>
    </r>
  </si>
  <si>
    <t>Sequestered CO2</t>
  </si>
  <si>
    <t>e.g. Biogenic CO2 captured and sequestered (from feedstock)</t>
  </si>
  <si>
    <r>
      <t>CO</t>
    </r>
    <r>
      <rPr>
        <b/>
        <vertAlign val="subscript"/>
        <sz val="11"/>
        <color rgb="FF000098"/>
        <rFont val="Calibri"/>
        <family val="2"/>
      </rPr>
      <t>2</t>
    </r>
    <r>
      <rPr>
        <b/>
        <sz val="11"/>
        <color rgb="FF000098"/>
        <rFont val="Calibri"/>
        <family val="2"/>
      </rPr>
      <t xml:space="preserve"> sequestration (from feedstock fossil fraction)</t>
    </r>
  </si>
  <si>
    <t>e.g. Fossil CO2 captured and sequestered (from feedstock)</t>
  </si>
  <si>
    <r>
      <t>CO</t>
    </r>
    <r>
      <rPr>
        <b/>
        <vertAlign val="subscript"/>
        <sz val="11"/>
        <color rgb="FF000098"/>
        <rFont val="Calibri"/>
        <family val="2"/>
      </rPr>
      <t>2</t>
    </r>
    <r>
      <rPr>
        <b/>
        <sz val="11"/>
        <color rgb="FF000098"/>
        <rFont val="Calibri"/>
        <family val="2"/>
      </rPr>
      <t xml:space="preserve"> sequestration (from other inputs)</t>
    </r>
  </si>
  <si>
    <t>e.g. Biogenic CO2 captured and sequestered (from other inputs)</t>
  </si>
  <si>
    <t>e.g. Fossil CO2 captured and sequestered (from other inputs)</t>
  </si>
  <si>
    <t>Fugitive GHGs</t>
  </si>
  <si>
    <t>Fossil feedstock (waste/residue) counterfactual emissions</t>
  </si>
  <si>
    <r>
      <t>This worksheet calculates the waste/residue fossil feedstock counterfactual emissions in gCO</t>
    </r>
    <r>
      <rPr>
        <vertAlign val="subscript"/>
        <sz val="11"/>
        <color rgb="FF000000"/>
        <rFont val="Calibri"/>
        <family val="2"/>
      </rPr>
      <t>2</t>
    </r>
    <r>
      <rPr>
        <sz val="11"/>
        <color rgb="FF000000"/>
        <rFont val="Calibri"/>
        <family val="2"/>
      </rPr>
      <t>e/MJ</t>
    </r>
    <r>
      <rPr>
        <vertAlign val="subscript"/>
        <sz val="11"/>
        <color rgb="FF000000"/>
        <rFont val="Calibri"/>
        <family val="2"/>
      </rPr>
      <t>LHV</t>
    </r>
    <r>
      <rPr>
        <sz val="11"/>
        <color rgb="FF000000"/>
        <rFont val="Calibri"/>
        <family val="2"/>
      </rPr>
      <t xml:space="preserve"> of feedstock (prior to allocation), which will feed into the relevant "Summary" tab</t>
    </r>
  </si>
  <si>
    <t>Energy vector displaced by fossil feedstock diversion from counterfactual use</t>
  </si>
  <si>
    <t>Provide the assumed displaced utility for the fossil feedstock e.g. Grid average electricity, natural gas heating</t>
  </si>
  <si>
    <t>Provide the appropriate counterfactual for your feedstock e.g. 22% is assuming UK Energy-from-Waste power generation</t>
  </si>
  <si>
    <t>Each fossil feedstock will be slightly different in terms of carbon content and LHV, so use data for your feedstock supply. However, it can be assumed for simplicity that 100% of the fossil carbon in the feedstock will be converted into CO2, prior to any CO2 capture in the counterfactual (no capture in the feedstock counterfactual at present)</t>
  </si>
  <si>
    <t>Following the latest Low Carbon Hydrogen Standard, DESNZ are including emissions arising from replacing the lost utility when waste or residue fossil feedstock is diverted from its existing counterfactual use (e.g. providing power, steam or heating) within the total hydrogen emissions calculation, but are also including a credit for any feedstock fossil carbon emitted as CO2 in the counterfactual that is now avoided.</t>
  </si>
  <si>
    <t>Suppliers of hydrogen produced from non-RDF waste/residue fossil feedstocks must demonstrate that heat generation is not displaced by the production of hydrogen. If heat is displaced, then the counterfactual use will need to be set as heat generation, and the calculations above will need adjusted</t>
  </si>
  <si>
    <t>e.g. Feedstock</t>
  </si>
  <si>
    <t>e.g. Processed feedstock</t>
  </si>
  <si>
    <t>e.g. Biogenic CO2 generated from use of biomass feedstock or biogenic products onsite</t>
  </si>
  <si>
    <t>e.g. Fossil CO2 generated from use of fossil inputs onsite</t>
  </si>
  <si>
    <t>e.g. Electricity for conversion process</t>
  </si>
  <si>
    <t>e.g. Chemicals for conversion process</t>
  </si>
  <si>
    <t>Process emissions generated in hydrogen production</t>
  </si>
  <si>
    <t>e.g. Biogenic CO2 generated from use of feedstock or products onsite (e.g. some burnt onsite for heating)</t>
  </si>
  <si>
    <t>e.g. Fossil CO2 generated from use of feedstock or products onsite (e.g. some burnt onsite for heating)</t>
  </si>
  <si>
    <r>
      <t>CO</t>
    </r>
    <r>
      <rPr>
        <b/>
        <vertAlign val="subscript"/>
        <sz val="11"/>
        <color rgb="FF000098"/>
        <rFont val="Calibri"/>
        <family val="2"/>
      </rPr>
      <t xml:space="preserve">2 </t>
    </r>
    <r>
      <rPr>
        <b/>
        <sz val="11"/>
        <color rgb="FF000098"/>
        <rFont val="Calibri"/>
        <family val="2"/>
      </rPr>
      <t>sequestration</t>
    </r>
  </si>
  <si>
    <t>e.g. Biogenic CO2 captured and sequestered</t>
  </si>
  <si>
    <t>e.g. Fossil solid carbon sent to inert underground storage (tonnes of pure carbon)</t>
  </si>
  <si>
    <t>e.g. Biogenic solid carbon sent to cement/concrete (tonnes of pure carbon)</t>
  </si>
  <si>
    <t>Biogenic solid carbon sequestered is given a credit of 3.664 gCO2e/g C under LCHS. Only permissable sequestration is given a credit.</t>
  </si>
  <si>
    <t>e.g. Biogenic solid carbon sent to inert underground storage (tonnes of pure carbon)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</si>
</sst>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3" formatCode="_-* #,##0.00_-;\-* #,##0.00_-;_-* &quot;-&quot;??_-;_-@_-"/>
    <numFmt numFmtId="164" formatCode="0.0000"/>
    <numFmt numFmtId="165" formatCode="dd\-mmm\-yyyy"/>
    <numFmt numFmtId="166" formatCode="0.000000"/>
    <numFmt numFmtId="167" formatCode="#,##0.0000"/>
    <numFmt numFmtId="168" formatCode="#,##0.0000000"/>
    <numFmt numFmtId="169" formatCode="0.00000"/>
    <numFmt numFmtId="170" formatCode="0.000"/>
    <numFmt numFmtId="171" formatCode="#,##0.000"/>
    <numFmt numFmtId="172" formatCode="0.0000000"/>
    <numFmt numFmtId="173" formatCode="#,##0.0"/>
    <numFmt numFmtId="174" formatCode="0.0"/>
    <numFmt numFmtId="175" formatCode="#,##0.00000"/>
    <numFmt numFmtId="176" formatCode="_-* #,##0_-;\-* #,##0_-;_-* &quot;-&quot;??_-;_-@_-"/>
    <numFmt numFmtId="177" formatCode="dd\ mmm\ yyyy"/>
    <numFmt numFmtId="178" formatCode="_-* #,##0.000_-;\-* #,##0.000_-;_-* &quot;-&quot;??_-;_-@_-"/>
    <numFmt numFmtId="179" formatCode="0.0%"/>
    <numFmt numFmtId="180" formatCode="0.000%"/>
    <numFmt numFmtId="181" formatCode="_-* #,##0.0000_-;\-* #,##0.0000_-;_-* &quot;-&quot;??_-;_-@_-"/>
    <numFmt numFmtId="182" formatCode="_-* #,##0.00000_-;\-* #,##0.00000_-;_-* &quot;-&quot;??_-;_-@_-"/>
    <numFmt numFmtId="183" formatCode="0.0000%"/>
    <numFmt numFmtId="184" formatCode="_-* #,##0_-;\-* #,##0_-;_-* &quot;&quot;??_-;_-@_-"/>
  </numFmts>
  <fonts count="108">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font>
    <font>
      <sz val="11"/>
      <color theme="0" tint="-0.499984740745262"/>
      <name val="Calibri"/>
      <family val="2"/>
    </font>
    <font>
      <sz val="8"/>
      <color theme="0" tint="-0.499984740745262"/>
      <name val="Calibri"/>
      <family val="2"/>
    </font>
    <font>
      <b/>
      <sz val="11"/>
      <color theme="0"/>
      <name val="Calibri"/>
      <family val="2"/>
    </font>
    <font>
      <sz val="11"/>
      <color rgb="FF000098"/>
      <name val="Calibri"/>
      <family val="2"/>
    </font>
    <font>
      <b/>
      <sz val="11"/>
      <color rgb="FF000098"/>
      <name val="Calibri"/>
      <family val="2"/>
    </font>
    <font>
      <b/>
      <sz val="11"/>
      <color theme="7" tint="-0.499984740745262"/>
      <name val="Calibri"/>
      <family val="2"/>
    </font>
    <font>
      <sz val="11"/>
      <color theme="7" tint="-0.499984740745262"/>
      <name val="Calibri"/>
      <family val="2"/>
    </font>
    <font>
      <sz val="11"/>
      <color rgb="FF000000"/>
      <name val="Calibri"/>
      <family val="2"/>
    </font>
    <font>
      <sz val="10"/>
      <name val="Arial"/>
      <family val="2"/>
    </font>
    <font>
      <b/>
      <sz val="11"/>
      <color rgb="FF000000"/>
      <name val="Calibri"/>
      <family val="2"/>
    </font>
    <font>
      <sz val="11"/>
      <color indexed="8"/>
      <name val="Calibri"/>
      <family val="2"/>
    </font>
    <font>
      <sz val="10"/>
      <name val="Arial Cyr"/>
    </font>
    <font>
      <b/>
      <sz val="14"/>
      <name val="Calibri"/>
      <family val="2"/>
      <scheme val="minor"/>
    </font>
    <font>
      <b/>
      <sz val="10"/>
      <color indexed="8"/>
      <name val="Calibri"/>
      <family val="2"/>
      <scheme val="minor"/>
    </font>
    <font>
      <sz val="10"/>
      <color indexed="8"/>
      <name val="Calibri"/>
      <family val="2"/>
      <scheme val="minor"/>
    </font>
    <font>
      <sz val="11"/>
      <color rgb="FF000000"/>
      <name val="Calibri"/>
      <family val="2"/>
      <scheme val="minor"/>
    </font>
    <font>
      <b/>
      <sz val="11"/>
      <color rgb="FF000098"/>
      <name val="Calibri"/>
      <family val="2"/>
      <scheme val="minor"/>
    </font>
    <font>
      <b/>
      <sz val="11"/>
      <color indexed="8"/>
      <name val="Calibri"/>
      <family val="2"/>
      <scheme val="minor"/>
    </font>
    <font>
      <sz val="11"/>
      <color indexed="8"/>
      <name val="Calibri"/>
      <family val="2"/>
      <scheme val="minor"/>
    </font>
    <font>
      <b/>
      <sz val="12"/>
      <color indexed="8"/>
      <name val="Calibri"/>
      <family val="2"/>
      <scheme val="minor"/>
    </font>
    <font>
      <sz val="12"/>
      <color indexed="8"/>
      <name val="Calibri"/>
      <family val="2"/>
      <scheme val="minor"/>
    </font>
    <font>
      <b/>
      <sz val="11"/>
      <name val="Calibri"/>
      <family val="2"/>
      <scheme val="minor"/>
    </font>
    <font>
      <sz val="11"/>
      <name val="Calibri"/>
      <family val="2"/>
      <scheme val="minor"/>
    </font>
    <font>
      <sz val="10"/>
      <color rgb="FF000098"/>
      <name val="Calibri"/>
      <family val="2"/>
      <scheme val="minor"/>
    </font>
    <font>
      <sz val="10"/>
      <name val="Calibri"/>
      <family val="2"/>
      <scheme val="minor"/>
    </font>
    <font>
      <b/>
      <sz val="9"/>
      <color indexed="81"/>
      <name val="Tahoma"/>
      <family val="2"/>
    </font>
    <font>
      <sz val="9"/>
      <color indexed="81"/>
      <name val="Tahoma"/>
      <family val="2"/>
    </font>
    <font>
      <b/>
      <sz val="11"/>
      <name val="Calibri"/>
      <family val="2"/>
    </font>
    <font>
      <sz val="11"/>
      <color rgb="FFFF0000"/>
      <name val="Calibri"/>
      <family val="2"/>
    </font>
    <font>
      <b/>
      <i/>
      <sz val="11"/>
      <color rgb="FF000000"/>
      <name val="Calibri"/>
      <family val="2"/>
    </font>
    <font>
      <sz val="12"/>
      <color rgb="FF000000"/>
      <name val="Calibri"/>
      <family val="2"/>
    </font>
    <font>
      <u/>
      <sz val="11"/>
      <color rgb="FF000000"/>
      <name val="Calibri"/>
      <family val="2"/>
    </font>
    <font>
      <u/>
      <sz val="11"/>
      <color theme="10"/>
      <name val="Calibri"/>
      <family val="2"/>
    </font>
    <font>
      <b/>
      <sz val="11"/>
      <color indexed="8"/>
      <name val="Calibri"/>
      <family val="2"/>
    </font>
    <font>
      <sz val="11"/>
      <color theme="10"/>
      <name val="Calibri"/>
      <family val="2"/>
    </font>
    <font>
      <b/>
      <sz val="18"/>
      <color theme="3"/>
      <name val="Calibri"/>
      <family val="2"/>
      <scheme val="major"/>
    </font>
    <font>
      <sz val="11"/>
      <color theme="1"/>
      <name val="Arial"/>
      <family val="2"/>
    </font>
    <font>
      <sz val="11"/>
      <color indexed="9"/>
      <name val="Calibri"/>
      <family val="2"/>
    </font>
    <font>
      <sz val="10"/>
      <color rgb="FF000000"/>
      <name val="Arial"/>
      <family val="2"/>
    </font>
    <font>
      <sz val="11"/>
      <color theme="1"/>
      <name val="Times New Roman"/>
      <family val="2"/>
    </font>
    <font>
      <b/>
      <sz val="11"/>
      <color theme="1"/>
      <name val="Calibri"/>
      <family val="2"/>
      <scheme val="minor"/>
    </font>
    <font>
      <sz val="11"/>
      <color theme="0"/>
      <name val="Calibri"/>
      <family val="2"/>
      <scheme val="minor"/>
    </font>
    <font>
      <i/>
      <sz val="11"/>
      <color theme="2" tint="-0.499984740745262"/>
      <name val="Calibri"/>
      <family val="2"/>
    </font>
    <font>
      <b/>
      <vertAlign val="subscript"/>
      <sz val="11"/>
      <color rgb="FF000000"/>
      <name val="Calibri"/>
      <family val="2"/>
    </font>
    <font>
      <sz val="11"/>
      <color theme="0" tint="-0.249977111117893"/>
      <name val="Calibri"/>
      <family val="2"/>
      <scheme val="minor"/>
    </font>
    <font>
      <sz val="24"/>
      <color rgb="FFFF0000"/>
      <name val="Calibri"/>
      <family val="2"/>
    </font>
    <font>
      <b/>
      <sz val="11"/>
      <color rgb="FFFF0000"/>
      <name val="Calibri"/>
      <family val="2"/>
    </font>
    <font>
      <sz val="11"/>
      <color theme="0" tint="-0.34998626667073579"/>
      <name val="Calibri"/>
      <family val="2"/>
    </font>
    <font>
      <b/>
      <vertAlign val="subscript"/>
      <sz val="11"/>
      <name val="Calibri"/>
      <family val="2"/>
    </font>
    <font>
      <i/>
      <sz val="11"/>
      <color rgb="FF000000"/>
      <name val="Calibri"/>
      <family val="2"/>
    </font>
    <font>
      <b/>
      <sz val="22"/>
      <color rgb="FF000000"/>
      <name val="Calibri"/>
      <family val="2"/>
    </font>
    <font>
      <b/>
      <sz val="14"/>
      <name val="Calibri"/>
      <family val="2"/>
    </font>
    <font>
      <sz val="14"/>
      <color rgb="FF000000"/>
      <name val="Calibri"/>
      <family val="2"/>
    </font>
    <font>
      <b/>
      <vertAlign val="superscript"/>
      <sz val="10"/>
      <name val="Calibri"/>
      <family val="2"/>
      <scheme val="minor"/>
    </font>
    <font>
      <b/>
      <sz val="10"/>
      <name val="Calibri"/>
      <family val="2"/>
      <scheme val="minor"/>
    </font>
    <font>
      <b/>
      <i/>
      <sz val="11"/>
      <name val="Calibri"/>
      <family val="2"/>
    </font>
    <font>
      <b/>
      <u/>
      <sz val="14"/>
      <color theme="3"/>
      <name val="Calibri"/>
      <family val="2"/>
    </font>
    <font>
      <sz val="11"/>
      <color theme="1"/>
      <name val="Calibri"/>
      <family val="2"/>
    </font>
    <font>
      <b/>
      <sz val="12"/>
      <color rgb="FF000000"/>
      <name val="Calibri"/>
      <family val="2"/>
    </font>
    <font>
      <b/>
      <sz val="14"/>
      <color theme="10"/>
      <name val="Calibri"/>
      <family val="2"/>
    </font>
    <font>
      <b/>
      <sz val="14"/>
      <color rgb="FF000000"/>
      <name val="Calibri"/>
      <family val="2"/>
    </font>
    <font>
      <sz val="16"/>
      <color rgb="FF000000"/>
      <name val="Calibri"/>
      <family val="2"/>
    </font>
    <font>
      <b/>
      <sz val="10"/>
      <color rgb="FF000000"/>
      <name val="Calibri"/>
      <family val="2"/>
    </font>
    <font>
      <b/>
      <vertAlign val="subscript"/>
      <sz val="10"/>
      <color rgb="FF000000"/>
      <name val="Calibri"/>
      <family val="2"/>
    </font>
    <font>
      <b/>
      <sz val="12"/>
      <color rgb="FFFF0000"/>
      <name val="Calibri"/>
      <family val="2"/>
    </font>
    <font>
      <b/>
      <sz val="14"/>
      <color rgb="FF000000"/>
      <name val="Calibri"/>
      <family val="2"/>
      <scheme val="minor"/>
    </font>
    <font>
      <b/>
      <sz val="18"/>
      <color rgb="FF000000"/>
      <name val="Calibri"/>
      <family val="2"/>
    </font>
    <font>
      <b/>
      <vertAlign val="superscript"/>
      <sz val="11"/>
      <color theme="1"/>
      <name val="Calibri"/>
      <family val="2"/>
      <scheme val="minor"/>
    </font>
    <font>
      <i/>
      <sz val="11"/>
      <color theme="0" tint="-0.34998626667073579"/>
      <name val="Calibri"/>
      <family val="2"/>
    </font>
    <font>
      <b/>
      <sz val="11"/>
      <color theme="0" tint="-0.34998626667073579"/>
      <name val="Calibri"/>
      <family val="2"/>
    </font>
    <font>
      <b/>
      <i/>
      <sz val="11"/>
      <color theme="0" tint="-0.34998626667073579"/>
      <name val="Calibri"/>
      <family val="2"/>
    </font>
    <font>
      <b/>
      <i/>
      <vertAlign val="subscript"/>
      <sz val="11"/>
      <color theme="0" tint="-0.34998626667073579"/>
      <name val="Calibri"/>
      <family val="2"/>
    </font>
    <font>
      <b/>
      <u/>
      <sz val="14"/>
      <color theme="7" tint="-0.499984740745262"/>
      <name val="Calibri"/>
      <family val="2"/>
    </font>
    <font>
      <b/>
      <vertAlign val="subscript"/>
      <sz val="11"/>
      <color rgb="FF000098"/>
      <name val="Calibri"/>
      <family val="2"/>
    </font>
    <font>
      <u/>
      <sz val="11"/>
      <name val="Calibri"/>
      <family val="2"/>
    </font>
    <font>
      <vertAlign val="subscript"/>
      <sz val="11"/>
      <color rgb="FF000000"/>
      <name val="Calibri"/>
      <family val="2"/>
    </font>
    <font>
      <i/>
      <sz val="11"/>
      <name val="Calibri"/>
      <family val="2"/>
    </font>
    <font>
      <vertAlign val="subscript"/>
      <sz val="11"/>
      <name val="Calibri"/>
      <family val="2"/>
    </font>
    <font>
      <u/>
      <sz val="11"/>
      <color theme="7" tint="-0.499984740745262"/>
      <name val="Calibri"/>
      <family val="2"/>
    </font>
    <font>
      <sz val="11"/>
      <color theme="0" tint="-0.249977111117893"/>
      <name val="Calibri"/>
      <family val="2"/>
    </font>
    <font>
      <u/>
      <sz val="11"/>
      <color theme="0"/>
      <name val="Calibri"/>
      <family val="2"/>
    </font>
    <font>
      <sz val="11"/>
      <color rgb="FFFF0000"/>
      <name val="Calibri"/>
      <family val="2"/>
      <scheme val="minor"/>
    </font>
    <font>
      <u/>
      <sz val="11"/>
      <color rgb="FFFF0000"/>
      <name val="Calibri"/>
      <family val="2"/>
    </font>
    <font>
      <sz val="8"/>
      <name val="Calibri"/>
      <family val="2"/>
    </font>
    <font>
      <u/>
      <sz val="16"/>
      <color theme="10"/>
      <name val="Calibri"/>
      <family val="2"/>
    </font>
    <font>
      <i/>
      <sz val="11"/>
      <color rgb="FFFF0000"/>
      <name val="Calibri"/>
      <family val="2"/>
    </font>
    <font>
      <sz val="10"/>
      <color rgb="FFFF0000"/>
      <name val="Calibri"/>
      <family val="2"/>
    </font>
    <font>
      <b/>
      <sz val="24"/>
      <color rgb="FFFF0000"/>
      <name val="Calibri"/>
      <family val="2"/>
    </font>
    <font>
      <vertAlign val="subscript"/>
      <sz val="11"/>
      <color theme="1"/>
      <name val="Calibri"/>
      <family val="2"/>
      <scheme val="minor"/>
    </font>
    <font>
      <vertAlign val="subscript"/>
      <sz val="11"/>
      <color theme="10"/>
      <name val="Calibri"/>
      <family val="2"/>
    </font>
    <font>
      <vertAlign val="superscript"/>
      <sz val="11"/>
      <color rgb="FF000000"/>
      <name val="Calibri"/>
      <family val="2"/>
    </font>
    <font>
      <vertAlign val="subscript"/>
      <sz val="11"/>
      <color rgb="FF000000"/>
      <name val="Calibri"/>
      <family val="2"/>
      <scheme val="minor"/>
    </font>
    <font>
      <b/>
      <u/>
      <sz val="14"/>
      <color theme="0"/>
      <name val="Calibri"/>
      <family val="2"/>
    </font>
    <font>
      <b/>
      <u/>
      <sz val="14"/>
      <name val="Calibri"/>
      <family val="2"/>
    </font>
    <font>
      <sz val="14"/>
      <color rgb="FFFF0000"/>
      <name val="Calibri"/>
      <family val="2"/>
    </font>
    <font>
      <b/>
      <vertAlign val="subscript"/>
      <sz val="11"/>
      <color theme="1"/>
      <name val="Calibri"/>
      <family val="2"/>
      <scheme val="minor"/>
    </font>
    <font>
      <b/>
      <vertAlign val="subscript"/>
      <sz val="11"/>
      <color rgb="FF000000"/>
      <name val="Calibri"/>
      <family val="2"/>
      <scheme val="minor"/>
    </font>
    <font>
      <b/>
      <sz val="11"/>
      <color rgb="FF000000"/>
      <name val="Calibri"/>
      <family val="2"/>
      <scheme val="minor"/>
    </font>
    <font>
      <vertAlign val="superscript"/>
      <sz val="8"/>
      <color rgb="FF000000"/>
      <name val="Arial"/>
      <family val="2"/>
    </font>
    <font>
      <sz val="16"/>
      <color rgb="FFFF0000"/>
      <name val="Calibri"/>
      <family val="2"/>
    </font>
    <font>
      <b/>
      <sz val="11"/>
      <color theme="0" tint="-0.34998626667073579"/>
      <name val="Calibri"/>
      <family val="2"/>
      <scheme val="minor"/>
    </font>
    <font>
      <b/>
      <vertAlign val="subscript"/>
      <sz val="11"/>
      <name val="Calibri"/>
      <family val="2"/>
      <scheme val="minor"/>
    </font>
  </fonts>
  <fills count="33">
    <fill>
      <patternFill patternType="none"/>
    </fill>
    <fill>
      <patternFill patternType="gray125"/>
    </fill>
    <fill>
      <patternFill patternType="solid">
        <fgColor rgb="FF1B429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6" tint="0.39994506668294322"/>
        <bgColor indexed="64"/>
      </patternFill>
    </fill>
    <fill>
      <patternFill patternType="solid">
        <fgColor theme="9" tint="0.59996337778862885"/>
        <bgColor indexed="64"/>
      </patternFill>
    </fill>
    <fill>
      <patternFill patternType="solid">
        <fgColor theme="0"/>
        <bgColor indexed="64"/>
      </patternFill>
    </fill>
    <fill>
      <patternFill patternType="solid">
        <fgColor theme="7" tint="0.79998168889431442"/>
        <bgColor indexed="64"/>
      </patternFill>
    </fill>
    <fill>
      <patternFill patternType="solid">
        <fgColor rgb="FFFF66CC"/>
        <bgColor indexed="64"/>
      </patternFill>
    </fill>
    <fill>
      <patternFill patternType="solid">
        <fgColor indexed="30"/>
      </patternFill>
    </fill>
    <fill>
      <patternFill patternType="solid">
        <fgColor theme="8" tint="0.39994506668294322"/>
        <bgColor indexed="64"/>
      </patternFill>
    </fill>
    <fill>
      <patternFill patternType="solid">
        <fgColor theme="2" tint="-9.9948118533890809E-2"/>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8"/>
        <bgColor indexed="64"/>
      </patternFill>
    </fill>
    <fill>
      <patternFill patternType="solid">
        <fgColor theme="5"/>
        <bgColor indexed="64"/>
      </patternFill>
    </fill>
    <fill>
      <patternFill patternType="solid">
        <fgColor rgb="FFFF9900"/>
        <bgColor indexed="64"/>
      </patternFill>
    </fill>
    <fill>
      <patternFill patternType="solid">
        <fgColor rgb="FFCCFF66"/>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1"/>
        <bgColor indexed="64"/>
      </patternFill>
    </fill>
    <fill>
      <patternFill patternType="solid">
        <fgColor rgb="FFC7E8FA"/>
        <bgColor indexed="64"/>
      </patternFill>
    </fill>
    <fill>
      <patternFill patternType="solid">
        <fgColor theme="7" tint="-0.249977111117893"/>
        <bgColor indexed="64"/>
      </patternFill>
    </fill>
    <fill>
      <patternFill patternType="solid">
        <fgColor rgb="FFFFDF9F"/>
        <bgColor indexed="64"/>
      </patternFill>
    </fill>
    <fill>
      <patternFill patternType="solid">
        <fgColor theme="3" tint="-0.249977111117893"/>
        <bgColor indexed="64"/>
      </patternFill>
    </fill>
  </fills>
  <borders count="29">
    <border>
      <left/>
      <right/>
      <top/>
      <bottom/>
      <diagonal/>
    </border>
    <border>
      <left/>
      <right/>
      <top/>
      <bottom style="thick">
        <color rgb="FF6AB0E0"/>
      </bottom>
      <diagonal/>
    </border>
    <border>
      <left/>
      <right/>
      <top/>
      <bottom style="medium">
        <color rgb="FF6AB0E0"/>
      </bottom>
      <diagonal/>
    </border>
    <border>
      <left/>
      <right/>
      <top/>
      <bottom style="medium">
        <color theme="7" tint="-0.499984740745262"/>
      </bottom>
      <diagonal/>
    </border>
    <border>
      <left/>
      <right/>
      <top/>
      <bottom style="thin">
        <color theme="7" tint="-0.499984740745262"/>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thin">
        <color theme="1"/>
      </left>
      <right style="thin">
        <color theme="1"/>
      </right>
      <top style="thin">
        <color theme="1"/>
      </top>
      <bottom style="thin">
        <color theme="1"/>
      </bottom>
      <diagonal/>
    </border>
    <border>
      <left style="hair">
        <color auto="1"/>
      </left>
      <right style="hair">
        <color auto="1"/>
      </right>
      <top/>
      <bottom/>
      <diagonal/>
    </border>
    <border>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theme="1"/>
      </left>
      <right/>
      <top/>
      <bottom/>
      <diagonal/>
    </border>
  </borders>
  <cellStyleXfs count="68">
    <xf numFmtId="0" fontId="0" fillId="0" borderId="0"/>
    <xf numFmtId="3" fontId="5" fillId="5" borderId="0" applyNumberFormat="0" applyBorder="0"/>
    <xf numFmtId="3" fontId="5" fillId="4" borderId="0" applyNumberFormat="0" applyBorder="0">
      <protection locked="0"/>
    </xf>
    <xf numFmtId="3" fontId="5" fillId="3" borderId="0" applyNumberFormat="0" applyBorder="0"/>
    <xf numFmtId="0" fontId="8" fillId="2" borderId="1"/>
    <xf numFmtId="0" fontId="10" fillId="0" borderId="1"/>
    <xf numFmtId="0" fontId="12" fillId="6" borderId="4"/>
    <xf numFmtId="0" fontId="6" fillId="0" borderId="0"/>
    <xf numFmtId="0" fontId="7" fillId="0" borderId="0"/>
    <xf numFmtId="0" fontId="11" fillId="0" borderId="3"/>
    <xf numFmtId="0" fontId="9" fillId="0" borderId="2"/>
    <xf numFmtId="3" fontId="5" fillId="7" borderId="0" applyNumberFormat="0" applyBorder="0"/>
    <xf numFmtId="0" fontId="5" fillId="8" borderId="0" applyNumberFormat="0" applyBorder="0">
      <protection locked="0"/>
    </xf>
    <xf numFmtId="0" fontId="4" fillId="0" borderId="0"/>
    <xf numFmtId="0" fontId="14" fillId="0" borderId="0"/>
    <xf numFmtId="0" fontId="13" fillId="0" borderId="0"/>
    <xf numFmtId="43" fontId="13" fillId="0" borderId="0" applyFont="0" applyFill="0" applyBorder="0" applyAlignment="0" applyProtection="0"/>
    <xf numFmtId="0" fontId="13" fillId="0" borderId="0"/>
    <xf numFmtId="0" fontId="16" fillId="0" borderId="0"/>
    <xf numFmtId="0" fontId="17" fillId="0" borderId="0"/>
    <xf numFmtId="43" fontId="4" fillId="0" borderId="0" applyFont="0" applyFill="0" applyBorder="0" applyAlignment="0" applyProtection="0"/>
    <xf numFmtId="0" fontId="5" fillId="8" borderId="0" applyBorder="0">
      <protection locked="0"/>
    </xf>
    <xf numFmtId="43" fontId="13" fillId="0" borderId="0" applyFont="0" applyFill="0" applyBorder="0" applyAlignment="0" applyProtection="0"/>
    <xf numFmtId="9" fontId="13" fillId="0" borderId="0" applyFont="0" applyFill="0" applyBorder="0" applyAlignment="0" applyProtection="0"/>
    <xf numFmtId="0" fontId="3" fillId="0" borderId="0"/>
    <xf numFmtId="9" fontId="3" fillId="0" borderId="0" applyFont="0" applyFill="0" applyBorder="0" applyAlignment="0" applyProtection="0"/>
    <xf numFmtId="0" fontId="38" fillId="0" borderId="0" applyNumberFormat="0" applyFill="0" applyBorder="0" applyAlignment="0" applyProtection="0"/>
    <xf numFmtId="0" fontId="14" fillId="0" borderId="0"/>
    <xf numFmtId="0" fontId="42" fillId="0" borderId="0"/>
    <xf numFmtId="0" fontId="14" fillId="0" borderId="0"/>
    <xf numFmtId="0" fontId="42" fillId="0" borderId="0"/>
    <xf numFmtId="0" fontId="43" fillId="12" borderId="0" applyNumberFormat="0" applyBorder="0" applyAlignment="0" applyProtection="0"/>
    <xf numFmtId="43" fontId="2" fillId="0" borderId="0" applyFont="0" applyFill="0" applyBorder="0" applyAlignment="0" applyProtection="0"/>
    <xf numFmtId="0" fontId="30" fillId="13" borderId="0" applyNumberFormat="0" applyBorder="0" applyAlignment="0" applyProtection="0"/>
    <xf numFmtId="0" fontId="14"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28" fillId="0" borderId="0"/>
    <xf numFmtId="0" fontId="14" fillId="0" borderId="0"/>
    <xf numFmtId="0" fontId="14" fillId="0" borderId="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5" fillId="0" borderId="0" applyFont="0" applyFill="0" applyBorder="0" applyAlignment="0" applyProtection="0"/>
    <xf numFmtId="9" fontId="2" fillId="0" borderId="0" applyFont="0" applyFill="0" applyBorder="0" applyAlignment="0" applyProtection="0"/>
    <xf numFmtId="0" fontId="30" fillId="14" borderId="0" applyBorder="0" applyAlignment="0" applyProtection="0"/>
    <xf numFmtId="0" fontId="41" fillId="0" borderId="0" applyNumberFormat="0" applyFill="0" applyBorder="0" applyAlignment="0" applyProtection="0"/>
    <xf numFmtId="0" fontId="47" fillId="17" borderId="0" applyNumberFormat="0" applyBorder="0" applyAlignment="0" applyProtection="0"/>
  </cellStyleXfs>
  <cellXfs count="740">
    <xf numFmtId="0" fontId="0" fillId="0" borderId="0" xfId="0"/>
    <xf numFmtId="0" fontId="8" fillId="2" borderId="1" xfId="4" applyAlignment="1">
      <alignment wrapText="1"/>
    </xf>
    <xf numFmtId="0" fontId="4" fillId="0" borderId="0" xfId="13"/>
    <xf numFmtId="0" fontId="8" fillId="2" borderId="1" xfId="4"/>
    <xf numFmtId="0" fontId="21" fillId="0" borderId="0" xfId="17" applyFont="1"/>
    <xf numFmtId="0" fontId="22" fillId="0" borderId="1" xfId="5" applyFont="1" applyAlignment="1">
      <alignment wrapText="1"/>
    </xf>
    <xf numFmtId="0" fontId="28" fillId="0" borderId="5" xfId="13" applyFont="1" applyBorder="1" applyAlignment="1">
      <alignment vertical="center" wrapText="1"/>
    </xf>
    <xf numFmtId="16" fontId="28" fillId="0" borderId="5" xfId="13" applyNumberFormat="1" applyFont="1" applyBorder="1" applyAlignment="1">
      <alignment vertical="center" wrapText="1"/>
    </xf>
    <xf numFmtId="17" fontId="28" fillId="0" borderId="5" xfId="13" applyNumberFormat="1" applyFont="1" applyBorder="1" applyAlignment="1">
      <alignment vertical="center" wrapText="1"/>
    </xf>
    <xf numFmtId="0" fontId="29" fillId="0" borderId="2" xfId="10" applyFont="1"/>
    <xf numFmtId="0" fontId="21" fillId="0" borderId="0" xfId="17" applyFont="1" applyAlignment="1">
      <alignment horizontal="left"/>
    </xf>
    <xf numFmtId="0" fontId="10" fillId="0" borderId="1" xfId="5" applyAlignment="1">
      <alignment wrapText="1"/>
    </xf>
    <xf numFmtId="0" fontId="13" fillId="0" borderId="0" xfId="17"/>
    <xf numFmtId="0" fontId="13" fillId="0" borderId="0" xfId="17" applyAlignment="1">
      <alignment wrapText="1"/>
    </xf>
    <xf numFmtId="0" fontId="15" fillId="0" borderId="0" xfId="17" applyFont="1"/>
    <xf numFmtId="0" fontId="5" fillId="4" borderId="5" xfId="2" applyNumberFormat="1" applyBorder="1" applyAlignment="1">
      <alignment vertical="center"/>
      <protection locked="0"/>
    </xf>
    <xf numFmtId="0" fontId="33" fillId="4" borderId="5" xfId="2" applyNumberFormat="1" applyFont="1" applyBorder="1" applyAlignment="1">
      <alignment vertical="center"/>
      <protection locked="0"/>
    </xf>
    <xf numFmtId="0" fontId="5" fillId="0" borderId="0" xfId="17" applyFont="1"/>
    <xf numFmtId="0" fontId="5" fillId="0" borderId="0" xfId="17" applyFont="1" applyAlignment="1">
      <alignment wrapText="1"/>
    </xf>
    <xf numFmtId="0" fontId="0" fillId="0" borderId="0" xfId="17" applyFont="1"/>
    <xf numFmtId="43" fontId="5" fillId="4" borderId="5" xfId="22" applyFont="1" applyFill="1" applyBorder="1" applyAlignment="1" applyProtection="1">
      <alignment vertical="center" wrapText="1"/>
      <protection locked="0"/>
    </xf>
    <xf numFmtId="43" fontId="5" fillId="4" borderId="5" xfId="22" applyFont="1" applyFill="1" applyBorder="1" applyAlignment="1" applyProtection="1">
      <alignment vertical="center"/>
      <protection locked="0"/>
    </xf>
    <xf numFmtId="43" fontId="5" fillId="0" borderId="0" xfId="22" applyFont="1" applyAlignment="1">
      <alignment wrapText="1"/>
    </xf>
    <xf numFmtId="43" fontId="5" fillId="0" borderId="0" xfId="22" applyFont="1" applyAlignment="1">
      <alignment vertical="center" wrapText="1"/>
    </xf>
    <xf numFmtId="43" fontId="34" fillId="4" borderId="5" xfId="22" applyFont="1" applyFill="1" applyBorder="1" applyAlignment="1" applyProtection="1">
      <alignment vertical="center"/>
      <protection locked="0"/>
    </xf>
    <xf numFmtId="43" fontId="33" fillId="4" borderId="5" xfId="22" applyFont="1" applyFill="1" applyBorder="1" applyAlignment="1" applyProtection="1">
      <alignment vertical="center"/>
      <protection locked="0"/>
    </xf>
    <xf numFmtId="43" fontId="5" fillId="0" borderId="0" xfId="22" applyFont="1"/>
    <xf numFmtId="43" fontId="13" fillId="0" borderId="0" xfId="22" applyFont="1"/>
    <xf numFmtId="0" fontId="15" fillId="0" borderId="0" xfId="0" applyFont="1"/>
    <xf numFmtId="0" fontId="38" fillId="0" borderId="0" xfId="26"/>
    <xf numFmtId="0" fontId="35" fillId="0" borderId="0" xfId="0" applyFont="1"/>
    <xf numFmtId="0" fontId="0" fillId="0" borderId="6" xfId="0" applyBorder="1"/>
    <xf numFmtId="0" fontId="33" fillId="4" borderId="6" xfId="2" applyNumberFormat="1" applyFont="1" applyBorder="1" applyAlignment="1">
      <alignment vertical="center"/>
      <protection locked="0"/>
    </xf>
    <xf numFmtId="43" fontId="34" fillId="4" borderId="5" xfId="22" applyFont="1" applyFill="1" applyBorder="1" applyAlignment="1" applyProtection="1">
      <alignment vertical="center" wrapText="1"/>
      <protection locked="0"/>
    </xf>
    <xf numFmtId="176" fontId="34" fillId="4" borderId="5" xfId="22" applyNumberFormat="1" applyFont="1" applyFill="1" applyBorder="1" applyAlignment="1" applyProtection="1">
      <alignment vertical="center"/>
      <protection locked="0"/>
    </xf>
    <xf numFmtId="4" fontId="34" fillId="4" borderId="5" xfId="22" applyNumberFormat="1" applyFont="1" applyFill="1" applyBorder="1" applyAlignment="1" applyProtection="1">
      <alignment vertical="center"/>
      <protection locked="0"/>
    </xf>
    <xf numFmtId="178" fontId="34" fillId="4" borderId="5" xfId="22" applyNumberFormat="1" applyFont="1" applyFill="1" applyBorder="1" applyAlignment="1" applyProtection="1">
      <alignment vertical="center" wrapText="1"/>
      <protection locked="0"/>
    </xf>
    <xf numFmtId="4" fontId="8" fillId="2" borderId="1" xfId="4" applyNumberFormat="1" applyAlignment="1">
      <alignment wrapText="1"/>
    </xf>
    <xf numFmtId="4" fontId="39" fillId="0" borderId="0" xfId="17" applyNumberFormat="1" applyFont="1" applyAlignment="1">
      <alignment horizontal="right" vertical="top"/>
    </xf>
    <xf numFmtId="4" fontId="13" fillId="0" borderId="0" xfId="17" applyNumberFormat="1" applyAlignment="1">
      <alignment wrapText="1"/>
    </xf>
    <xf numFmtId="4" fontId="5" fillId="0" borderId="0" xfId="17" applyNumberFormat="1" applyFont="1" applyAlignment="1">
      <alignment wrapText="1"/>
    </xf>
    <xf numFmtId="4" fontId="5" fillId="0" borderId="0" xfId="22" applyNumberFormat="1" applyFont="1" applyAlignment="1">
      <alignment wrapText="1"/>
    </xf>
    <xf numFmtId="4" fontId="5" fillId="0" borderId="0" xfId="22" applyNumberFormat="1" applyFont="1" applyAlignment="1">
      <alignment vertical="center" wrapText="1"/>
    </xf>
    <xf numFmtId="9" fontId="5" fillId="10" borderId="5" xfId="23" applyFont="1" applyFill="1" applyBorder="1" applyAlignment="1" applyProtection="1">
      <alignment horizontal="center" vertical="center"/>
      <protection locked="0"/>
    </xf>
    <xf numFmtId="4" fontId="5" fillId="10" borderId="5" xfId="22" applyNumberFormat="1" applyFont="1" applyFill="1" applyBorder="1" applyAlignment="1" applyProtection="1">
      <alignment vertical="center" wrapText="1"/>
      <protection locked="0"/>
    </xf>
    <xf numFmtId="0" fontId="38" fillId="0" borderId="0" xfId="26" applyFill="1"/>
    <xf numFmtId="1" fontId="0" fillId="0" borderId="0" xfId="0" applyNumberFormat="1"/>
    <xf numFmtId="164" fontId="0" fillId="0" borderId="0" xfId="0" applyNumberFormat="1"/>
    <xf numFmtId="0" fontId="23" fillId="0" borderId="0" xfId="28" applyFont="1"/>
    <xf numFmtId="0" fontId="24" fillId="0" borderId="0" xfId="28" applyFont="1"/>
    <xf numFmtId="0" fontId="21" fillId="0" borderId="0" xfId="0" applyFont="1"/>
    <xf numFmtId="0" fontId="33" fillId="0" borderId="0" xfId="26" applyFont="1" applyFill="1" applyBorder="1" applyAlignment="1"/>
    <xf numFmtId="0" fontId="38" fillId="0" borderId="0" xfId="26" applyFill="1" applyBorder="1" applyAlignment="1"/>
    <xf numFmtId="0" fontId="34" fillId="0" borderId="0" xfId="0" applyFont="1"/>
    <xf numFmtId="182" fontId="5" fillId="4" borderId="5" xfId="22" applyNumberFormat="1" applyFont="1" applyFill="1" applyBorder="1" applyAlignment="1" applyProtection="1">
      <alignment vertical="center"/>
      <protection locked="0"/>
    </xf>
    <xf numFmtId="43" fontId="13" fillId="0" borderId="0" xfId="17" applyNumberFormat="1"/>
    <xf numFmtId="0" fontId="0" fillId="0" borderId="6" xfId="0" applyBorder="1" applyAlignment="1">
      <alignment horizontal="center" vertical="center"/>
    </xf>
    <xf numFmtId="9" fontId="5" fillId="10" borderId="6" xfId="0" applyNumberFormat="1" applyFont="1" applyFill="1" applyBorder="1" applyAlignment="1">
      <alignment horizontal="center" vertical="center"/>
    </xf>
    <xf numFmtId="173" fontId="5" fillId="10" borderId="6" xfId="0" applyNumberFormat="1" applyFont="1" applyFill="1" applyBorder="1" applyAlignment="1">
      <alignment horizontal="center" vertical="center"/>
    </xf>
    <xf numFmtId="173" fontId="0" fillId="10" borderId="6" xfId="0" applyNumberFormat="1" applyFill="1" applyBorder="1" applyAlignment="1">
      <alignment horizontal="center" vertical="center"/>
    </xf>
    <xf numFmtId="2" fontId="5" fillId="10" borderId="6" xfId="0" applyNumberFormat="1" applyFont="1" applyFill="1" applyBorder="1" applyAlignment="1">
      <alignment horizontal="center" vertical="center"/>
    </xf>
    <xf numFmtId="0" fontId="40" fillId="0" borderId="6" xfId="26" applyFont="1" applyFill="1" applyBorder="1" applyAlignment="1">
      <alignment vertical="center"/>
    </xf>
    <xf numFmtId="0" fontId="0" fillId="0" borderId="0" xfId="0" applyAlignment="1">
      <alignment vertical="center"/>
    </xf>
    <xf numFmtId="43" fontId="5" fillId="4" borderId="21" xfId="22" applyFont="1" applyFill="1" applyBorder="1" applyAlignment="1" applyProtection="1">
      <alignment vertical="center"/>
      <protection locked="0"/>
    </xf>
    <xf numFmtId="0" fontId="33" fillId="4" borderId="22" xfId="2" applyNumberFormat="1" applyFont="1" applyBorder="1" applyAlignment="1">
      <alignment vertical="center"/>
      <protection locked="0"/>
    </xf>
    <xf numFmtId="43" fontId="5" fillId="4" borderId="22" xfId="22" applyFont="1" applyFill="1" applyBorder="1" applyAlignment="1" applyProtection="1">
      <alignment vertical="center"/>
      <protection locked="0"/>
    </xf>
    <xf numFmtId="43" fontId="5" fillId="4" borderId="22" xfId="22" applyFont="1" applyFill="1" applyBorder="1" applyAlignment="1" applyProtection="1">
      <alignment vertical="center" wrapText="1"/>
      <protection locked="0"/>
    </xf>
    <xf numFmtId="4" fontId="5" fillId="10" borderId="22" xfId="22" applyNumberFormat="1" applyFont="1" applyFill="1" applyBorder="1" applyAlignment="1" applyProtection="1">
      <alignment vertical="center" wrapText="1"/>
      <protection locked="0"/>
    </xf>
    <xf numFmtId="0" fontId="33" fillId="0" borderId="0" xfId="2" applyNumberFormat="1" applyFont="1" applyFill="1" applyBorder="1" applyAlignment="1">
      <alignment vertical="center"/>
      <protection locked="0"/>
    </xf>
    <xf numFmtId="0" fontId="5" fillId="0" borderId="0" xfId="2" applyNumberFormat="1" applyFill="1" applyBorder="1" applyAlignment="1">
      <alignment vertical="center"/>
      <protection locked="0"/>
    </xf>
    <xf numFmtId="43" fontId="5" fillId="0" borderId="0" xfId="22" applyFont="1" applyFill="1" applyBorder="1" applyAlignment="1" applyProtection="1">
      <alignment vertical="center"/>
      <protection locked="0"/>
    </xf>
    <xf numFmtId="43" fontId="5" fillId="0" borderId="0" xfId="22" applyFont="1" applyFill="1" applyBorder="1" applyAlignment="1" applyProtection="1">
      <alignment vertical="center" wrapText="1"/>
      <protection locked="0"/>
    </xf>
    <xf numFmtId="178" fontId="34" fillId="0" borderId="0" xfId="22" applyNumberFormat="1" applyFont="1" applyFill="1" applyBorder="1" applyAlignment="1" applyProtection="1">
      <alignment vertical="center" wrapText="1"/>
      <protection locked="0"/>
    </xf>
    <xf numFmtId="4" fontId="5" fillId="0" borderId="0" xfId="22" applyNumberFormat="1" applyFont="1" applyFill="1" applyBorder="1" applyAlignment="1" applyProtection="1">
      <alignment vertical="center" wrapText="1"/>
      <protection locked="0"/>
    </xf>
    <xf numFmtId="43" fontId="33" fillId="0" borderId="0" xfId="22" applyFont="1" applyFill="1" applyBorder="1" applyAlignment="1" applyProtection="1">
      <alignment vertical="center"/>
      <protection locked="0"/>
    </xf>
    <xf numFmtId="4" fontId="34" fillId="0" borderId="0" xfId="22" applyNumberFormat="1" applyFont="1" applyFill="1" applyBorder="1" applyAlignment="1" applyProtection="1">
      <alignment vertical="center" wrapText="1"/>
      <protection locked="0"/>
    </xf>
    <xf numFmtId="43" fontId="34" fillId="0" borderId="0" xfId="22" applyFont="1" applyFill="1" applyBorder="1" applyAlignment="1" applyProtection="1">
      <alignment vertical="center"/>
      <protection locked="0"/>
    </xf>
    <xf numFmtId="0" fontId="53" fillId="0" borderId="0" xfId="0" applyFont="1"/>
    <xf numFmtId="0" fontId="33" fillId="0" borderId="0" xfId="2" applyNumberFormat="1" applyFont="1" applyFill="1" applyAlignment="1">
      <alignment vertical="center"/>
      <protection locked="0"/>
    </xf>
    <xf numFmtId="43" fontId="5" fillId="0" borderId="0" xfId="22" applyFont="1" applyAlignment="1" applyProtection="1">
      <alignment vertical="center"/>
      <protection locked="0"/>
    </xf>
    <xf numFmtId="0" fontId="51" fillId="0" borderId="0" xfId="0" applyFont="1" applyAlignment="1">
      <alignment vertical="center"/>
    </xf>
    <xf numFmtId="0" fontId="0" fillId="0" borderId="0" xfId="0" applyAlignment="1">
      <alignment wrapText="1"/>
    </xf>
    <xf numFmtId="181" fontId="34" fillId="4" borderId="5" xfId="22" applyNumberFormat="1" applyFont="1" applyFill="1" applyBorder="1" applyAlignment="1" applyProtection="1">
      <alignment vertical="center"/>
      <protection locked="0"/>
    </xf>
    <xf numFmtId="0" fontId="33" fillId="0" borderId="0" xfId="17" applyFont="1"/>
    <xf numFmtId="43" fontId="33" fillId="0" borderId="0" xfId="22" applyFont="1"/>
    <xf numFmtId="43" fontId="15" fillId="0" borderId="0" xfId="22" applyFont="1"/>
    <xf numFmtId="43" fontId="33" fillId="0" borderId="0" xfId="22" applyFont="1" applyAlignment="1">
      <alignment wrapText="1"/>
    </xf>
    <xf numFmtId="4" fontId="33" fillId="0" borderId="0" xfId="22" applyNumberFormat="1" applyFont="1" applyAlignment="1">
      <alignment wrapText="1"/>
    </xf>
    <xf numFmtId="179" fontId="5" fillId="10" borderId="5" xfId="2" applyNumberFormat="1" applyFill="1" applyBorder="1" applyAlignment="1">
      <alignment horizontal="center" vertical="center"/>
      <protection locked="0"/>
    </xf>
    <xf numFmtId="0" fontId="33" fillId="0" borderId="0" xfId="0" applyFont="1"/>
    <xf numFmtId="4" fontId="0" fillId="0" borderId="0" xfId="0" applyNumberFormat="1"/>
    <xf numFmtId="0" fontId="34" fillId="0" borderId="0" xfId="17" applyFont="1"/>
    <xf numFmtId="174" fontId="34" fillId="0" borderId="0" xfId="17" applyNumberFormat="1" applyFont="1"/>
    <xf numFmtId="0" fontId="40" fillId="0" borderId="6" xfId="26" applyFont="1" applyBorder="1" applyAlignment="1">
      <alignment vertical="center"/>
    </xf>
    <xf numFmtId="0" fontId="40" fillId="0" borderId="0" xfId="26" applyFont="1" applyFill="1" applyBorder="1" applyAlignment="1">
      <alignment horizontal="left" vertical="center" wrapText="1"/>
    </xf>
    <xf numFmtId="0" fontId="40" fillId="0" borderId="0" xfId="26" applyFont="1" applyFill="1" applyBorder="1" applyAlignment="1">
      <alignment vertical="center"/>
    </xf>
    <xf numFmtId="0" fontId="40" fillId="0" borderId="9" xfId="26" applyFont="1" applyFill="1" applyBorder="1" applyAlignment="1">
      <alignment vertical="center"/>
    </xf>
    <xf numFmtId="0" fontId="65" fillId="16" borderId="6" xfId="26" applyFont="1" applyFill="1" applyBorder="1" applyAlignment="1">
      <alignment vertical="center"/>
    </xf>
    <xf numFmtId="0" fontId="58" fillId="0" borderId="0" xfId="0" applyFont="1" applyAlignment="1">
      <alignment vertical="center"/>
    </xf>
    <xf numFmtId="9" fontId="57" fillId="0" borderId="6" xfId="0" applyNumberFormat="1" applyFont="1" applyBorder="1" applyAlignment="1">
      <alignment horizontal="center"/>
    </xf>
    <xf numFmtId="0" fontId="66" fillId="0" borderId="0" xfId="0" applyFont="1"/>
    <xf numFmtId="0" fontId="58" fillId="0" borderId="0" xfId="0" applyFont="1"/>
    <xf numFmtId="173" fontId="66" fillId="16" borderId="6" xfId="0" applyNumberFormat="1" applyFont="1" applyFill="1" applyBorder="1" applyAlignment="1">
      <alignment horizontal="center"/>
    </xf>
    <xf numFmtId="173" fontId="66" fillId="0" borderId="6" xfId="0" applyNumberFormat="1" applyFont="1" applyBorder="1" applyAlignment="1">
      <alignment horizontal="center"/>
    </xf>
    <xf numFmtId="0" fontId="67" fillId="0" borderId="0" xfId="0" applyFont="1" applyAlignment="1">
      <alignment vertical="center"/>
    </xf>
    <xf numFmtId="0" fontId="67" fillId="0" borderId="0" xfId="0" applyFont="1"/>
    <xf numFmtId="0" fontId="64" fillId="15" borderId="6" xfId="0" applyFont="1" applyFill="1" applyBorder="1" applyAlignment="1">
      <alignment wrapText="1"/>
    </xf>
    <xf numFmtId="4" fontId="13" fillId="0" borderId="0" xfId="17" applyNumberFormat="1"/>
    <xf numFmtId="2" fontId="15" fillId="0" borderId="0" xfId="0" applyNumberFormat="1" applyFont="1"/>
    <xf numFmtId="0" fontId="5" fillId="9" borderId="5" xfId="2" applyNumberFormat="1" applyFill="1" applyBorder="1" applyAlignment="1">
      <alignment vertical="center"/>
      <protection locked="0"/>
    </xf>
    <xf numFmtId="43" fontId="34" fillId="9" borderId="5" xfId="22" applyFont="1" applyFill="1" applyBorder="1" applyAlignment="1" applyProtection="1">
      <alignment vertical="center"/>
      <protection locked="0"/>
    </xf>
    <xf numFmtId="43" fontId="5" fillId="9" borderId="5" xfId="22" applyFont="1" applyFill="1" applyBorder="1" applyAlignment="1" applyProtection="1">
      <alignment vertical="center"/>
      <protection locked="0"/>
    </xf>
    <xf numFmtId="4" fontId="15" fillId="0" borderId="0" xfId="17" applyNumberFormat="1" applyFont="1"/>
    <xf numFmtId="4" fontId="0" fillId="0" borderId="0" xfId="17" applyNumberFormat="1" applyFont="1"/>
    <xf numFmtId="2" fontId="58" fillId="0" borderId="0" xfId="0" applyNumberFormat="1" applyFont="1"/>
    <xf numFmtId="0" fontId="28" fillId="0" borderId="0" xfId="14" applyFont="1"/>
    <xf numFmtId="0" fontId="22" fillId="0" borderId="2" xfId="10" applyFont="1"/>
    <xf numFmtId="0" fontId="63" fillId="0" borderId="0" xfId="0" applyFont="1"/>
    <xf numFmtId="0" fontId="5" fillId="0" borderId="0" xfId="3" applyNumberFormat="1" applyFill="1"/>
    <xf numFmtId="0" fontId="5" fillId="0" borderId="0" xfId="1" applyNumberFormat="1" applyFill="1"/>
    <xf numFmtId="164" fontId="5" fillId="0" borderId="0" xfId="3" applyNumberFormat="1" applyFill="1"/>
    <xf numFmtId="164" fontId="33" fillId="0" borderId="0" xfId="0" applyNumberFormat="1" applyFont="1"/>
    <xf numFmtId="4" fontId="0" fillId="0" borderId="0" xfId="22" applyNumberFormat="1" applyFont="1" applyFill="1"/>
    <xf numFmtId="4" fontId="15" fillId="0" borderId="0" xfId="0" applyNumberFormat="1" applyFont="1"/>
    <xf numFmtId="3" fontId="0" fillId="0" borderId="0" xfId="0" applyNumberFormat="1"/>
    <xf numFmtId="4" fontId="0" fillId="0" borderId="0" xfId="17" applyNumberFormat="1" applyFont="1" applyAlignment="1">
      <alignment wrapText="1"/>
    </xf>
    <xf numFmtId="0" fontId="0" fillId="0" borderId="0" xfId="17" applyFont="1" applyAlignment="1">
      <alignment wrapText="1"/>
    </xf>
    <xf numFmtId="0" fontId="5" fillId="0" borderId="0" xfId="19" applyFont="1"/>
    <xf numFmtId="0" fontId="57" fillId="0" borderId="0" xfId="19" applyFont="1"/>
    <xf numFmtId="0" fontId="28" fillId="0" borderId="0" xfId="19" applyFont="1"/>
    <xf numFmtId="0" fontId="22" fillId="0" borderId="0" xfId="5" applyFont="1" applyBorder="1" applyAlignment="1">
      <alignment wrapText="1"/>
    </xf>
    <xf numFmtId="0" fontId="21" fillId="3" borderId="6" xfId="17" applyFont="1" applyFill="1" applyBorder="1"/>
    <xf numFmtId="0" fontId="71" fillId="0" borderId="0" xfId="17" applyFont="1"/>
    <xf numFmtId="0" fontId="33" fillId="4" borderId="6" xfId="2" applyNumberFormat="1" applyFont="1" applyBorder="1" applyAlignment="1">
      <alignment horizontal="right" vertical="center"/>
      <protection locked="0"/>
    </xf>
    <xf numFmtId="0" fontId="33" fillId="10" borderId="6" xfId="2" applyNumberFormat="1" applyFont="1" applyFill="1" applyBorder="1" applyAlignment="1">
      <alignment horizontal="right" vertical="center"/>
      <protection locked="0"/>
    </xf>
    <xf numFmtId="4" fontId="0" fillId="0" borderId="0" xfId="22" applyNumberFormat="1" applyFont="1"/>
    <xf numFmtId="4" fontId="5" fillId="0" borderId="0" xfId="1" applyNumberFormat="1" applyFill="1"/>
    <xf numFmtId="0" fontId="0" fillId="0" borderId="0" xfId="0" applyAlignment="1">
      <alignment horizontal="center"/>
    </xf>
    <xf numFmtId="4" fontId="5" fillId="0" borderId="0" xfId="22" applyNumberFormat="1" applyFont="1" applyAlignment="1"/>
    <xf numFmtId="4" fontId="5" fillId="0" borderId="0" xfId="17" applyNumberFormat="1" applyFont="1"/>
    <xf numFmtId="4" fontId="5" fillId="0" borderId="0" xfId="22" applyNumberFormat="1" applyFont="1" applyAlignment="1">
      <alignment vertical="center"/>
    </xf>
    <xf numFmtId="4" fontId="5" fillId="0" borderId="0" xfId="22" applyNumberFormat="1" applyFont="1" applyFill="1" applyBorder="1" applyAlignment="1" applyProtection="1">
      <alignment vertical="center"/>
      <protection locked="0"/>
    </xf>
    <xf numFmtId="4" fontId="33" fillId="0" borderId="0" xfId="22" applyNumberFormat="1" applyFont="1" applyAlignment="1"/>
    <xf numFmtId="0" fontId="33" fillId="26" borderId="6" xfId="2" applyNumberFormat="1" applyFont="1" applyFill="1" applyBorder="1" applyAlignment="1">
      <alignment horizontal="right" vertical="center"/>
      <protection locked="0"/>
    </xf>
    <xf numFmtId="0" fontId="10" fillId="15" borderId="0" xfId="10" applyFont="1" applyFill="1" applyBorder="1" applyAlignment="1">
      <alignment vertical="center"/>
    </xf>
    <xf numFmtId="0" fontId="33" fillId="15" borderId="0" xfId="2" applyNumberFormat="1" applyFont="1" applyFill="1" applyBorder="1" applyAlignment="1">
      <alignment vertical="center"/>
      <protection locked="0"/>
    </xf>
    <xf numFmtId="4" fontId="52" fillId="15" borderId="0" xfId="22" applyNumberFormat="1" applyFont="1" applyFill="1" applyBorder="1" applyAlignment="1" applyProtection="1">
      <alignment vertical="center" wrapText="1"/>
      <protection locked="0"/>
    </xf>
    <xf numFmtId="43" fontId="52" fillId="15" borderId="0" xfId="22" applyFont="1" applyFill="1" applyBorder="1" applyAlignment="1" applyProtection="1">
      <alignment vertical="center"/>
      <protection locked="0"/>
    </xf>
    <xf numFmtId="43" fontId="33" fillId="15" borderId="0" xfId="22" applyFont="1" applyFill="1" applyBorder="1" applyAlignment="1" applyProtection="1">
      <alignment vertical="center"/>
      <protection locked="0"/>
    </xf>
    <xf numFmtId="43" fontId="33" fillId="15" borderId="0" xfId="22" applyFont="1" applyFill="1" applyBorder="1" applyAlignment="1" applyProtection="1">
      <alignment vertical="center" wrapText="1"/>
      <protection locked="0"/>
    </xf>
    <xf numFmtId="43" fontId="33" fillId="15" borderId="0" xfId="22" applyFont="1" applyFill="1" applyAlignment="1" applyProtection="1">
      <alignment vertical="center" wrapText="1"/>
      <protection locked="0"/>
    </xf>
    <xf numFmtId="0" fontId="15" fillId="15" borderId="0" xfId="17" applyFont="1" applyFill="1"/>
    <xf numFmtId="4" fontId="15" fillId="15" borderId="6" xfId="17" applyNumberFormat="1" applyFont="1" applyFill="1" applyBorder="1" applyAlignment="1">
      <alignment wrapText="1"/>
    </xf>
    <xf numFmtId="0" fontId="5" fillId="15" borderId="0" xfId="2" applyNumberFormat="1" applyFill="1" applyBorder="1" applyAlignment="1">
      <alignment vertical="center"/>
      <protection locked="0"/>
    </xf>
    <xf numFmtId="43" fontId="5" fillId="15" borderId="0" xfId="22" applyFont="1" applyFill="1" applyBorder="1" applyAlignment="1" applyProtection="1">
      <alignment vertical="center"/>
      <protection locked="0"/>
    </xf>
    <xf numFmtId="43" fontId="5" fillId="15" borderId="0" xfId="22" applyFont="1" applyFill="1" applyBorder="1" applyAlignment="1" applyProtection="1">
      <alignment vertical="center" wrapText="1"/>
      <protection locked="0"/>
    </xf>
    <xf numFmtId="178" fontId="34" fillId="15" borderId="0" xfId="22" applyNumberFormat="1" applyFont="1" applyFill="1" applyBorder="1" applyAlignment="1" applyProtection="1">
      <alignment vertical="center" wrapText="1"/>
      <protection locked="0"/>
    </xf>
    <xf numFmtId="0" fontId="13" fillId="15" borderId="0" xfId="17" applyFill="1"/>
    <xf numFmtId="0" fontId="33" fillId="15" borderId="0" xfId="17" applyFont="1" applyFill="1" applyAlignment="1">
      <alignment vertical="center" wrapText="1"/>
    </xf>
    <xf numFmtId="43" fontId="33" fillId="15" borderId="0" xfId="22" applyFont="1" applyFill="1" applyAlignment="1">
      <alignment vertical="center" wrapText="1"/>
    </xf>
    <xf numFmtId="43" fontId="15" fillId="15" borderId="0" xfId="22" applyFont="1" applyFill="1" applyAlignment="1">
      <alignment vertical="center" wrapText="1"/>
    </xf>
    <xf numFmtId="0" fontId="15" fillId="15" borderId="0" xfId="0" applyFont="1" applyFill="1"/>
    <xf numFmtId="0" fontId="15" fillId="15" borderId="0" xfId="17" applyFont="1" applyFill="1" applyAlignment="1">
      <alignment vertical="center" wrapText="1"/>
    </xf>
    <xf numFmtId="173" fontId="74" fillId="3" borderId="6" xfId="0" applyNumberFormat="1" applyFont="1" applyFill="1" applyBorder="1" applyAlignment="1">
      <alignment horizontal="center" vertical="center"/>
    </xf>
    <xf numFmtId="4" fontId="5" fillId="0" borderId="6" xfId="0" applyNumberFormat="1" applyFont="1" applyBorder="1" applyAlignment="1">
      <alignment horizontal="center"/>
    </xf>
    <xf numFmtId="0" fontId="28" fillId="0" borderId="6" xfId="0" applyFont="1" applyBorder="1"/>
    <xf numFmtId="0" fontId="5" fillId="0" borderId="6" xfId="0" applyFont="1" applyBorder="1"/>
    <xf numFmtId="2" fontId="5" fillId="10" borderId="6" xfId="0" applyNumberFormat="1" applyFont="1" applyFill="1" applyBorder="1" applyAlignment="1">
      <alignment horizontal="center"/>
    </xf>
    <xf numFmtId="4" fontId="0" fillId="10" borderId="6" xfId="0" applyNumberFormat="1" applyFill="1" applyBorder="1" applyAlignment="1">
      <alignment horizontal="center" vertical="center"/>
    </xf>
    <xf numFmtId="4" fontId="15" fillId="15" borderId="6" xfId="17" applyNumberFormat="1" applyFont="1" applyFill="1" applyBorder="1"/>
    <xf numFmtId="4" fontId="15" fillId="27" borderId="6" xfId="17" applyNumberFormat="1" applyFont="1" applyFill="1" applyBorder="1" applyAlignment="1">
      <alignment wrapText="1"/>
    </xf>
    <xf numFmtId="43" fontId="0" fillId="0" borderId="0" xfId="0" applyNumberFormat="1"/>
    <xf numFmtId="0" fontId="76" fillId="3" borderId="9" xfId="0" applyFont="1" applyFill="1" applyBorder="1" applyAlignment="1">
      <alignment horizontal="center" wrapText="1"/>
    </xf>
    <xf numFmtId="0" fontId="76" fillId="3" borderId="6" xfId="0" applyFont="1" applyFill="1" applyBorder="1" applyAlignment="1">
      <alignment horizontal="center" wrapText="1"/>
    </xf>
    <xf numFmtId="0" fontId="10" fillId="0" borderId="1" xfId="5"/>
    <xf numFmtId="0" fontId="9" fillId="0" borderId="2" xfId="10"/>
    <xf numFmtId="0" fontId="0" fillId="0" borderId="0" xfId="0" applyAlignment="1">
      <alignment horizontal="left"/>
    </xf>
    <xf numFmtId="0" fontId="5" fillId="26" borderId="5" xfId="2" applyNumberFormat="1" applyFill="1" applyBorder="1" applyAlignment="1">
      <alignment vertical="center"/>
      <protection locked="0"/>
    </xf>
    <xf numFmtId="0" fontId="5" fillId="26" borderId="22" xfId="2" applyNumberFormat="1" applyFill="1" applyBorder="1" applyAlignment="1">
      <alignment vertical="center"/>
      <protection locked="0"/>
    </xf>
    <xf numFmtId="0" fontId="5" fillId="26" borderId="6" xfId="2" applyNumberFormat="1" applyFill="1" applyBorder="1" applyAlignment="1">
      <alignment vertical="center"/>
      <protection locked="0"/>
    </xf>
    <xf numFmtId="0" fontId="80" fillId="11" borderId="6" xfId="26" applyFont="1" applyFill="1" applyBorder="1" applyAlignment="1"/>
    <xf numFmtId="0" fontId="80" fillId="11" borderId="6" xfId="26" applyFont="1" applyFill="1" applyBorder="1"/>
    <xf numFmtId="0" fontId="34" fillId="4" borderId="5" xfId="2" applyNumberFormat="1" applyFont="1" applyBorder="1" applyAlignment="1">
      <alignment vertical="center"/>
      <protection locked="0"/>
    </xf>
    <xf numFmtId="0" fontId="82" fillId="9" borderId="5" xfId="2" applyNumberFormat="1" applyFont="1" applyFill="1" applyBorder="1" applyAlignment="1">
      <alignment vertical="center"/>
      <protection locked="0"/>
    </xf>
    <xf numFmtId="0" fontId="52" fillId="4" borderId="5" xfId="2" applyNumberFormat="1" applyFont="1" applyBorder="1" applyAlignment="1">
      <alignment vertical="center"/>
      <protection locked="0"/>
    </xf>
    <xf numFmtId="0" fontId="52" fillId="4" borderId="22" xfId="2" applyNumberFormat="1" applyFont="1" applyBorder="1" applyAlignment="1">
      <alignment vertical="center"/>
      <protection locked="0"/>
    </xf>
    <xf numFmtId="0" fontId="51" fillId="0" borderId="0" xfId="17" applyFont="1"/>
    <xf numFmtId="0" fontId="75" fillId="15" borderId="0" xfId="0" applyFont="1" applyFill="1"/>
    <xf numFmtId="0" fontId="0" fillId="9" borderId="0" xfId="0" applyFill="1"/>
    <xf numFmtId="0" fontId="56" fillId="9" borderId="0" xfId="0" applyFont="1" applyFill="1" applyAlignment="1">
      <alignment vertical="top"/>
    </xf>
    <xf numFmtId="0" fontId="15" fillId="9" borderId="0" xfId="0" applyFont="1" applyFill="1" applyAlignment="1">
      <alignment vertical="top"/>
    </xf>
    <xf numFmtId="0" fontId="36" fillId="9" borderId="0" xfId="0" applyFont="1" applyFill="1" applyAlignment="1">
      <alignment horizontal="left" vertical="top" wrapText="1"/>
    </xf>
    <xf numFmtId="0" fontId="37" fillId="9" borderId="0" xfId="0" applyFont="1" applyFill="1"/>
    <xf numFmtId="177" fontId="0" fillId="9" borderId="0" xfId="0" quotePrefix="1" applyNumberFormat="1" applyFill="1" applyAlignment="1">
      <alignment horizontal="left"/>
    </xf>
    <xf numFmtId="0" fontId="64" fillId="15" borderId="11" xfId="0" applyFont="1" applyFill="1" applyBorder="1"/>
    <xf numFmtId="0" fontId="37" fillId="15" borderId="12" xfId="0" applyFont="1" applyFill="1" applyBorder="1"/>
    <xf numFmtId="177" fontId="0" fillId="15" borderId="13" xfId="0" quotePrefix="1" applyNumberFormat="1" applyFill="1" applyBorder="1" applyAlignment="1">
      <alignment horizontal="left"/>
    </xf>
    <xf numFmtId="0" fontId="33" fillId="9" borderId="14" xfId="2" applyNumberFormat="1" applyFont="1" applyFill="1" applyBorder="1" applyAlignment="1" applyProtection="1">
      <alignment vertical="center"/>
    </xf>
    <xf numFmtId="0" fontId="33" fillId="9" borderId="17" xfId="2" applyNumberFormat="1" applyFont="1" applyFill="1" applyBorder="1" applyAlignment="1" applyProtection="1">
      <alignment vertical="center"/>
    </xf>
    <xf numFmtId="0" fontId="0" fillId="0" borderId="0" xfId="0" applyAlignment="1">
      <alignment horizontal="right" vertical="center"/>
    </xf>
    <xf numFmtId="0" fontId="33" fillId="9" borderId="0" xfId="2" applyNumberFormat="1" applyFont="1" applyFill="1" applyBorder="1" applyAlignment="1" applyProtection="1">
      <alignment vertical="center"/>
    </xf>
    <xf numFmtId="0" fontId="64" fillId="15" borderId="11" xfId="0" applyFont="1" applyFill="1" applyBorder="1" applyAlignment="1">
      <alignment horizontal="left"/>
    </xf>
    <xf numFmtId="0" fontId="0" fillId="15" borderId="12" xfId="0" applyFill="1" applyBorder="1" applyAlignment="1">
      <alignment horizontal="left"/>
    </xf>
    <xf numFmtId="0" fontId="33" fillId="15" borderId="13" xfId="2" applyNumberFormat="1" applyFont="1" applyFill="1" applyBorder="1" applyAlignment="1" applyProtection="1">
      <alignment vertical="center"/>
    </xf>
    <xf numFmtId="0" fontId="33" fillId="9" borderId="0" xfId="2" applyNumberFormat="1" applyFont="1" applyFill="1" applyBorder="1" applyAlignment="1" applyProtection="1">
      <alignment horizontal="right" vertical="center"/>
    </xf>
    <xf numFmtId="0" fontId="33" fillId="15" borderId="9" xfId="2" applyNumberFormat="1" applyFont="1" applyFill="1" applyBorder="1" applyAlignment="1" applyProtection="1">
      <alignment horizontal="right" vertical="center"/>
    </xf>
    <xf numFmtId="0" fontId="15" fillId="9" borderId="0" xfId="0" applyFont="1" applyFill="1" applyAlignment="1">
      <alignment horizontal="right" vertical="center"/>
    </xf>
    <xf numFmtId="0" fontId="64" fillId="15" borderId="11" xfId="0" applyFont="1" applyFill="1" applyBorder="1" applyAlignment="1">
      <alignment horizontal="left" vertical="top"/>
    </xf>
    <xf numFmtId="0" fontId="0" fillId="15" borderId="12" xfId="0" applyFill="1" applyBorder="1" applyAlignment="1">
      <alignment horizontal="left" vertical="top"/>
    </xf>
    <xf numFmtId="0" fontId="15" fillId="15" borderId="13" xfId="0" applyFont="1" applyFill="1" applyBorder="1" applyAlignment="1">
      <alignment horizontal="left" vertical="top"/>
    </xf>
    <xf numFmtId="0" fontId="0" fillId="9" borderId="0" xfId="0" applyFill="1" applyAlignment="1">
      <alignment horizontal="right" vertical="center" wrapText="1"/>
    </xf>
    <xf numFmtId="0" fontId="33" fillId="9" borderId="0" xfId="2" applyNumberFormat="1" applyFont="1" applyFill="1" applyAlignment="1" applyProtection="1">
      <alignment vertical="center"/>
    </xf>
    <xf numFmtId="0" fontId="36" fillId="15" borderId="12" xfId="0" applyFont="1" applyFill="1" applyBorder="1" applyAlignment="1">
      <alignment horizontal="left" vertical="top"/>
    </xf>
    <xf numFmtId="0" fontId="15" fillId="15" borderId="12" xfId="0" applyFont="1" applyFill="1" applyBorder="1" applyAlignment="1">
      <alignment horizontal="right" vertical="center"/>
    </xf>
    <xf numFmtId="0" fontId="0" fillId="9" borderId="7" xfId="0" applyFill="1" applyBorder="1" applyAlignment="1">
      <alignment horizontal="left" vertical="top"/>
    </xf>
    <xf numFmtId="0" fontId="15" fillId="0" borderId="14" xfId="0" applyFont="1" applyBorder="1" applyAlignment="1">
      <alignment horizontal="left" vertical="top"/>
    </xf>
    <xf numFmtId="0" fontId="8" fillId="9" borderId="0" xfId="0" applyFont="1" applyFill="1" applyAlignment="1">
      <alignment vertical="center" wrapText="1"/>
    </xf>
    <xf numFmtId="0" fontId="0" fillId="9" borderId="7" xfId="0" applyFill="1" applyBorder="1"/>
    <xf numFmtId="0" fontId="48" fillId="9" borderId="0" xfId="0" applyFont="1" applyFill="1"/>
    <xf numFmtId="0" fontId="0" fillId="9" borderId="0" xfId="0" applyFill="1" applyAlignment="1">
      <alignment horizontal="right" vertical="center"/>
    </xf>
    <xf numFmtId="0" fontId="0" fillId="15" borderId="12" xfId="0" applyFill="1" applyBorder="1" applyAlignment="1">
      <alignment horizontal="right" vertical="center"/>
    </xf>
    <xf numFmtId="0" fontId="0" fillId="15" borderId="13" xfId="0" applyFill="1" applyBorder="1"/>
    <xf numFmtId="0" fontId="8" fillId="9" borderId="0" xfId="0" applyFont="1" applyFill="1" applyAlignment="1">
      <alignment horizontal="center" vertical="center" wrapText="1"/>
    </xf>
    <xf numFmtId="0" fontId="48" fillId="9" borderId="16" xfId="0" applyFont="1" applyFill="1" applyBorder="1" applyAlignment="1">
      <alignment horizontal="left" vertical="top" wrapText="1"/>
    </xf>
    <xf numFmtId="0" fontId="33" fillId="9" borderId="20" xfId="2" applyNumberFormat="1" applyFont="1" applyFill="1" applyBorder="1" applyAlignment="1" applyProtection="1">
      <alignment vertical="center"/>
    </xf>
    <xf numFmtId="0" fontId="15" fillId="9" borderId="0" xfId="0" applyFont="1" applyFill="1" applyAlignment="1">
      <alignment horizontal="left"/>
    </xf>
    <xf numFmtId="0" fontId="15" fillId="15" borderId="13" xfId="0" applyFont="1" applyFill="1" applyBorder="1" applyAlignment="1">
      <alignment horizontal="left"/>
    </xf>
    <xf numFmtId="0" fontId="15" fillId="9" borderId="14" xfId="0" applyFont="1" applyFill="1" applyBorder="1" applyAlignment="1">
      <alignment horizontal="left"/>
    </xf>
    <xf numFmtId="0" fontId="0" fillId="9" borderId="7" xfId="0" applyFill="1" applyBorder="1" applyAlignment="1">
      <alignment horizontal="left"/>
    </xf>
    <xf numFmtId="0" fontId="33" fillId="15" borderId="12" xfId="2" applyNumberFormat="1" applyFont="1" applyFill="1" applyBorder="1" applyAlignment="1" applyProtection="1">
      <alignment horizontal="right" vertical="center"/>
    </xf>
    <xf numFmtId="0" fontId="15" fillId="9" borderId="0" xfId="0" applyFont="1" applyFill="1" applyAlignment="1">
      <alignment horizontal="left" vertical="top" wrapText="1"/>
    </xf>
    <xf numFmtId="0" fontId="72" fillId="9" borderId="0" xfId="0" applyFont="1" applyFill="1" applyAlignment="1">
      <alignment vertical="top"/>
    </xf>
    <xf numFmtId="0" fontId="58" fillId="9" borderId="0" xfId="0" applyFont="1" applyFill="1"/>
    <xf numFmtId="0" fontId="58" fillId="9" borderId="0" xfId="0" applyFont="1" applyFill="1" applyAlignment="1">
      <alignment vertical="top" wrapText="1"/>
    </xf>
    <xf numFmtId="0" fontId="33" fillId="26" borderId="18" xfId="2" applyNumberFormat="1" applyFont="1" applyFill="1" applyBorder="1" applyAlignment="1">
      <alignment horizontal="right" vertical="center"/>
      <protection locked="0"/>
    </xf>
    <xf numFmtId="9" fontId="33" fillId="4" borderId="6" xfId="2" applyNumberFormat="1" applyFont="1" applyBorder="1" applyAlignment="1">
      <alignment horizontal="right" vertical="center"/>
      <protection locked="0"/>
    </xf>
    <xf numFmtId="4" fontId="33" fillId="4" borderId="19" xfId="2" applyNumberFormat="1" applyFont="1" applyBorder="1" applyAlignment="1">
      <alignment horizontal="right" vertical="center"/>
      <protection locked="0"/>
    </xf>
    <xf numFmtId="180" fontId="33" fillId="4" borderId="6" xfId="2" applyNumberFormat="1" applyFont="1" applyBorder="1" applyAlignment="1">
      <alignment horizontal="right" vertical="center"/>
      <protection locked="0"/>
    </xf>
    <xf numFmtId="180" fontId="33" fillId="26" borderId="18" xfId="2" applyNumberFormat="1" applyFont="1" applyFill="1" applyBorder="1" applyAlignment="1">
      <alignment horizontal="right" vertical="center"/>
      <protection locked="0"/>
    </xf>
    <xf numFmtId="180" fontId="33" fillId="4" borderId="18" xfId="2" applyNumberFormat="1" applyFont="1" applyBorder="1" applyAlignment="1">
      <alignment horizontal="right" vertical="center"/>
      <protection locked="0"/>
    </xf>
    <xf numFmtId="4" fontId="5" fillId="10" borderId="5" xfId="22" applyNumberFormat="1" applyFont="1" applyFill="1" applyBorder="1" applyAlignment="1" applyProtection="1">
      <alignment vertical="center" wrapText="1"/>
    </xf>
    <xf numFmtId="4" fontId="5" fillId="10" borderId="22" xfId="22" applyNumberFormat="1" applyFont="1" applyFill="1" applyBorder="1" applyAlignment="1" applyProtection="1">
      <alignment vertical="center" wrapText="1"/>
    </xf>
    <xf numFmtId="179" fontId="5" fillId="10" borderId="5" xfId="2" applyNumberFormat="1" applyFill="1" applyBorder="1" applyAlignment="1" applyProtection="1">
      <alignment horizontal="center" vertical="center"/>
    </xf>
    <xf numFmtId="9" fontId="5" fillId="10" borderId="5" xfId="23" applyFont="1" applyFill="1" applyBorder="1" applyAlignment="1" applyProtection="1">
      <alignment horizontal="center" vertical="center"/>
    </xf>
    <xf numFmtId="9" fontId="5" fillId="10" borderId="5" xfId="2" applyNumberFormat="1" applyFill="1" applyBorder="1" applyAlignment="1" applyProtection="1">
      <alignment horizontal="center" vertical="center"/>
    </xf>
    <xf numFmtId="43" fontId="5" fillId="4" borderId="5" xfId="22" applyFont="1" applyFill="1" applyBorder="1" applyAlignment="1" applyProtection="1">
      <alignment vertical="center"/>
    </xf>
    <xf numFmtId="43" fontId="0" fillId="0" borderId="0" xfId="22" applyFont="1"/>
    <xf numFmtId="178" fontId="34" fillId="15" borderId="0" xfId="22" applyNumberFormat="1" applyFont="1" applyFill="1" applyAlignment="1" applyProtection="1">
      <alignment vertical="center" wrapText="1"/>
      <protection locked="0"/>
    </xf>
    <xf numFmtId="43" fontId="5" fillId="15" borderId="0" xfId="22" applyFont="1" applyFill="1" applyAlignment="1" applyProtection="1">
      <alignment vertical="center" wrapText="1"/>
      <protection locked="0"/>
    </xf>
    <xf numFmtId="43" fontId="5" fillId="15" borderId="0" xfId="22" applyFont="1" applyFill="1" applyAlignment="1" applyProtection="1">
      <alignment vertical="center"/>
      <protection locked="0"/>
    </xf>
    <xf numFmtId="0" fontId="5" fillId="15" borderId="0" xfId="2" applyNumberFormat="1" applyFill="1" applyAlignment="1">
      <alignment vertical="center"/>
      <protection locked="0"/>
    </xf>
    <xf numFmtId="43" fontId="33" fillId="0" borderId="0" xfId="22" applyFont="1" applyAlignment="1" applyProtection="1">
      <alignment vertical="center"/>
      <protection locked="0"/>
    </xf>
    <xf numFmtId="4" fontId="5" fillId="0" borderId="0" xfId="22" applyNumberFormat="1" applyFont="1" applyAlignment="1" applyProtection="1">
      <alignment vertical="center" wrapText="1"/>
      <protection locked="0"/>
    </xf>
    <xf numFmtId="178" fontId="34" fillId="0" borderId="0" xfId="22" applyNumberFormat="1" applyFont="1" applyAlignment="1" applyProtection="1">
      <alignment vertical="center" wrapText="1"/>
      <protection locked="0"/>
    </xf>
    <xf numFmtId="43" fontId="0" fillId="0" borderId="0" xfId="17" applyNumberFormat="1" applyFont="1"/>
    <xf numFmtId="43" fontId="33" fillId="15" borderId="0" xfId="22" applyFont="1" applyFill="1" applyAlignment="1" applyProtection="1">
      <alignment vertical="center"/>
      <protection locked="0"/>
    </xf>
    <xf numFmtId="43" fontId="52" fillId="15" borderId="0" xfId="22" applyFont="1" applyFill="1" applyAlignment="1" applyProtection="1">
      <alignment vertical="center"/>
      <protection locked="0"/>
    </xf>
    <xf numFmtId="0" fontId="33" fillId="15" borderId="0" xfId="2" applyNumberFormat="1" applyFont="1" applyFill="1" applyAlignment="1">
      <alignment vertical="center"/>
      <protection locked="0"/>
    </xf>
    <xf numFmtId="43" fontId="5" fillId="0" borderId="0" xfId="22" applyFont="1" applyAlignment="1" applyProtection="1">
      <alignment vertical="center" wrapText="1"/>
      <protection locked="0"/>
    </xf>
    <xf numFmtId="43" fontId="34" fillId="0" borderId="0" xfId="22" applyFont="1" applyAlignment="1" applyProtection="1">
      <alignment vertical="center"/>
      <protection locked="0"/>
    </xf>
    <xf numFmtId="0" fontId="5" fillId="0" borderId="0" xfId="2" applyNumberFormat="1" applyFill="1" applyAlignment="1">
      <alignment vertical="center"/>
      <protection locked="0"/>
    </xf>
    <xf numFmtId="4" fontId="5" fillId="10" borderId="5" xfId="22" applyNumberFormat="1" applyFont="1" applyFill="1" applyBorder="1" applyAlignment="1" applyProtection="1">
      <alignment vertical="center"/>
    </xf>
    <xf numFmtId="4" fontId="5" fillId="10" borderId="22" xfId="22" applyNumberFormat="1" applyFont="1" applyFill="1" applyBorder="1" applyAlignment="1" applyProtection="1">
      <alignment vertical="center"/>
    </xf>
    <xf numFmtId="0" fontId="5" fillId="0" borderId="6" xfId="26" applyFont="1" applyFill="1" applyBorder="1" applyAlignment="1">
      <alignment vertical="center"/>
    </xf>
    <xf numFmtId="174" fontId="33" fillId="4" borderId="6" xfId="2" applyNumberFormat="1" applyFont="1" applyBorder="1" applyAlignment="1">
      <alignment horizontal="right" vertical="center"/>
      <protection locked="0"/>
    </xf>
    <xf numFmtId="0" fontId="38" fillId="15" borderId="6" xfId="26" applyFill="1" applyBorder="1" applyAlignment="1"/>
    <xf numFmtId="0" fontId="0" fillId="0" borderId="16" xfId="0" applyBorder="1"/>
    <xf numFmtId="0" fontId="0" fillId="0" borderId="17" xfId="0" applyBorder="1"/>
    <xf numFmtId="0" fontId="15" fillId="0" borderId="0" xfId="0" applyFont="1" applyAlignment="1">
      <alignment horizontal="right"/>
    </xf>
    <xf numFmtId="0" fontId="0" fillId="0" borderId="6" xfId="0" applyBorder="1" applyAlignment="1">
      <alignment horizontal="center"/>
    </xf>
    <xf numFmtId="0" fontId="0" fillId="0" borderId="8" xfId="0" applyBorder="1" applyAlignment="1">
      <alignment horizontal="center"/>
    </xf>
    <xf numFmtId="0" fontId="76" fillId="3" borderId="18" xfId="0" applyFont="1" applyFill="1" applyBorder="1" applyAlignment="1">
      <alignment horizontal="center" wrapText="1"/>
    </xf>
    <xf numFmtId="0" fontId="76" fillId="3" borderId="12" xfId="0" applyFont="1" applyFill="1" applyBorder="1" applyAlignment="1">
      <alignment horizontal="center" wrapText="1"/>
    </xf>
    <xf numFmtId="173" fontId="0" fillId="0" borderId="0" xfId="0" applyNumberFormat="1"/>
    <xf numFmtId="0" fontId="0" fillId="15" borderId="0" xfId="0" applyFill="1"/>
    <xf numFmtId="9" fontId="15" fillId="15" borderId="0" xfId="0" applyNumberFormat="1" applyFont="1" applyFill="1" applyAlignment="1">
      <alignment horizontal="center"/>
    </xf>
    <xf numFmtId="0" fontId="15" fillId="27" borderId="0" xfId="0" applyFont="1" applyFill="1"/>
    <xf numFmtId="0" fontId="0" fillId="27" borderId="0" xfId="0" applyFill="1"/>
    <xf numFmtId="0" fontId="34" fillId="27" borderId="0" xfId="0" applyFont="1" applyFill="1"/>
    <xf numFmtId="0" fontId="23" fillId="15" borderId="0" xfId="28" applyFont="1" applyFill="1"/>
    <xf numFmtId="1" fontId="0" fillId="15" borderId="0" xfId="0" applyNumberFormat="1" applyFill="1"/>
    <xf numFmtId="164" fontId="0" fillId="15" borderId="0" xfId="0" applyNumberFormat="1" applyFill="1"/>
    <xf numFmtId="0" fontId="27" fillId="3" borderId="6" xfId="0" applyFont="1" applyFill="1" applyBorder="1" applyAlignment="1">
      <alignment horizontal="center"/>
    </xf>
    <xf numFmtId="0" fontId="27" fillId="3" borderId="6" xfId="67" applyFont="1" applyFill="1" applyBorder="1"/>
    <xf numFmtId="0" fontId="46" fillId="3" borderId="6" xfId="0" applyFont="1" applyFill="1" applyBorder="1"/>
    <xf numFmtId="0" fontId="27" fillId="3" borderId="19" xfId="0" applyFont="1" applyFill="1" applyBorder="1" applyAlignment="1">
      <alignment horizontal="center"/>
    </xf>
    <xf numFmtId="0" fontId="76" fillId="3" borderId="19" xfId="0" applyFont="1" applyFill="1" applyBorder="1" applyAlignment="1">
      <alignment horizontal="center" wrapText="1"/>
    </xf>
    <xf numFmtId="0" fontId="76" fillId="3" borderId="16" xfId="0" applyFont="1" applyFill="1" applyBorder="1" applyAlignment="1">
      <alignment horizontal="center" wrapText="1"/>
    </xf>
    <xf numFmtId="2" fontId="50" fillId="0" borderId="6" xfId="0" applyNumberFormat="1" applyFont="1" applyBorder="1" applyAlignment="1">
      <alignment horizontal="center"/>
    </xf>
    <xf numFmtId="0" fontId="85" fillId="0" borderId="6" xfId="0" applyFont="1" applyBorder="1"/>
    <xf numFmtId="0" fontId="33" fillId="0" borderId="0" xfId="0" applyFont="1" applyAlignment="1">
      <alignment horizontal="right"/>
    </xf>
    <xf numFmtId="4" fontId="15" fillId="0" borderId="0" xfId="22" applyNumberFormat="1" applyFont="1" applyAlignment="1">
      <alignment horizontal="right"/>
    </xf>
    <xf numFmtId="0" fontId="86" fillId="28" borderId="6" xfId="26" applyFont="1" applyFill="1" applyBorder="1"/>
    <xf numFmtId="0" fontId="80" fillId="0" borderId="0" xfId="26" applyFont="1" applyFill="1" applyBorder="1" applyAlignment="1"/>
    <xf numFmtId="0" fontId="80" fillId="0" borderId="0" xfId="26" applyFont="1" applyFill="1"/>
    <xf numFmtId="0" fontId="38" fillId="26" borderId="6" xfId="26" applyFill="1" applyBorder="1"/>
    <xf numFmtId="0" fontId="4" fillId="0" borderId="0" xfId="13" applyProtection="1">
      <protection locked="0"/>
    </xf>
    <xf numFmtId="0" fontId="87" fillId="0" borderId="0" xfId="13" applyFont="1"/>
    <xf numFmtId="4" fontId="34" fillId="4" borderId="5" xfId="22" applyNumberFormat="1" applyFont="1" applyFill="1" applyBorder="1" applyAlignment="1" applyProtection="1">
      <alignment vertical="center" wrapText="1"/>
      <protection locked="0"/>
    </xf>
    <xf numFmtId="4" fontId="10" fillId="15" borderId="0" xfId="10" applyNumberFormat="1" applyFont="1" applyFill="1" applyBorder="1" applyAlignment="1">
      <alignment vertical="center"/>
    </xf>
    <xf numFmtId="4" fontId="5" fillId="4" borderId="5" xfId="22" applyNumberFormat="1" applyFont="1" applyFill="1" applyBorder="1" applyAlignment="1" applyProtection="1">
      <alignment vertical="center" wrapText="1"/>
      <protection locked="0"/>
    </xf>
    <xf numFmtId="4" fontId="34" fillId="4" borderId="21" xfId="22" applyNumberFormat="1" applyFont="1" applyFill="1" applyBorder="1" applyAlignment="1" applyProtection="1">
      <alignment vertical="center" wrapText="1"/>
      <protection locked="0"/>
    </xf>
    <xf numFmtId="4" fontId="5" fillId="4" borderId="21" xfId="22" applyNumberFormat="1" applyFont="1" applyFill="1" applyBorder="1" applyAlignment="1" applyProtection="1">
      <alignment vertical="center"/>
      <protection locked="0"/>
    </xf>
    <xf numFmtId="4" fontId="34" fillId="15" borderId="0" xfId="22" applyNumberFormat="1" applyFont="1" applyFill="1" applyBorder="1" applyAlignment="1" applyProtection="1">
      <alignment vertical="center" wrapText="1"/>
      <protection locked="0"/>
    </xf>
    <xf numFmtId="4" fontId="5" fillId="4" borderId="5" xfId="22" applyNumberFormat="1" applyFont="1" applyFill="1" applyBorder="1" applyAlignment="1" applyProtection="1">
      <alignment vertical="center"/>
      <protection locked="0"/>
    </xf>
    <xf numFmtId="4" fontId="33" fillId="15" borderId="0" xfId="22" applyNumberFormat="1" applyFont="1" applyFill="1" applyAlignment="1">
      <alignment vertical="center" wrapText="1"/>
    </xf>
    <xf numFmtId="4" fontId="5" fillId="4" borderId="22" xfId="22" applyNumberFormat="1" applyFont="1" applyFill="1" applyBorder="1" applyAlignment="1" applyProtection="1">
      <alignment vertical="center" wrapText="1"/>
      <protection locked="0"/>
    </xf>
    <xf numFmtId="0" fontId="34" fillId="0" borderId="0" xfId="0" applyFont="1" applyAlignment="1">
      <alignment horizontal="right"/>
    </xf>
    <xf numFmtId="0" fontId="88" fillId="0" borderId="0" xfId="26" applyFont="1" applyAlignment="1" applyProtection="1">
      <alignment horizontal="right" wrapText="1"/>
    </xf>
    <xf numFmtId="9" fontId="34" fillId="0" borderId="0" xfId="0" applyNumberFormat="1" applyFont="1" applyAlignment="1">
      <alignment horizontal="right"/>
    </xf>
    <xf numFmtId="0" fontId="88" fillId="0" borderId="0" xfId="26" applyFont="1" applyAlignment="1" applyProtection="1">
      <alignment horizontal="right"/>
    </xf>
    <xf numFmtId="0" fontId="40" fillId="10" borderId="6" xfId="26" applyFont="1" applyFill="1" applyBorder="1" applyAlignment="1">
      <alignment vertical="center"/>
    </xf>
    <xf numFmtId="173" fontId="15" fillId="10" borderId="6" xfId="0" applyNumberFormat="1" applyFont="1" applyFill="1" applyBorder="1" applyAlignment="1">
      <alignment horizontal="center" vertical="center"/>
    </xf>
    <xf numFmtId="9" fontId="5" fillId="10" borderId="6" xfId="23" applyFont="1" applyFill="1" applyBorder="1" applyAlignment="1">
      <alignment horizontal="center" vertical="center"/>
    </xf>
    <xf numFmtId="0" fontId="0" fillId="9" borderId="0" xfId="0" applyFill="1" applyAlignment="1">
      <alignment horizontal="left"/>
    </xf>
    <xf numFmtId="9" fontId="0" fillId="10" borderId="6" xfId="23" applyFont="1" applyFill="1" applyBorder="1" applyAlignment="1">
      <alignment horizontal="center" vertical="center"/>
    </xf>
    <xf numFmtId="43" fontId="34" fillId="4" borderId="21" xfId="22" applyFont="1" applyFill="1" applyBorder="1" applyAlignment="1" applyProtection="1">
      <alignment vertical="center"/>
      <protection locked="0"/>
    </xf>
    <xf numFmtId="0" fontId="0" fillId="9" borderId="7" xfId="0" applyFill="1" applyBorder="1" applyAlignment="1">
      <alignment vertical="top"/>
    </xf>
    <xf numFmtId="0" fontId="0" fillId="0" borderId="0" xfId="0" applyAlignment="1">
      <alignment horizontal="left" wrapText="1"/>
    </xf>
    <xf numFmtId="0" fontId="48" fillId="9" borderId="0" xfId="0" applyFont="1" applyFill="1" applyAlignment="1">
      <alignment vertical="top"/>
    </xf>
    <xf numFmtId="0" fontId="58" fillId="9" borderId="0" xfId="0" applyFont="1" applyFill="1" applyAlignment="1">
      <alignment wrapText="1"/>
    </xf>
    <xf numFmtId="171" fontId="0" fillId="0" borderId="0" xfId="0" applyNumberFormat="1"/>
    <xf numFmtId="43" fontId="10" fillId="15" borderId="0" xfId="10" applyNumberFormat="1" applyFont="1" applyFill="1" applyBorder="1" applyAlignment="1">
      <alignment vertical="center"/>
    </xf>
    <xf numFmtId="0" fontId="15" fillId="9" borderId="0" xfId="0" applyFont="1" applyFill="1"/>
    <xf numFmtId="0" fontId="0" fillId="4" borderId="6" xfId="0" applyFill="1" applyBorder="1"/>
    <xf numFmtId="0" fontId="5" fillId="9" borderId="7" xfId="2" applyNumberFormat="1" applyFill="1" applyBorder="1" applyAlignment="1" applyProtection="1">
      <alignment vertical="center"/>
    </xf>
    <xf numFmtId="9" fontId="0" fillId="4" borderId="8" xfId="0" applyNumberFormat="1" applyFill="1" applyBorder="1"/>
    <xf numFmtId="0" fontId="0" fillId="26" borderId="6" xfId="0" applyFill="1" applyBorder="1"/>
    <xf numFmtId="0" fontId="15" fillId="9" borderId="0" xfId="0" applyFont="1" applyFill="1" applyAlignment="1">
      <alignment horizontal="right" wrapText="1"/>
    </xf>
    <xf numFmtId="0" fontId="33" fillId="9" borderId="0" xfId="2" applyNumberFormat="1" applyFont="1" applyFill="1" applyBorder="1" applyAlignment="1" applyProtection="1">
      <alignment horizontal="right" vertical="center" wrapText="1"/>
    </xf>
    <xf numFmtId="0" fontId="0" fillId="9" borderId="7" xfId="0" applyFill="1" applyBorder="1" applyAlignment="1">
      <alignment horizontal="left" vertical="top" wrapText="1"/>
    </xf>
    <xf numFmtId="0" fontId="0" fillId="0" borderId="6" xfId="0" applyBorder="1" applyAlignment="1">
      <alignment horizontal="left"/>
    </xf>
    <xf numFmtId="0" fontId="90" fillId="0" borderId="0" xfId="26" applyFont="1" applyProtection="1"/>
    <xf numFmtId="0" fontId="15" fillId="0" borderId="0" xfId="0" applyFont="1" applyAlignment="1">
      <alignment wrapText="1"/>
    </xf>
    <xf numFmtId="0" fontId="0" fillId="9" borderId="0" xfId="0" applyFill="1" applyAlignment="1">
      <alignment horizontal="right"/>
    </xf>
    <xf numFmtId="0" fontId="36" fillId="9" borderId="0" xfId="0" applyFont="1" applyFill="1" applyAlignment="1">
      <alignment horizontal="right" vertical="top" wrapText="1"/>
    </xf>
    <xf numFmtId="177" fontId="0" fillId="9" borderId="0" xfId="0" quotePrefix="1" applyNumberFormat="1" applyFill="1" applyAlignment="1">
      <alignment horizontal="right"/>
    </xf>
    <xf numFmtId="177" fontId="0" fillId="15" borderId="12" xfId="0" quotePrefix="1" applyNumberFormat="1" applyFill="1" applyBorder="1" applyAlignment="1">
      <alignment horizontal="right"/>
    </xf>
    <xf numFmtId="171" fontId="33" fillId="4" borderId="6" xfId="2" applyNumberFormat="1" applyFont="1" applyBorder="1" applyAlignment="1">
      <alignment horizontal="right" vertical="center"/>
      <protection locked="0"/>
    </xf>
    <xf numFmtId="0" fontId="33" fillId="9" borderId="0" xfId="2" applyNumberFormat="1" applyFont="1" applyFill="1" applyAlignment="1" applyProtection="1">
      <alignment horizontal="right" vertical="center"/>
    </xf>
    <xf numFmtId="9" fontId="61" fillId="10" borderId="6" xfId="2" applyNumberFormat="1" applyFont="1" applyFill="1" applyBorder="1" applyAlignment="1" applyProtection="1">
      <alignment horizontal="right" vertical="center"/>
    </xf>
    <xf numFmtId="0" fontId="15" fillId="9" borderId="0" xfId="0" applyFont="1" applyFill="1" applyAlignment="1">
      <alignment horizontal="right" vertical="top" wrapText="1"/>
    </xf>
    <xf numFmtId="0" fontId="38" fillId="9" borderId="0" xfId="26" quotePrefix="1" applyFill="1" applyAlignment="1" applyProtection="1">
      <alignment horizontal="right"/>
    </xf>
    <xf numFmtId="0" fontId="38" fillId="9" borderId="0" xfId="26" applyFill="1" applyAlignment="1" applyProtection="1">
      <alignment horizontal="right"/>
    </xf>
    <xf numFmtId="0" fontId="0" fillId="0" borderId="0" xfId="0" applyAlignment="1">
      <alignment horizontal="right"/>
    </xf>
    <xf numFmtId="0" fontId="27" fillId="3" borderId="6" xfId="0" applyFont="1" applyFill="1" applyBorder="1" applyAlignment="1">
      <alignment horizontal="center" wrapText="1"/>
    </xf>
    <xf numFmtId="0" fontId="0" fillId="9" borderId="15" xfId="0" applyFill="1" applyBorder="1" applyAlignment="1">
      <alignment horizontal="left" vertical="top"/>
    </xf>
    <xf numFmtId="0" fontId="33" fillId="9" borderId="12" xfId="2" applyNumberFormat="1" applyFont="1" applyFill="1" applyBorder="1" applyAlignment="1">
      <alignment horizontal="right" vertical="center"/>
      <protection locked="0"/>
    </xf>
    <xf numFmtId="0" fontId="0" fillId="15" borderId="14" xfId="0" applyFill="1" applyBorder="1"/>
    <xf numFmtId="0" fontId="33" fillId="9" borderId="9" xfId="2" applyNumberFormat="1" applyFont="1" applyFill="1" applyBorder="1" applyAlignment="1" applyProtection="1">
      <alignment vertical="center"/>
    </xf>
    <xf numFmtId="0" fontId="70" fillId="9" borderId="0" xfId="0" applyFont="1" applyFill="1" applyAlignment="1">
      <alignment vertical="center" wrapText="1"/>
    </xf>
    <xf numFmtId="0" fontId="55" fillId="9" borderId="0" xfId="0" applyFont="1" applyFill="1"/>
    <xf numFmtId="9" fontId="55" fillId="9" borderId="0" xfId="0" applyNumberFormat="1" applyFont="1" applyFill="1"/>
    <xf numFmtId="0" fontId="86" fillId="28" borderId="6" xfId="26" applyFont="1" applyFill="1" applyBorder="1" applyAlignment="1"/>
    <xf numFmtId="171" fontId="61" fillId="10" borderId="6" xfId="2" applyNumberFormat="1" applyFont="1" applyFill="1" applyBorder="1" applyAlignment="1" applyProtection="1">
      <alignment horizontal="right" vertical="center"/>
    </xf>
    <xf numFmtId="4" fontId="5" fillId="10" borderId="22" xfId="22" applyNumberFormat="1" applyFont="1" applyFill="1" applyBorder="1" applyAlignment="1">
      <alignment vertical="center" wrapText="1"/>
    </xf>
    <xf numFmtId="0" fontId="38" fillId="0" borderId="6" xfId="26" applyFill="1" applyBorder="1"/>
    <xf numFmtId="0" fontId="0" fillId="9" borderId="6" xfId="0" applyFill="1" applyBorder="1" applyAlignment="1">
      <alignment horizontal="left"/>
    </xf>
    <xf numFmtId="4" fontId="33" fillId="0" borderId="0" xfId="22" applyNumberFormat="1" applyFont="1" applyAlignment="1">
      <alignment horizontal="right" wrapText="1"/>
    </xf>
    <xf numFmtId="4" fontId="33" fillId="0" borderId="0" xfId="22" applyNumberFormat="1" applyFont="1" applyFill="1" applyBorder="1" applyAlignment="1" applyProtection="1">
      <alignment horizontal="right" vertical="center" wrapText="1"/>
      <protection locked="0"/>
    </xf>
    <xf numFmtId="0" fontId="15" fillId="0" borderId="0" xfId="17" applyFont="1" applyAlignment="1">
      <alignment horizontal="right"/>
    </xf>
    <xf numFmtId="0" fontId="15" fillId="19" borderId="0" xfId="0" applyFont="1" applyFill="1"/>
    <xf numFmtId="0" fontId="15" fillId="18" borderId="0" xfId="0" applyFont="1" applyFill="1"/>
    <xf numFmtId="0" fontId="48" fillId="9" borderId="14" xfId="0" applyFont="1" applyFill="1" applyBorder="1" applyAlignment="1">
      <alignment vertical="top"/>
    </xf>
    <xf numFmtId="0" fontId="76" fillId="0" borderId="0" xfId="0" applyFont="1" applyAlignment="1">
      <alignment horizontal="center" wrapText="1"/>
    </xf>
    <xf numFmtId="173" fontId="74" fillId="0" borderId="0" xfId="0" applyNumberFormat="1" applyFont="1" applyAlignment="1">
      <alignment horizontal="center" vertical="center"/>
    </xf>
    <xf numFmtId="0" fontId="34" fillId="9" borderId="0" xfId="0" applyFont="1" applyFill="1"/>
    <xf numFmtId="0" fontId="34" fillId="9" borderId="0" xfId="0" applyFont="1" applyFill="1" applyAlignment="1">
      <alignment horizontal="left" vertical="top" wrapText="1"/>
    </xf>
    <xf numFmtId="0" fontId="92" fillId="9" borderId="0" xfId="0" applyFont="1" applyFill="1" applyAlignment="1">
      <alignment horizontal="left" vertical="top"/>
    </xf>
    <xf numFmtId="0" fontId="5" fillId="0" borderId="0" xfId="0" applyFont="1" applyAlignment="1">
      <alignment horizontal="right"/>
    </xf>
    <xf numFmtId="0" fontId="5" fillId="0" borderId="0" xfId="0" applyFont="1" applyAlignment="1">
      <alignment horizontal="left"/>
    </xf>
    <xf numFmtId="4" fontId="5" fillId="10" borderId="22" xfId="22" applyNumberFormat="1" applyFont="1" applyFill="1" applyBorder="1" applyAlignment="1">
      <alignment vertical="center"/>
    </xf>
    <xf numFmtId="0" fontId="0" fillId="9" borderId="7" xfId="0" applyFill="1" applyBorder="1" applyAlignment="1">
      <alignment vertical="top" wrapText="1"/>
    </xf>
    <xf numFmtId="0" fontId="48" fillId="9" borderId="14" xfId="0" applyFont="1" applyFill="1" applyBorder="1" applyAlignment="1">
      <alignment vertical="top" wrapText="1"/>
    </xf>
    <xf numFmtId="4" fontId="33" fillId="0" borderId="0" xfId="17" applyNumberFormat="1" applyFont="1" applyAlignment="1">
      <alignment horizontal="right"/>
    </xf>
    <xf numFmtId="173" fontId="0" fillId="4" borderId="6" xfId="0" applyNumberFormat="1" applyFill="1" applyBorder="1" applyAlignment="1">
      <alignment horizontal="right"/>
    </xf>
    <xf numFmtId="0" fontId="22" fillId="0" borderId="1" xfId="5" applyFont="1"/>
    <xf numFmtId="0" fontId="18" fillId="0" borderId="0" xfId="19" applyFont="1"/>
    <xf numFmtId="0" fontId="19" fillId="0" borderId="0" xfId="18" applyFont="1" applyAlignment="1">
      <alignment vertical="top"/>
    </xf>
    <xf numFmtId="165" fontId="20" fillId="0" borderId="0" xfId="18" applyNumberFormat="1" applyFont="1" applyAlignment="1">
      <alignment vertical="top"/>
    </xf>
    <xf numFmtId="0" fontId="22" fillId="0" borderId="1" xfId="5" applyFont="1" applyAlignment="1">
      <alignment horizontal="center" wrapText="1"/>
    </xf>
    <xf numFmtId="0" fontId="23" fillId="0" borderId="0" xfId="18" applyFont="1" applyAlignment="1">
      <alignment vertical="top"/>
    </xf>
    <xf numFmtId="0" fontId="24" fillId="0" borderId="5" xfId="18" applyFont="1" applyBorder="1" applyAlignment="1">
      <alignment vertical="top"/>
    </xf>
    <xf numFmtId="0" fontId="24" fillId="0" borderId="5" xfId="18" applyFont="1" applyBorder="1" applyAlignment="1">
      <alignment horizontal="center" vertical="top"/>
    </xf>
    <xf numFmtId="4" fontId="24" fillId="0" borderId="0" xfId="18" applyNumberFormat="1" applyFont="1" applyAlignment="1">
      <alignment vertical="top"/>
    </xf>
    <xf numFmtId="166" fontId="24" fillId="0" borderId="5" xfId="18" applyNumberFormat="1" applyFont="1" applyBorder="1" applyAlignment="1">
      <alignment horizontal="center" vertical="top"/>
    </xf>
    <xf numFmtId="167" fontId="24" fillId="0" borderId="0" xfId="18" applyNumberFormat="1" applyFont="1" applyAlignment="1">
      <alignment vertical="top"/>
    </xf>
    <xf numFmtId="3" fontId="24" fillId="0" borderId="5" xfId="18" applyNumberFormat="1" applyFont="1" applyBorder="1" applyAlignment="1">
      <alignment horizontal="center" vertical="top"/>
    </xf>
    <xf numFmtId="168" fontId="23" fillId="0" borderId="0" xfId="18" applyNumberFormat="1" applyFont="1" applyAlignment="1">
      <alignment vertical="top"/>
    </xf>
    <xf numFmtId="165" fontId="24" fillId="0" borderId="5" xfId="18" applyNumberFormat="1" applyFont="1" applyBorder="1" applyAlignment="1">
      <alignment horizontal="center" vertical="top"/>
    </xf>
    <xf numFmtId="4" fontId="23" fillId="0" borderId="0" xfId="18" applyNumberFormat="1" applyFont="1" applyAlignment="1">
      <alignment vertical="top"/>
    </xf>
    <xf numFmtId="0" fontId="24" fillId="0" borderId="0" xfId="18" applyFont="1" applyAlignment="1">
      <alignment vertical="top"/>
    </xf>
    <xf numFmtId="165" fontId="24" fillId="0" borderId="0" xfId="18" applyNumberFormat="1" applyFont="1" applyAlignment="1">
      <alignment vertical="top"/>
    </xf>
    <xf numFmtId="0" fontId="25" fillId="0" borderId="0" xfId="18" applyFont="1" applyAlignment="1">
      <alignment vertical="top"/>
    </xf>
    <xf numFmtId="0" fontId="26" fillId="0" borderId="0" xfId="18" applyFont="1" applyAlignment="1">
      <alignment vertical="top"/>
    </xf>
    <xf numFmtId="165" fontId="26" fillId="0" borderId="0" xfId="18" applyNumberFormat="1" applyFont="1" applyAlignment="1">
      <alignment vertical="top"/>
    </xf>
    <xf numFmtId="169" fontId="24" fillId="0" borderId="5" xfId="18" applyNumberFormat="1" applyFont="1" applyBorder="1" applyAlignment="1">
      <alignment horizontal="center" vertical="top"/>
    </xf>
    <xf numFmtId="164" fontId="24" fillId="0" borderId="5" xfId="18" applyNumberFormat="1" applyFont="1" applyBorder="1" applyAlignment="1">
      <alignment horizontal="center" vertical="top"/>
    </xf>
    <xf numFmtId="170" fontId="23" fillId="0" borderId="5" xfId="18" applyNumberFormat="1" applyFont="1" applyBorder="1" applyAlignment="1">
      <alignment horizontal="center" vertical="top"/>
    </xf>
    <xf numFmtId="4" fontId="24" fillId="0" borderId="5" xfId="18" applyNumberFormat="1" applyFont="1" applyBorder="1" applyAlignment="1">
      <alignment horizontal="center" vertical="top"/>
    </xf>
    <xf numFmtId="170" fontId="24" fillId="0" borderId="5" xfId="18" applyNumberFormat="1" applyFont="1" applyBorder="1" applyAlignment="1">
      <alignment horizontal="center" vertical="top"/>
    </xf>
    <xf numFmtId="171" fontId="24" fillId="0" borderId="5" xfId="18" applyNumberFormat="1" applyFont="1" applyBorder="1" applyAlignment="1">
      <alignment horizontal="center" vertical="top"/>
    </xf>
    <xf numFmtId="1" fontId="24" fillId="0" borderId="5" xfId="18" applyNumberFormat="1" applyFont="1" applyBorder="1" applyAlignment="1">
      <alignment horizontal="center" vertical="top"/>
    </xf>
    <xf numFmtId="172" fontId="24" fillId="0" borderId="5" xfId="18" applyNumberFormat="1" applyFont="1" applyBorder="1" applyAlignment="1">
      <alignment horizontal="center" vertical="top"/>
    </xf>
    <xf numFmtId="170" fontId="27" fillId="0" borderId="5" xfId="19" applyNumberFormat="1" applyFont="1" applyBorder="1" applyAlignment="1">
      <alignment horizontal="center" vertical="top"/>
    </xf>
    <xf numFmtId="169" fontId="23" fillId="0" borderId="5" xfId="18" applyNumberFormat="1" applyFont="1" applyBorder="1" applyAlignment="1">
      <alignment horizontal="center" vertical="top"/>
    </xf>
    <xf numFmtId="166" fontId="23" fillId="0" borderId="0" xfId="18" applyNumberFormat="1" applyFont="1" applyAlignment="1">
      <alignment vertical="top"/>
    </xf>
    <xf numFmtId="0" fontId="27" fillId="0" borderId="5" xfId="19" applyFont="1" applyBorder="1" applyAlignment="1">
      <alignment horizontal="center" vertical="top"/>
    </xf>
    <xf numFmtId="173" fontId="24" fillId="0" borderId="5" xfId="18" applyNumberFormat="1" applyFont="1" applyBorder="1" applyAlignment="1">
      <alignment horizontal="center" vertical="top"/>
    </xf>
    <xf numFmtId="174" fontId="24" fillId="0" borderId="5" xfId="18" applyNumberFormat="1" applyFont="1" applyBorder="1" applyAlignment="1">
      <alignment horizontal="center" vertical="top"/>
    </xf>
    <xf numFmtId="2" fontId="24" fillId="0" borderId="5" xfId="18" applyNumberFormat="1" applyFont="1" applyBorder="1" applyAlignment="1">
      <alignment horizontal="center" vertical="top"/>
    </xf>
    <xf numFmtId="166" fontId="28" fillId="0" borderId="5" xfId="19" applyNumberFormat="1" applyFont="1" applyBorder="1" applyAlignment="1">
      <alignment horizontal="center" vertical="top"/>
    </xf>
    <xf numFmtId="175" fontId="24" fillId="0" borderId="5" xfId="18" applyNumberFormat="1" applyFont="1" applyBorder="1" applyAlignment="1">
      <alignment horizontal="center" vertical="top"/>
    </xf>
    <xf numFmtId="0" fontId="23" fillId="0" borderId="5" xfId="18" applyFont="1" applyBorder="1" applyAlignment="1">
      <alignment vertical="top"/>
    </xf>
    <xf numFmtId="0" fontId="93" fillId="0" borderId="0" xfId="17" applyFont="1"/>
    <xf numFmtId="173" fontId="15" fillId="10" borderId="6" xfId="0" applyNumberFormat="1" applyFont="1" applyFill="1" applyBorder="1" applyAlignment="1">
      <alignment horizontal="right"/>
    </xf>
    <xf numFmtId="0" fontId="86" fillId="21" borderId="6" xfId="26" applyFont="1" applyFill="1" applyBorder="1" applyAlignment="1"/>
    <xf numFmtId="0" fontId="86" fillId="22" borderId="6" xfId="26" applyFont="1" applyFill="1" applyBorder="1" applyAlignment="1"/>
    <xf numFmtId="0" fontId="38" fillId="23" borderId="6" xfId="26" applyFill="1" applyBorder="1"/>
    <xf numFmtId="0" fontId="38" fillId="23" borderId="6" xfId="26" applyFill="1" applyBorder="1" applyAlignment="1"/>
    <xf numFmtId="0" fontId="38" fillId="24" borderId="6" xfId="26" applyFill="1" applyBorder="1"/>
    <xf numFmtId="0" fontId="38" fillId="24" borderId="6" xfId="26" applyFill="1" applyBorder="1" applyAlignment="1"/>
    <xf numFmtId="0" fontId="38" fillId="18" borderId="6" xfId="26" applyFill="1" applyBorder="1" applyAlignment="1"/>
    <xf numFmtId="0" fontId="38" fillId="18" borderId="6" xfId="26" applyFill="1" applyBorder="1"/>
    <xf numFmtId="0" fontId="38" fillId="25" borderId="6" xfId="26" applyFill="1" applyBorder="1"/>
    <xf numFmtId="0" fontId="34" fillId="19" borderId="0" xfId="0" applyFont="1" applyFill="1" applyAlignment="1">
      <alignment vertical="center"/>
    </xf>
    <xf numFmtId="0" fontId="0" fillId="19" borderId="0" xfId="0" applyFill="1"/>
    <xf numFmtId="0" fontId="34" fillId="18" borderId="0" xfId="0" applyFont="1" applyFill="1" applyAlignment="1">
      <alignment vertical="center"/>
    </xf>
    <xf numFmtId="0" fontId="0" fillId="18" borderId="0" xfId="0" applyFill="1"/>
    <xf numFmtId="0" fontId="34" fillId="27" borderId="0" xfId="0" applyFont="1" applyFill="1" applyAlignment="1">
      <alignment vertical="center"/>
    </xf>
    <xf numFmtId="0" fontId="34" fillId="15" borderId="0" xfId="0" applyFont="1" applyFill="1" applyAlignment="1">
      <alignment vertical="center"/>
    </xf>
    <xf numFmtId="0" fontId="33" fillId="4" borderId="6" xfId="2" applyNumberFormat="1" applyFont="1" applyBorder="1" applyAlignment="1">
      <alignment horizontal="right" vertical="center" wrapText="1"/>
      <protection locked="0"/>
    </xf>
    <xf numFmtId="0" fontId="48" fillId="9" borderId="17" xfId="0" applyFont="1" applyFill="1" applyBorder="1" applyAlignment="1">
      <alignment vertical="top" wrapText="1"/>
    </xf>
    <xf numFmtId="0" fontId="0" fillId="10" borderId="6" xfId="0" applyFill="1" applyBorder="1" applyAlignment="1">
      <alignment horizontal="right" vertical="center"/>
    </xf>
    <xf numFmtId="173" fontId="0" fillId="10" borderId="6" xfId="0" applyNumberFormat="1" applyFill="1" applyBorder="1" applyAlignment="1">
      <alignment horizontal="right" vertical="center"/>
    </xf>
    <xf numFmtId="9" fontId="0" fillId="10" borderId="6" xfId="0" applyNumberFormat="1" applyFill="1" applyBorder="1" applyAlignment="1">
      <alignment horizontal="right" vertical="center"/>
    </xf>
    <xf numFmtId="174" fontId="0" fillId="10" borderId="6" xfId="0" applyNumberFormat="1" applyFill="1" applyBorder="1" applyAlignment="1">
      <alignment horizontal="right" vertical="center"/>
    </xf>
    <xf numFmtId="0" fontId="15" fillId="10" borderId="6" xfId="0" applyFont="1" applyFill="1" applyBorder="1" applyAlignment="1">
      <alignment horizontal="right" vertical="center"/>
    </xf>
    <xf numFmtId="174" fontId="33" fillId="10" borderId="6" xfId="2" applyNumberFormat="1" applyFont="1" applyFill="1" applyBorder="1" applyAlignment="1" applyProtection="1">
      <alignment horizontal="right" vertical="center"/>
    </xf>
    <xf numFmtId="0" fontId="27" fillId="0" borderId="0" xfId="67" applyFont="1" applyFill="1" applyBorder="1" applyAlignment="1"/>
    <xf numFmtId="0" fontId="27" fillId="0" borderId="0" xfId="67" applyFont="1" applyFill="1"/>
    <xf numFmtId="168" fontId="0" fillId="0" borderId="0" xfId="0" applyNumberFormat="1"/>
    <xf numFmtId="0" fontId="55" fillId="0" borderId="0" xfId="0" applyFont="1"/>
    <xf numFmtId="9" fontId="61" fillId="10" borderId="6" xfId="2" applyNumberFormat="1" applyFont="1" applyFill="1" applyBorder="1" applyAlignment="1">
      <alignment horizontal="right" vertical="center"/>
      <protection locked="0"/>
    </xf>
    <xf numFmtId="0" fontId="56" fillId="9" borderId="0" xfId="0" applyFont="1" applyFill="1" applyAlignment="1">
      <alignment vertical="top" wrapText="1"/>
    </xf>
    <xf numFmtId="0" fontId="33" fillId="9" borderId="14" xfId="2" quotePrefix="1" applyNumberFormat="1" applyFont="1" applyFill="1" applyBorder="1" applyAlignment="1" applyProtection="1">
      <alignment vertical="center"/>
    </xf>
    <xf numFmtId="0" fontId="80" fillId="29" borderId="6" xfId="26" applyFont="1" applyFill="1" applyBorder="1" applyAlignment="1"/>
    <xf numFmtId="0" fontId="98" fillId="28" borderId="6" xfId="26" applyFont="1" applyFill="1" applyBorder="1" applyAlignment="1" applyProtection="1">
      <alignment horizontal="center" wrapText="1"/>
    </xf>
    <xf numFmtId="0" fontId="99" fillId="11" borderId="6" xfId="26" applyFont="1" applyFill="1" applyBorder="1" applyAlignment="1" applyProtection="1">
      <alignment horizontal="center" wrapText="1"/>
    </xf>
    <xf numFmtId="0" fontId="78" fillId="0" borderId="23" xfId="0" applyFont="1" applyBorder="1" applyAlignment="1">
      <alignment horizontal="center"/>
    </xf>
    <xf numFmtId="9" fontId="0" fillId="0" borderId="0" xfId="0" applyNumberFormat="1"/>
    <xf numFmtId="43" fontId="8" fillId="2" borderId="1" xfId="4" applyNumberFormat="1" applyAlignment="1">
      <alignment wrapText="1"/>
    </xf>
    <xf numFmtId="43" fontId="10" fillId="0" borderId="1" xfId="5" applyNumberFormat="1" applyAlignment="1">
      <alignment wrapText="1"/>
    </xf>
    <xf numFmtId="43" fontId="13" fillId="9" borderId="0" xfId="17" applyNumberFormat="1" applyFill="1"/>
    <xf numFmtId="43" fontId="10" fillId="9" borderId="1" xfId="5" applyNumberFormat="1" applyFill="1" applyAlignment="1">
      <alignment wrapText="1"/>
    </xf>
    <xf numFmtId="43" fontId="0" fillId="9" borderId="0" xfId="17" applyNumberFormat="1" applyFont="1" applyFill="1"/>
    <xf numFmtId="2" fontId="0" fillId="0" borderId="0" xfId="0" applyNumberFormat="1"/>
    <xf numFmtId="9" fontId="34" fillId="4" borderId="5" xfId="23" applyFont="1" applyFill="1" applyBorder="1" applyAlignment="1" applyProtection="1">
      <alignment vertical="center"/>
      <protection locked="0"/>
    </xf>
    <xf numFmtId="9" fontId="5" fillId="4" borderId="5" xfId="23" applyFont="1" applyFill="1" applyBorder="1" applyAlignment="1" applyProtection="1">
      <alignment vertical="center"/>
      <protection locked="0"/>
    </xf>
    <xf numFmtId="178" fontId="5" fillId="4" borderId="5" xfId="22" applyNumberFormat="1" applyFont="1" applyFill="1" applyBorder="1" applyAlignment="1" applyProtection="1">
      <alignment vertical="center" wrapText="1"/>
      <protection locked="0"/>
    </xf>
    <xf numFmtId="0" fontId="33" fillId="15" borderId="0" xfId="10" applyFont="1" applyFill="1" applyBorder="1" applyAlignment="1">
      <alignment vertical="center"/>
    </xf>
    <xf numFmtId="176" fontId="5" fillId="4" borderId="5" xfId="22" applyNumberFormat="1" applyFont="1" applyFill="1" applyBorder="1" applyAlignment="1" applyProtection="1">
      <alignment vertical="center"/>
      <protection locked="0"/>
    </xf>
    <xf numFmtId="178" fontId="5" fillId="0" borderId="0" xfId="22" applyNumberFormat="1" applyFont="1" applyFill="1" applyBorder="1" applyAlignment="1" applyProtection="1">
      <alignment vertical="center" wrapText="1"/>
      <protection locked="0"/>
    </xf>
    <xf numFmtId="178" fontId="5" fillId="0" borderId="0" xfId="22" applyNumberFormat="1" applyFont="1" applyAlignment="1" applyProtection="1">
      <alignment vertical="center" wrapText="1"/>
      <protection locked="0"/>
    </xf>
    <xf numFmtId="181" fontId="5" fillId="4" borderId="5" xfId="22" applyNumberFormat="1" applyFont="1" applyFill="1" applyBorder="1" applyAlignment="1" applyProtection="1">
      <alignment vertical="center"/>
      <protection locked="0"/>
    </xf>
    <xf numFmtId="178" fontId="5" fillId="15" borderId="0" xfId="22" applyNumberFormat="1" applyFont="1" applyFill="1" applyBorder="1" applyAlignment="1" applyProtection="1">
      <alignment vertical="center" wrapText="1"/>
      <protection locked="0"/>
    </xf>
    <xf numFmtId="0" fontId="28" fillId="0" borderId="0" xfId="0" applyFont="1"/>
    <xf numFmtId="171" fontId="33" fillId="4" borderId="18" xfId="2" applyNumberFormat="1" applyFont="1" applyBorder="1" applyAlignment="1">
      <alignment horizontal="right" vertical="center"/>
      <protection locked="0"/>
    </xf>
    <xf numFmtId="0" fontId="33" fillId="0" borderId="14" xfId="2" applyNumberFormat="1" applyFont="1" applyFill="1" applyBorder="1" applyAlignment="1" applyProtection="1">
      <alignment vertical="center"/>
    </xf>
    <xf numFmtId="0" fontId="0" fillId="0" borderId="7" xfId="0" applyBorder="1" applyAlignment="1">
      <alignment horizontal="left"/>
    </xf>
    <xf numFmtId="4" fontId="33" fillId="0" borderId="0" xfId="22" applyNumberFormat="1" applyFont="1" applyFill="1" applyBorder="1" applyAlignment="1" applyProtection="1">
      <alignment horizontal="right"/>
      <protection locked="0"/>
    </xf>
    <xf numFmtId="0" fontId="34" fillId="0" borderId="0" xfId="0" applyFont="1" applyAlignment="1">
      <alignment vertical="center"/>
    </xf>
    <xf numFmtId="4" fontId="5" fillId="15" borderId="0" xfId="22" applyNumberFormat="1" applyFont="1" applyFill="1" applyBorder="1" applyAlignment="1" applyProtection="1">
      <alignment vertical="center" wrapText="1"/>
      <protection locked="0"/>
    </xf>
    <xf numFmtId="4" fontId="5" fillId="0" borderId="24" xfId="22" applyNumberFormat="1" applyFont="1" applyFill="1" applyBorder="1" applyAlignment="1" applyProtection="1">
      <alignment vertical="center" wrapText="1"/>
      <protection locked="0"/>
    </xf>
    <xf numFmtId="4" fontId="34" fillId="0" borderId="0" xfId="22" applyNumberFormat="1" applyFont="1" applyAlignment="1">
      <alignment vertical="center" wrapText="1"/>
    </xf>
    <xf numFmtId="4" fontId="0" fillId="0" borderId="0" xfId="0" applyNumberFormat="1" applyAlignment="1">
      <alignment wrapText="1"/>
    </xf>
    <xf numFmtId="4" fontId="33" fillId="15" borderId="0" xfId="17" applyNumberFormat="1" applyFont="1" applyFill="1" applyAlignment="1">
      <alignment wrapText="1"/>
    </xf>
    <xf numFmtId="4" fontId="5" fillId="0" borderId="25" xfId="22" applyNumberFormat="1" applyFont="1" applyFill="1" applyBorder="1" applyAlignment="1" applyProtection="1">
      <alignment vertical="center" wrapText="1"/>
      <protection locked="0"/>
    </xf>
    <xf numFmtId="4" fontId="34" fillId="0" borderId="0" xfId="22" applyNumberFormat="1" applyFont="1" applyAlignment="1" applyProtection="1">
      <alignment vertical="center" wrapText="1"/>
      <protection locked="0"/>
    </xf>
    <xf numFmtId="4" fontId="34" fillId="4" borderId="22" xfId="22" applyNumberFormat="1" applyFont="1" applyFill="1" applyBorder="1" applyAlignment="1" applyProtection="1">
      <alignment vertical="center"/>
      <protection locked="0"/>
    </xf>
    <xf numFmtId="4" fontId="34" fillId="4" borderId="5" xfId="22" applyNumberFormat="1" applyFont="1" applyFill="1" applyBorder="1" applyAlignment="1" applyProtection="1">
      <alignment horizontal="right" vertical="center" wrapText="1"/>
      <protection locked="0"/>
    </xf>
    <xf numFmtId="4" fontId="15" fillId="0" borderId="0" xfId="17" applyNumberFormat="1" applyFont="1" applyAlignment="1">
      <alignment horizontal="right"/>
    </xf>
    <xf numFmtId="4" fontId="52" fillId="15" borderId="0" xfId="17" applyNumberFormat="1" applyFont="1" applyFill="1" applyAlignment="1">
      <alignment wrapText="1"/>
    </xf>
    <xf numFmtId="4" fontId="34" fillId="15" borderId="0" xfId="22" applyNumberFormat="1" applyFont="1" applyFill="1" applyAlignment="1" applyProtection="1">
      <alignment vertical="center" wrapText="1"/>
      <protection locked="0"/>
    </xf>
    <xf numFmtId="4" fontId="5" fillId="15" borderId="0" xfId="22" applyNumberFormat="1" applyFont="1" applyFill="1" applyAlignment="1" applyProtection="1">
      <alignment vertical="center" wrapText="1"/>
      <protection locked="0"/>
    </xf>
    <xf numFmtId="4" fontId="34" fillId="9" borderId="5" xfId="22" applyNumberFormat="1" applyFont="1" applyFill="1" applyBorder="1" applyAlignment="1" applyProtection="1">
      <alignment vertical="center"/>
      <protection locked="0"/>
    </xf>
    <xf numFmtId="4" fontId="5" fillId="9" borderId="5" xfId="22" applyNumberFormat="1" applyFont="1" applyFill="1" applyBorder="1" applyAlignment="1" applyProtection="1">
      <alignment vertical="center"/>
      <protection locked="0"/>
    </xf>
    <xf numFmtId="4" fontId="33" fillId="15" borderId="0" xfId="22" applyNumberFormat="1" applyFont="1" applyFill="1" applyAlignment="1" applyProtection="1">
      <alignment vertical="center" wrapText="1"/>
      <protection locked="0"/>
    </xf>
    <xf numFmtId="4" fontId="33" fillId="15" borderId="0" xfId="22" applyNumberFormat="1" applyFont="1" applyFill="1" applyBorder="1" applyAlignment="1" applyProtection="1">
      <alignment vertical="center" wrapText="1"/>
      <protection locked="0"/>
    </xf>
    <xf numFmtId="4" fontId="33" fillId="15" borderId="0" xfId="10" applyNumberFormat="1" applyFont="1" applyFill="1" applyBorder="1" applyAlignment="1">
      <alignment vertical="center"/>
    </xf>
    <xf numFmtId="4" fontId="52" fillId="15" borderId="0" xfId="22" applyNumberFormat="1" applyFont="1" applyFill="1" applyAlignment="1" applyProtection="1">
      <alignment vertical="center" wrapText="1"/>
      <protection locked="0"/>
    </xf>
    <xf numFmtId="4" fontId="34" fillId="4" borderId="21" xfId="22" applyNumberFormat="1" applyFont="1" applyFill="1" applyBorder="1" applyAlignment="1" applyProtection="1">
      <alignment vertical="center"/>
      <protection locked="0"/>
    </xf>
    <xf numFmtId="4" fontId="5" fillId="0" borderId="0" xfId="22" applyNumberFormat="1" applyFont="1" applyAlignment="1" applyProtection="1">
      <alignment vertical="center"/>
      <protection locked="0"/>
    </xf>
    <xf numFmtId="4" fontId="5" fillId="15" borderId="0" xfId="22" applyNumberFormat="1" applyFont="1" applyFill="1" applyBorder="1" applyAlignment="1" applyProtection="1">
      <alignment vertical="center"/>
      <protection locked="0"/>
    </xf>
    <xf numFmtId="4" fontId="33" fillId="0" borderId="0" xfId="17" applyNumberFormat="1" applyFont="1"/>
    <xf numFmtId="4" fontId="33" fillId="15" borderId="0" xfId="17" applyNumberFormat="1" applyFont="1" applyFill="1" applyAlignment="1">
      <alignment vertical="center" wrapText="1"/>
    </xf>
    <xf numFmtId="4" fontId="5" fillId="4" borderId="22" xfId="22" applyNumberFormat="1" applyFont="1" applyFill="1" applyBorder="1" applyAlignment="1" applyProtection="1">
      <alignment vertical="center"/>
      <protection locked="0"/>
    </xf>
    <xf numFmtId="4" fontId="5" fillId="4" borderId="5" xfId="23" applyNumberFormat="1" applyFont="1" applyFill="1" applyBorder="1" applyAlignment="1" applyProtection="1">
      <alignment vertical="center"/>
      <protection locked="0"/>
    </xf>
    <xf numFmtId="4" fontId="13" fillId="9" borderId="0" xfId="17" applyNumberFormat="1" applyFill="1"/>
    <xf numFmtId="4" fontId="5" fillId="0" borderId="0" xfId="2" applyNumberFormat="1" applyFill="1" applyBorder="1" applyAlignment="1">
      <alignment vertical="center"/>
      <protection locked="0"/>
    </xf>
    <xf numFmtId="4" fontId="34" fillId="0" borderId="0" xfId="22" applyNumberFormat="1" applyFont="1" applyFill="1" applyBorder="1" applyAlignment="1" applyProtection="1">
      <alignment vertical="center"/>
      <protection locked="0"/>
    </xf>
    <xf numFmtId="4" fontId="34" fillId="15" borderId="0" xfId="22" applyNumberFormat="1" applyFont="1" applyFill="1" applyBorder="1" applyAlignment="1" applyProtection="1">
      <alignment vertical="center"/>
      <protection locked="0"/>
    </xf>
    <xf numFmtId="4" fontId="5" fillId="9" borderId="0" xfId="22" applyNumberFormat="1" applyFont="1" applyFill="1"/>
    <xf numFmtId="4" fontId="34" fillId="4" borderId="5" xfId="23" applyNumberFormat="1" applyFont="1" applyFill="1" applyBorder="1" applyAlignment="1" applyProtection="1">
      <alignment vertical="center"/>
      <protection locked="0"/>
    </xf>
    <xf numFmtId="4" fontId="34" fillId="0" borderId="0" xfId="0" applyNumberFormat="1" applyFont="1" applyAlignment="1">
      <alignment vertical="center"/>
    </xf>
    <xf numFmtId="4" fontId="34" fillId="0" borderId="0" xfId="22" applyNumberFormat="1" applyFont="1" applyAlignment="1" applyProtection="1">
      <alignment vertical="center"/>
      <protection locked="0"/>
    </xf>
    <xf numFmtId="4" fontId="34" fillId="15" borderId="0" xfId="22" applyNumberFormat="1" applyFont="1" applyFill="1" applyAlignment="1" applyProtection="1">
      <alignment vertical="center"/>
      <protection locked="0"/>
    </xf>
    <xf numFmtId="179" fontId="5" fillId="4" borderId="5" xfId="23" applyNumberFormat="1" applyFont="1" applyFill="1" applyBorder="1" applyAlignment="1" applyProtection="1">
      <alignment vertical="center"/>
      <protection locked="0"/>
    </xf>
    <xf numFmtId="179" fontId="34" fillId="4" borderId="5" xfId="23" applyNumberFormat="1" applyFont="1" applyFill="1" applyBorder="1" applyAlignment="1" applyProtection="1">
      <alignment vertical="center"/>
      <protection locked="0"/>
    </xf>
    <xf numFmtId="4" fontId="10" fillId="0" borderId="1" xfId="5" applyNumberFormat="1" applyAlignment="1">
      <alignment wrapText="1"/>
    </xf>
    <xf numFmtId="4" fontId="5" fillId="9" borderId="5" xfId="22" applyNumberFormat="1" applyFont="1" applyFill="1" applyBorder="1" applyAlignment="1" applyProtection="1">
      <alignment vertical="center" wrapText="1"/>
      <protection locked="0"/>
    </xf>
    <xf numFmtId="4" fontId="5" fillId="10" borderId="5" xfId="22" applyNumberFormat="1" applyFont="1" applyFill="1" applyBorder="1" applyAlignment="1">
      <alignment vertical="center" wrapText="1"/>
    </xf>
    <xf numFmtId="4" fontId="34" fillId="0" borderId="24" xfId="22" applyNumberFormat="1" applyFont="1" applyFill="1" applyBorder="1" applyAlignment="1" applyProtection="1">
      <alignment vertical="center" wrapText="1"/>
      <protection locked="0"/>
    </xf>
    <xf numFmtId="4" fontId="34" fillId="4" borderId="22" xfId="22" applyNumberFormat="1" applyFont="1" applyFill="1" applyBorder="1" applyAlignment="1" applyProtection="1">
      <alignment vertical="center" wrapText="1"/>
      <protection locked="0"/>
    </xf>
    <xf numFmtId="4" fontId="34" fillId="0" borderId="24" xfId="22" applyNumberFormat="1" applyFont="1" applyFill="1" applyBorder="1" applyAlignment="1" applyProtection="1">
      <alignment vertical="center"/>
      <protection locked="0"/>
    </xf>
    <xf numFmtId="4" fontId="34" fillId="4" borderId="5" xfId="22" applyNumberFormat="1" applyFont="1" applyFill="1" applyBorder="1" applyAlignment="1" applyProtection="1">
      <alignment horizontal="right" vertical="center"/>
      <protection locked="0"/>
    </xf>
    <xf numFmtId="4" fontId="5" fillId="4" borderId="5" xfId="22" applyNumberFormat="1" applyFont="1" applyFill="1" applyBorder="1" applyAlignment="1" applyProtection="1">
      <alignment horizontal="right" vertical="center" wrapText="1"/>
      <protection locked="0"/>
    </xf>
    <xf numFmtId="173" fontId="15" fillId="10" borderId="6" xfId="0" applyNumberFormat="1" applyFont="1" applyFill="1" applyBorder="1" applyAlignment="1">
      <alignment horizontal="center" vertical="center" wrapText="1"/>
    </xf>
    <xf numFmtId="4" fontId="0" fillId="10" borderId="6" xfId="0" applyNumberFormat="1" applyFill="1" applyBorder="1" applyAlignment="1">
      <alignment horizontal="center" vertical="center" wrapText="1"/>
    </xf>
    <xf numFmtId="167" fontId="0" fillId="10" borderId="6" xfId="0" applyNumberFormat="1" applyFill="1" applyBorder="1" applyAlignment="1">
      <alignment horizontal="center" vertical="center" wrapText="1"/>
    </xf>
    <xf numFmtId="164" fontId="0" fillId="10" borderId="6" xfId="0" applyNumberFormat="1" applyFill="1" applyBorder="1" applyAlignment="1">
      <alignment horizontal="center" vertical="center" wrapText="1"/>
    </xf>
    <xf numFmtId="4" fontId="33" fillId="0" borderId="0" xfId="22" applyNumberFormat="1" applyFont="1" applyAlignment="1">
      <alignment horizontal="right"/>
    </xf>
    <xf numFmtId="0" fontId="52" fillId="4" borderId="0" xfId="2" applyNumberFormat="1" applyFont="1" applyBorder="1" applyAlignment="1">
      <alignment vertical="center"/>
      <protection locked="0"/>
    </xf>
    <xf numFmtId="0" fontId="34" fillId="4" borderId="0" xfId="2" applyNumberFormat="1" applyFont="1" applyBorder="1" applyAlignment="1">
      <alignment vertical="center"/>
      <protection locked="0"/>
    </xf>
    <xf numFmtId="4" fontId="34" fillId="4" borderId="26" xfId="22" applyNumberFormat="1" applyFont="1" applyFill="1" applyBorder="1" applyAlignment="1" applyProtection="1">
      <alignment vertical="center" wrapText="1"/>
      <protection locked="0"/>
    </xf>
    <xf numFmtId="4" fontId="5" fillId="4" borderId="26" xfId="22" applyNumberFormat="1" applyFont="1" applyFill="1" applyBorder="1" applyAlignment="1" applyProtection="1">
      <alignment vertical="center" wrapText="1"/>
      <protection locked="0"/>
    </xf>
    <xf numFmtId="4" fontId="34" fillId="4" borderId="27" xfId="22" applyNumberFormat="1" applyFont="1" applyFill="1" applyBorder="1" applyAlignment="1" applyProtection="1">
      <alignment vertical="center"/>
      <protection locked="0"/>
    </xf>
    <xf numFmtId="4" fontId="5" fillId="4" borderId="27" xfId="22" applyNumberFormat="1" applyFont="1" applyFill="1" applyBorder="1" applyAlignment="1" applyProtection="1">
      <alignment vertical="center" wrapText="1"/>
      <protection locked="0"/>
    </xf>
    <xf numFmtId="43" fontId="33" fillId="4" borderId="0" xfId="22" applyFont="1" applyFill="1" applyBorder="1" applyAlignment="1" applyProtection="1">
      <alignment vertical="center"/>
      <protection locked="0"/>
    </xf>
    <xf numFmtId="4" fontId="33" fillId="15" borderId="0" xfId="22" applyNumberFormat="1" applyFont="1" applyFill="1" applyBorder="1" applyAlignment="1" applyProtection="1">
      <alignment vertical="center"/>
      <protection locked="0"/>
    </xf>
    <xf numFmtId="4" fontId="34" fillId="4" borderId="26" xfId="22" applyNumberFormat="1" applyFont="1" applyFill="1" applyBorder="1" applyAlignment="1" applyProtection="1">
      <alignment vertical="center"/>
      <protection locked="0"/>
    </xf>
    <xf numFmtId="43" fontId="0" fillId="10" borderId="6" xfId="22" applyFont="1" applyFill="1" applyBorder="1" applyAlignment="1">
      <alignment horizontal="right" vertical="center" wrapText="1"/>
    </xf>
    <xf numFmtId="4" fontId="34" fillId="0" borderId="0" xfId="17" applyNumberFormat="1" applyFont="1"/>
    <xf numFmtId="0" fontId="33" fillId="9" borderId="0" xfId="2" applyNumberFormat="1" applyFont="1" applyFill="1" applyAlignment="1" applyProtection="1">
      <alignment horizontal="left" vertical="center"/>
    </xf>
    <xf numFmtId="173" fontId="0" fillId="10" borderId="6" xfId="0" applyNumberFormat="1" applyFill="1" applyBorder="1" applyAlignment="1">
      <alignment horizontal="center" vertical="center" wrapText="1"/>
    </xf>
    <xf numFmtId="4" fontId="33" fillId="4" borderId="6" xfId="2" applyNumberFormat="1" applyFont="1" applyBorder="1" applyAlignment="1">
      <alignment horizontal="right" vertical="center"/>
      <protection locked="0"/>
    </xf>
    <xf numFmtId="4" fontId="15" fillId="19" borderId="6" xfId="17" applyNumberFormat="1" applyFont="1" applyFill="1" applyBorder="1" applyAlignment="1">
      <alignment horizontal="right"/>
    </xf>
    <xf numFmtId="4" fontId="15" fillId="16" borderId="6" xfId="17" applyNumberFormat="1" applyFont="1" applyFill="1" applyBorder="1" applyAlignment="1">
      <alignment horizontal="right"/>
    </xf>
    <xf numFmtId="4" fontId="15" fillId="15" borderId="6" xfId="17" applyNumberFormat="1" applyFont="1" applyFill="1" applyBorder="1" applyAlignment="1">
      <alignment horizontal="right" wrapText="1"/>
    </xf>
    <xf numFmtId="4" fontId="15" fillId="27" borderId="6" xfId="17" applyNumberFormat="1" applyFont="1" applyFill="1" applyBorder="1" applyAlignment="1">
      <alignment horizontal="right"/>
    </xf>
    <xf numFmtId="0" fontId="40" fillId="0" borderId="6" xfId="26" applyFont="1" applyFill="1" applyBorder="1" applyAlignment="1">
      <alignment vertical="center" wrapText="1"/>
    </xf>
    <xf numFmtId="0" fontId="40" fillId="0" borderId="6" xfId="26" applyFont="1" applyBorder="1" applyAlignment="1">
      <alignment vertical="center" wrapText="1"/>
    </xf>
    <xf numFmtId="0" fontId="48" fillId="9" borderId="0" xfId="0" applyFont="1" applyFill="1" applyAlignment="1">
      <alignment horizontal="left" vertical="center"/>
    </xf>
    <xf numFmtId="0" fontId="48" fillId="9" borderId="0" xfId="0" applyFont="1" applyFill="1" applyAlignment="1">
      <alignment horizontal="left" vertical="center" wrapText="1"/>
    </xf>
    <xf numFmtId="0" fontId="0" fillId="0" borderId="0" xfId="0" quotePrefix="1"/>
    <xf numFmtId="0" fontId="48" fillId="0" borderId="0" xfId="0" applyFont="1" applyAlignment="1">
      <alignment horizontal="left" vertical="top" wrapText="1"/>
    </xf>
    <xf numFmtId="173" fontId="0" fillId="4" borderId="6" xfId="0" quotePrefix="1" applyNumberFormat="1" applyFill="1" applyBorder="1" applyAlignment="1">
      <alignment horizontal="right" wrapText="1"/>
    </xf>
    <xf numFmtId="179" fontId="34" fillId="4" borderId="5" xfId="22" applyNumberFormat="1" applyFont="1" applyFill="1" applyBorder="1" applyAlignment="1" applyProtection="1">
      <alignment vertical="center"/>
      <protection locked="0"/>
    </xf>
    <xf numFmtId="0" fontId="0" fillId="0" borderId="0" xfId="17" quotePrefix="1" applyFont="1" applyAlignment="1">
      <alignment wrapText="1"/>
    </xf>
    <xf numFmtId="9" fontId="5" fillId="4" borderId="5" xfId="22" applyNumberFormat="1" applyFont="1" applyFill="1" applyBorder="1" applyAlignment="1" applyProtection="1">
      <alignment vertical="center" wrapText="1"/>
      <protection locked="0"/>
    </xf>
    <xf numFmtId="4" fontId="5" fillId="0" borderId="0" xfId="22" applyNumberFormat="1" applyFont="1" applyFill="1" applyBorder="1" applyAlignment="1" applyProtection="1">
      <alignment vertical="center" wrapText="1"/>
    </xf>
    <xf numFmtId="4" fontId="10" fillId="0" borderId="0" xfId="10" applyNumberFormat="1" applyFont="1" applyBorder="1" applyAlignment="1">
      <alignment vertical="center"/>
    </xf>
    <xf numFmtId="0" fontId="62" fillId="0" borderId="0" xfId="0" applyFont="1" applyAlignment="1">
      <alignment horizontal="center"/>
    </xf>
    <xf numFmtId="0" fontId="62" fillId="20" borderId="0" xfId="0" applyFont="1" applyFill="1" applyAlignment="1">
      <alignment horizontal="center"/>
    </xf>
    <xf numFmtId="0" fontId="13" fillId="0" borderId="0" xfId="0" applyFont="1"/>
    <xf numFmtId="0" fontId="5" fillId="0" borderId="0" xfId="0" applyFont="1"/>
    <xf numFmtId="2" fontId="5" fillId="4" borderId="6" xfId="2" applyNumberFormat="1" applyBorder="1" applyAlignment="1">
      <alignment horizontal="center" vertical="center"/>
      <protection locked="0"/>
    </xf>
    <xf numFmtId="0" fontId="0" fillId="4" borderId="0" xfId="0" applyFill="1"/>
    <xf numFmtId="9" fontId="5" fillId="4" borderId="6" xfId="2" quotePrefix="1" applyNumberFormat="1" applyBorder="1" applyAlignment="1">
      <alignment horizontal="center" vertical="center"/>
      <protection locked="0"/>
    </xf>
    <xf numFmtId="0" fontId="67" fillId="0" borderId="0" xfId="0" quotePrefix="1" applyFont="1" applyAlignment="1">
      <alignment vertical="center"/>
    </xf>
    <xf numFmtId="9" fontId="5" fillId="0" borderId="6" xfId="0" applyNumberFormat="1" applyFont="1" applyBorder="1" applyAlignment="1">
      <alignment horizontal="center" vertical="center"/>
    </xf>
    <xf numFmtId="0" fontId="34" fillId="0" borderId="0" xfId="0" applyFont="1" applyAlignment="1">
      <alignment horizontal="left"/>
    </xf>
    <xf numFmtId="4" fontId="5" fillId="10" borderId="5" xfId="22" applyNumberFormat="1" applyFont="1" applyFill="1" applyBorder="1" applyAlignment="1" applyProtection="1">
      <alignment horizontal="right" vertical="center" wrapText="1"/>
    </xf>
    <xf numFmtId="4" fontId="5" fillId="10" borderId="5" xfId="23" applyNumberFormat="1" applyFont="1" applyFill="1" applyBorder="1" applyAlignment="1" applyProtection="1">
      <alignment horizontal="right" vertical="center"/>
    </xf>
    <xf numFmtId="0" fontId="5" fillId="10" borderId="6" xfId="0" applyFont="1" applyFill="1" applyBorder="1" applyAlignment="1">
      <alignment horizontal="center" vertical="center"/>
    </xf>
    <xf numFmtId="0" fontId="86" fillId="30" borderId="6" xfId="26" applyFont="1" applyFill="1" applyBorder="1" applyAlignment="1"/>
    <xf numFmtId="0" fontId="51" fillId="0" borderId="0" xfId="0" applyFont="1"/>
    <xf numFmtId="0" fontId="34" fillId="9" borderId="0" xfId="0" applyFont="1" applyFill="1" applyAlignment="1">
      <alignment horizontal="left"/>
    </xf>
    <xf numFmtId="0" fontId="5" fillId="0" borderId="0" xfId="0" quotePrefix="1" applyFont="1"/>
    <xf numFmtId="0" fontId="33" fillId="9" borderId="19" xfId="2" applyNumberFormat="1" applyFont="1" applyFill="1" applyBorder="1" applyAlignment="1" applyProtection="1">
      <alignment vertical="center"/>
    </xf>
    <xf numFmtId="4" fontId="33" fillId="15" borderId="0" xfId="22" applyNumberFormat="1" applyFont="1" applyFill="1" applyAlignment="1" applyProtection="1">
      <alignment vertical="center"/>
      <protection locked="0"/>
    </xf>
    <xf numFmtId="0" fontId="38" fillId="0" borderId="0" xfId="26" applyAlignment="1">
      <alignment horizontal="right"/>
    </xf>
    <xf numFmtId="0" fontId="78" fillId="0" borderId="28" xfId="0" applyFont="1" applyBorder="1" applyAlignment="1">
      <alignment horizontal="center"/>
    </xf>
    <xf numFmtId="4" fontId="5" fillId="0" borderId="8" xfId="0" applyNumberFormat="1" applyFont="1" applyBorder="1" applyAlignment="1">
      <alignment horizontal="center"/>
    </xf>
    <xf numFmtId="0" fontId="0" fillId="9" borderId="0" xfId="0" applyFill="1" applyAlignment="1">
      <alignment vertical="center"/>
    </xf>
    <xf numFmtId="0" fontId="100" fillId="0" borderId="0" xfId="0" applyFont="1"/>
    <xf numFmtId="9" fontId="5" fillId="0" borderId="6" xfId="2" quotePrefix="1" applyNumberFormat="1" applyFill="1" applyBorder="1" applyAlignment="1">
      <alignment horizontal="center" vertical="center"/>
      <protection locked="0"/>
    </xf>
    <xf numFmtId="2" fontId="5" fillId="0" borderId="6" xfId="2" applyNumberFormat="1" applyFill="1" applyBorder="1" applyAlignment="1">
      <alignment horizontal="center" vertical="center"/>
      <protection locked="0"/>
    </xf>
    <xf numFmtId="9" fontId="0" fillId="4" borderId="8" xfId="0" applyNumberFormat="1" applyFill="1" applyBorder="1" applyAlignment="1">
      <alignment horizontal="right"/>
    </xf>
    <xf numFmtId="174" fontId="0" fillId="0" borderId="6" xfId="0" applyNumberFormat="1" applyBorder="1"/>
    <xf numFmtId="179" fontId="0" fillId="0" borderId="6" xfId="23" applyNumberFormat="1" applyFont="1" applyBorder="1"/>
    <xf numFmtId="180" fontId="0" fillId="0" borderId="6" xfId="23" applyNumberFormat="1" applyFont="1" applyBorder="1"/>
    <xf numFmtId="183" fontId="0" fillId="0" borderId="6" xfId="23" applyNumberFormat="1" applyFont="1" applyBorder="1"/>
    <xf numFmtId="0" fontId="46" fillId="3" borderId="6" xfId="0" applyFont="1" applyFill="1" applyBorder="1" applyAlignment="1">
      <alignment wrapText="1"/>
    </xf>
    <xf numFmtId="174" fontId="0" fillId="0" borderId="6" xfId="23" applyNumberFormat="1" applyFont="1" applyBorder="1"/>
    <xf numFmtId="0" fontId="34" fillId="31" borderId="0" xfId="0" applyFont="1" applyFill="1" applyAlignment="1">
      <alignment vertical="center"/>
    </xf>
    <xf numFmtId="0" fontId="15" fillId="31" borderId="0" xfId="0" applyFont="1" applyFill="1"/>
    <xf numFmtId="0" fontId="0" fillId="31" borderId="0" xfId="0" applyFill="1"/>
    <xf numFmtId="4" fontId="15" fillId="31" borderId="6" xfId="17" applyNumberFormat="1" applyFont="1" applyFill="1" applyBorder="1" applyAlignment="1">
      <alignment horizontal="right" wrapText="1"/>
    </xf>
    <xf numFmtId="4" fontId="15" fillId="0" borderId="0" xfId="17" applyNumberFormat="1" applyFont="1" applyAlignment="1">
      <alignment wrapText="1"/>
    </xf>
    <xf numFmtId="0" fontId="5" fillId="10" borderId="6" xfId="23" applyNumberFormat="1" applyFont="1" applyFill="1" applyBorder="1" applyAlignment="1">
      <alignment horizontal="center" vertical="center"/>
    </xf>
    <xf numFmtId="0" fontId="0" fillId="9" borderId="14" xfId="0" applyFill="1" applyBorder="1"/>
    <xf numFmtId="0" fontId="15" fillId="9" borderId="14" xfId="0" applyFont="1" applyFill="1" applyBorder="1" applyAlignment="1">
      <alignment horizontal="left" vertical="center"/>
    </xf>
    <xf numFmtId="0" fontId="15" fillId="9" borderId="14" xfId="0" applyFont="1" applyFill="1" applyBorder="1" applyAlignment="1">
      <alignment horizontal="left" vertical="top"/>
    </xf>
    <xf numFmtId="0" fontId="0" fillId="0" borderId="7" xfId="0" applyBorder="1" applyAlignment="1">
      <alignment vertical="top" wrapText="1"/>
    </xf>
    <xf numFmtId="3" fontId="0" fillId="10" borderId="6" xfId="0" applyNumberFormat="1" applyFill="1" applyBorder="1" applyAlignment="1">
      <alignment horizontal="right" vertical="center"/>
    </xf>
    <xf numFmtId="0" fontId="48" fillId="9" borderId="0" xfId="0" applyFont="1" applyFill="1" applyAlignment="1">
      <alignment vertical="top" wrapText="1"/>
    </xf>
    <xf numFmtId="0" fontId="86" fillId="32" borderId="6" xfId="26" applyFont="1" applyFill="1" applyBorder="1" applyAlignment="1"/>
    <xf numFmtId="0" fontId="86" fillId="32" borderId="0" xfId="26" applyFont="1" applyFill="1" applyBorder="1" applyAlignment="1"/>
    <xf numFmtId="4" fontId="24" fillId="0" borderId="0" xfId="18" applyNumberFormat="1" applyFont="1" applyAlignment="1">
      <alignment horizontal="center" vertical="top"/>
    </xf>
    <xf numFmtId="3" fontId="24" fillId="0" borderId="0" xfId="18" applyNumberFormat="1" applyFont="1" applyAlignment="1">
      <alignment horizontal="center" vertical="top"/>
    </xf>
    <xf numFmtId="0" fontId="24" fillId="0" borderId="0" xfId="18" applyFont="1" applyAlignment="1">
      <alignment horizontal="center" vertical="top"/>
    </xf>
    <xf numFmtId="169" fontId="23" fillId="0" borderId="0" xfId="18" applyNumberFormat="1" applyFont="1" applyAlignment="1">
      <alignment horizontal="center" vertical="top"/>
    </xf>
    <xf numFmtId="164" fontId="24" fillId="0" borderId="0" xfId="18" applyNumberFormat="1" applyFont="1" applyAlignment="1">
      <alignment horizontal="center" vertical="top"/>
    </xf>
    <xf numFmtId="165" fontId="24" fillId="0" borderId="0" xfId="18" applyNumberFormat="1" applyFont="1" applyAlignment="1">
      <alignment horizontal="center" vertical="top"/>
    </xf>
    <xf numFmtId="0" fontId="5" fillId="9" borderId="0" xfId="2" applyNumberFormat="1" applyFill="1" applyBorder="1" applyAlignment="1" applyProtection="1">
      <alignment vertical="center"/>
    </xf>
    <xf numFmtId="0" fontId="104" fillId="0" borderId="0" xfId="0" applyFont="1" applyAlignment="1">
      <alignment vertical="center"/>
    </xf>
    <xf numFmtId="10" fontId="0" fillId="0" borderId="6" xfId="23" applyNumberFormat="1" applyFont="1" applyBorder="1"/>
    <xf numFmtId="0" fontId="46" fillId="3" borderId="6" xfId="0" applyFont="1" applyFill="1" applyBorder="1" applyAlignment="1">
      <alignment horizontal="right" wrapText="1"/>
    </xf>
    <xf numFmtId="0" fontId="46" fillId="3" borderId="6" xfId="0" applyFont="1" applyFill="1" applyBorder="1" applyAlignment="1">
      <alignment horizontal="right"/>
    </xf>
    <xf numFmtId="0" fontId="21" fillId="0" borderId="0" xfId="17" quotePrefix="1" applyFont="1"/>
    <xf numFmtId="0" fontId="105" fillId="0" borderId="0" xfId="0" applyFont="1"/>
    <xf numFmtId="0" fontId="106" fillId="3" borderId="6" xfId="0" applyFont="1" applyFill="1" applyBorder="1" applyAlignment="1">
      <alignment horizontal="right" wrapText="1"/>
    </xf>
    <xf numFmtId="9" fontId="53" fillId="0" borderId="6" xfId="23" applyFont="1" applyBorder="1"/>
    <xf numFmtId="9" fontId="53" fillId="0" borderId="6" xfId="23" applyFont="1" applyBorder="1" applyAlignment="1">
      <alignment horizontal="right"/>
    </xf>
    <xf numFmtId="9" fontId="0" fillId="0" borderId="6" xfId="23" applyFont="1" applyBorder="1"/>
    <xf numFmtId="174" fontId="0" fillId="0" borderId="6" xfId="23" applyNumberFormat="1" applyFont="1" applyFill="1" applyBorder="1"/>
    <xf numFmtId="10" fontId="0" fillId="0" borderId="0" xfId="23" applyNumberFormat="1" applyFont="1"/>
    <xf numFmtId="184" fontId="34" fillId="0" borderId="0" xfId="0" applyNumberFormat="1" applyFont="1" applyAlignment="1">
      <alignment horizontal="right"/>
    </xf>
    <xf numFmtId="184" fontId="5" fillId="0" borderId="0" xfId="0" applyNumberFormat="1" applyFont="1" applyAlignment="1">
      <alignment horizontal="right"/>
    </xf>
    <xf numFmtId="0" fontId="28" fillId="0" borderId="0" xfId="17" applyFont="1"/>
    <xf numFmtId="0" fontId="22" fillId="0" borderId="1" xfId="5" applyFont="1" applyAlignment="1">
      <alignment horizontal="right" wrapText="1"/>
    </xf>
    <xf numFmtId="0" fontId="70" fillId="9" borderId="0" xfId="0" applyFont="1" applyFill="1" applyAlignment="1">
      <alignment horizontal="center" vertical="top" wrapText="1"/>
    </xf>
    <xf numFmtId="0" fontId="38" fillId="0" borderId="0" xfId="26" applyAlignment="1">
      <alignment wrapText="1"/>
    </xf>
    <xf numFmtId="179" fontId="0" fillId="0" borderId="6" xfId="23" applyNumberFormat="1" applyFont="1" applyFill="1" applyBorder="1"/>
    <xf numFmtId="3" fontId="0" fillId="0" borderId="6" xfId="0" applyNumberFormat="1" applyBorder="1"/>
    <xf numFmtId="0" fontId="27" fillId="3" borderId="6" xfId="0" applyFont="1" applyFill="1" applyBorder="1"/>
    <xf numFmtId="1" fontId="0" fillId="0" borderId="6" xfId="23" applyNumberFormat="1" applyFont="1" applyFill="1" applyBorder="1"/>
    <xf numFmtId="4" fontId="0" fillId="0" borderId="6" xfId="0" applyNumberFormat="1" applyBorder="1" applyAlignment="1">
      <alignment horizontal="center"/>
    </xf>
    <xf numFmtId="4" fontId="28" fillId="0" borderId="6" xfId="0" applyNumberFormat="1" applyFont="1" applyBorder="1"/>
    <xf numFmtId="173" fontId="0" fillId="0" borderId="6" xfId="0" applyNumberFormat="1" applyBorder="1"/>
    <xf numFmtId="4" fontId="0" fillId="0" borderId="6" xfId="23" applyNumberFormat="1" applyFont="1" applyFill="1" applyBorder="1" applyAlignment="1"/>
    <xf numFmtId="0" fontId="15" fillId="15" borderId="8" xfId="0" applyFont="1" applyFill="1" applyBorder="1"/>
    <xf numFmtId="0" fontId="15" fillId="15" borderId="9" xfId="0" applyFont="1" applyFill="1" applyBorder="1" applyAlignment="1">
      <alignment wrapText="1"/>
    </xf>
    <xf numFmtId="0" fontId="15" fillId="15" borderId="10" xfId="0" applyFont="1" applyFill="1" applyBorder="1" applyAlignment="1">
      <alignment wrapText="1"/>
    </xf>
    <xf numFmtId="4" fontId="0" fillId="0" borderId="6" xfId="0" applyNumberFormat="1" applyBorder="1"/>
    <xf numFmtId="0" fontId="15" fillId="15" borderId="9" xfId="0" applyFont="1" applyFill="1" applyBorder="1"/>
    <xf numFmtId="0" fontId="15" fillId="15" borderId="10" xfId="0" applyFont="1" applyFill="1" applyBorder="1"/>
    <xf numFmtId="0" fontId="27" fillId="3" borderId="19" xfId="0" applyFont="1" applyFill="1" applyBorder="1" applyAlignment="1">
      <alignment horizontal="center" wrapText="1"/>
    </xf>
    <xf numFmtId="0" fontId="27" fillId="3" borderId="19" xfId="67" applyFont="1" applyFill="1" applyBorder="1"/>
    <xf numFmtId="2" fontId="0" fillId="0" borderId="6" xfId="0" applyNumberFormat="1" applyBorder="1" applyAlignment="1">
      <alignment horizontal="center"/>
    </xf>
    <xf numFmtId="4" fontId="50" fillId="0" borderId="6" xfId="0" applyNumberFormat="1" applyFont="1" applyBorder="1" applyAlignment="1">
      <alignment horizontal="center"/>
    </xf>
    <xf numFmtId="0" fontId="1" fillId="0" borderId="0" xfId="13" applyFont="1"/>
    <xf numFmtId="0" fontId="1" fillId="0" borderId="0" xfId="0" applyFont="1"/>
    <xf numFmtId="0" fontId="1" fillId="9" borderId="6" xfId="0" applyFont="1" applyFill="1" applyBorder="1"/>
    <xf numFmtId="2" fontId="1" fillId="9" borderId="6" xfId="0" applyNumberFormat="1" applyFont="1" applyFill="1" applyBorder="1"/>
    <xf numFmtId="0" fontId="0" fillId="9" borderId="6" xfId="0" applyFill="1" applyBorder="1" applyAlignment="1">
      <alignment horizontal="left" vertical="center" wrapText="1"/>
    </xf>
    <xf numFmtId="0" fontId="0" fillId="0" borderId="0" xfId="0" applyAlignment="1">
      <alignment horizontal="left" wrapText="1"/>
    </xf>
    <xf numFmtId="0" fontId="0" fillId="0" borderId="0" xfId="0" applyAlignment="1">
      <alignment horizontal="left"/>
    </xf>
    <xf numFmtId="0" fontId="55" fillId="0" borderId="0" xfId="0" applyFont="1" applyAlignment="1">
      <alignment horizontal="left"/>
    </xf>
    <xf numFmtId="0" fontId="15" fillId="0" borderId="0" xfId="0" applyFont="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0"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15" fillId="0" borderId="0" xfId="0" applyFont="1" applyAlignment="1">
      <alignment horizontal="left" wrapText="1"/>
    </xf>
    <xf numFmtId="0" fontId="0" fillId="0" borderId="6" xfId="0" applyBorder="1" applyAlignment="1">
      <alignment horizontal="left"/>
    </xf>
    <xf numFmtId="0" fontId="33" fillId="9" borderId="0" xfId="2" applyNumberFormat="1" applyFont="1" applyFill="1" applyAlignment="1" applyProtection="1">
      <alignment horizontal="left" vertical="center"/>
    </xf>
    <xf numFmtId="0" fontId="0" fillId="9" borderId="7" xfId="0" applyFill="1" applyBorder="1" applyAlignment="1">
      <alignment horizontal="left" vertical="top" wrapText="1"/>
    </xf>
    <xf numFmtId="0" fontId="70" fillId="9" borderId="14" xfId="0" applyFont="1" applyFill="1" applyBorder="1" applyAlignment="1">
      <alignment horizontal="center" vertical="center" wrapText="1"/>
    </xf>
    <xf numFmtId="0" fontId="70" fillId="0" borderId="14" xfId="0" applyFont="1" applyBorder="1" applyAlignment="1">
      <alignment horizontal="center" vertical="center" wrapText="1"/>
    </xf>
    <xf numFmtId="0" fontId="0" fillId="9" borderId="7" xfId="0" applyFill="1" applyBorder="1" applyAlignment="1">
      <alignment horizontal="left" vertical="top"/>
    </xf>
    <xf numFmtId="0" fontId="0" fillId="9" borderId="15" xfId="0" applyFill="1" applyBorder="1" applyAlignment="1">
      <alignment horizontal="left" vertical="top" wrapText="1"/>
    </xf>
    <xf numFmtId="0" fontId="0" fillId="9" borderId="7" xfId="0" applyFill="1" applyBorder="1" applyAlignment="1">
      <alignment horizontal="left"/>
    </xf>
    <xf numFmtId="0" fontId="0" fillId="9" borderId="15" xfId="0" applyFill="1" applyBorder="1" applyAlignment="1">
      <alignment horizontal="left" vertical="top"/>
    </xf>
    <xf numFmtId="0" fontId="0" fillId="9" borderId="15" xfId="0" applyFill="1" applyBorder="1" applyAlignment="1">
      <alignment horizontal="left"/>
    </xf>
    <xf numFmtId="0" fontId="0" fillId="9" borderId="0" xfId="0" applyFill="1" applyAlignment="1">
      <alignment horizontal="left"/>
    </xf>
    <xf numFmtId="0" fontId="91" fillId="9" borderId="0" xfId="0" applyFont="1" applyFill="1" applyAlignment="1">
      <alignment horizontal="center"/>
    </xf>
    <xf numFmtId="0" fontId="0" fillId="9" borderId="16" xfId="0" applyFill="1" applyBorder="1" applyAlignment="1">
      <alignment horizontal="left" vertical="top"/>
    </xf>
    <xf numFmtId="0" fontId="0" fillId="9" borderId="0" xfId="0" applyFill="1" applyAlignment="1">
      <alignment horizontal="left" vertical="top" wrapText="1"/>
    </xf>
    <xf numFmtId="0" fontId="64" fillId="15" borderId="11" xfId="0" applyFont="1" applyFill="1" applyBorder="1" applyAlignment="1">
      <alignment horizontal="left"/>
    </xf>
    <xf numFmtId="0" fontId="0" fillId="9" borderId="7" xfId="0" applyFill="1" applyBorder="1" applyAlignment="1">
      <alignment horizontal="left" wrapText="1"/>
    </xf>
    <xf numFmtId="0" fontId="64" fillId="15" borderId="7" xfId="0" applyFont="1" applyFill="1" applyBorder="1" applyAlignment="1">
      <alignment horizontal="left"/>
    </xf>
    <xf numFmtId="0" fontId="0" fillId="9" borderId="9" xfId="0" applyFill="1" applyBorder="1" applyAlignment="1">
      <alignment horizontal="center" vertical="top" wrapText="1"/>
    </xf>
    <xf numFmtId="0" fontId="0" fillId="9" borderId="14" xfId="0" applyFill="1" applyBorder="1" applyAlignment="1">
      <alignment horizontal="left"/>
    </xf>
    <xf numFmtId="0" fontId="0" fillId="9" borderId="14" xfId="0" applyFill="1" applyBorder="1" applyAlignment="1">
      <alignment horizontal="left" wrapText="1"/>
    </xf>
    <xf numFmtId="0" fontId="38" fillId="10" borderId="6" xfId="26" applyFill="1" applyBorder="1" applyAlignment="1" applyProtection="1">
      <alignment horizontal="center"/>
    </xf>
    <xf numFmtId="0" fontId="84" fillId="10" borderId="6" xfId="26" applyFont="1" applyFill="1" applyBorder="1" applyAlignment="1" applyProtection="1">
      <alignment horizontal="center"/>
    </xf>
    <xf numFmtId="0" fontId="40" fillId="0" borderId="18" xfId="26" applyFont="1" applyFill="1" applyBorder="1" applyAlignment="1">
      <alignment horizontal="left" vertical="center"/>
    </xf>
    <xf numFmtId="0" fontId="40" fillId="0" borderId="20" xfId="26" applyFont="1" applyFill="1" applyBorder="1" applyAlignment="1">
      <alignment horizontal="left" vertical="center"/>
    </xf>
    <xf numFmtId="0" fontId="40" fillId="0" borderId="19" xfId="26" applyFont="1" applyFill="1" applyBorder="1" applyAlignment="1">
      <alignment horizontal="left" vertical="center"/>
    </xf>
    <xf numFmtId="9" fontId="5" fillId="10" borderId="18" xfId="0" applyNumberFormat="1" applyFont="1" applyFill="1" applyBorder="1" applyAlignment="1">
      <alignment horizontal="center" vertical="center"/>
    </xf>
    <xf numFmtId="9" fontId="5" fillId="10" borderId="20" xfId="0" applyNumberFormat="1" applyFont="1" applyFill="1" applyBorder="1" applyAlignment="1">
      <alignment horizontal="center" vertical="center"/>
    </xf>
    <xf numFmtId="9" fontId="5" fillId="10" borderId="19" xfId="0" applyNumberFormat="1" applyFont="1" applyFill="1" applyBorder="1" applyAlignment="1">
      <alignment horizontal="center" vertical="center"/>
    </xf>
    <xf numFmtId="4" fontId="0" fillId="10" borderId="18" xfId="0" applyNumberFormat="1" applyFill="1" applyBorder="1" applyAlignment="1">
      <alignment horizontal="center" vertical="center"/>
    </xf>
    <xf numFmtId="4" fontId="0" fillId="10" borderId="20" xfId="0" applyNumberFormat="1" applyFill="1" applyBorder="1" applyAlignment="1">
      <alignment horizontal="center" vertical="center"/>
    </xf>
    <xf numFmtId="4" fontId="0" fillId="10" borderId="19" xfId="0" applyNumberFormat="1" applyFill="1" applyBorder="1" applyAlignment="1">
      <alignment horizontal="center" vertical="center"/>
    </xf>
    <xf numFmtId="9" fontId="0" fillId="10" borderId="18" xfId="0" applyNumberFormat="1" applyFill="1" applyBorder="1" applyAlignment="1">
      <alignment horizontal="center" vertical="center"/>
    </xf>
    <xf numFmtId="9" fontId="0" fillId="10" borderId="20" xfId="0" applyNumberFormat="1" applyFill="1" applyBorder="1" applyAlignment="1">
      <alignment horizontal="center" vertical="center"/>
    </xf>
    <xf numFmtId="9" fontId="0" fillId="10" borderId="19" xfId="0" applyNumberFormat="1" applyFill="1" applyBorder="1" applyAlignment="1">
      <alignment horizontal="center" vertical="center"/>
    </xf>
    <xf numFmtId="0" fontId="40" fillId="0" borderId="18" xfId="26" applyFont="1" applyBorder="1" applyAlignment="1">
      <alignment horizontal="left" vertical="center" wrapText="1"/>
    </xf>
    <xf numFmtId="0" fontId="40" fillId="0" borderId="19" xfId="26" applyFont="1" applyBorder="1" applyAlignment="1">
      <alignment horizontal="left" vertical="center" wrapText="1"/>
    </xf>
    <xf numFmtId="0" fontId="0" fillId="0" borderId="11" xfId="0" applyBorder="1"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4" xfId="0" applyBorder="1" applyAlignment="1">
      <alignment horizontal="center" wrapText="1"/>
    </xf>
    <xf numFmtId="0" fontId="0" fillId="0" borderId="15"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40" fillId="0" borderId="18" xfId="26" applyFont="1" applyBorder="1" applyAlignment="1">
      <alignment horizontal="left" vertical="center"/>
    </xf>
    <xf numFmtId="0" fontId="40" fillId="0" borderId="20" xfId="26" applyFont="1" applyBorder="1" applyAlignment="1">
      <alignment horizontal="left" vertical="center"/>
    </xf>
    <xf numFmtId="0" fontId="40" fillId="0" borderId="19" xfId="26" applyFont="1" applyBorder="1" applyAlignment="1">
      <alignment horizontal="left" vertical="center"/>
    </xf>
    <xf numFmtId="0" fontId="0" fillId="0" borderId="6" xfId="0" applyBorder="1" applyAlignment="1">
      <alignment horizontal="center" vertical="center" wrapText="1"/>
    </xf>
    <xf numFmtId="173" fontId="74" fillId="3" borderId="18" xfId="0" applyNumberFormat="1" applyFont="1" applyFill="1" applyBorder="1" applyAlignment="1">
      <alignment horizontal="center" vertical="center"/>
    </xf>
    <xf numFmtId="173" fontId="74" fillId="3" borderId="20" xfId="0" applyNumberFormat="1" applyFont="1" applyFill="1" applyBorder="1" applyAlignment="1">
      <alignment horizontal="center" vertical="center"/>
    </xf>
    <xf numFmtId="173" fontId="74" fillId="3" borderId="19" xfId="0" applyNumberFormat="1" applyFont="1" applyFill="1" applyBorder="1" applyAlignment="1">
      <alignment horizontal="center" vertical="center"/>
    </xf>
    <xf numFmtId="0" fontId="40" fillId="0" borderId="18" xfId="26" applyFont="1" applyFill="1" applyBorder="1" applyAlignment="1">
      <alignment horizontal="left" vertical="center" wrapText="1"/>
    </xf>
    <xf numFmtId="0" fontId="40" fillId="0" borderId="19" xfId="26" applyFont="1" applyFill="1" applyBorder="1" applyAlignment="1">
      <alignment horizontal="left" vertical="center" wrapText="1"/>
    </xf>
    <xf numFmtId="0" fontId="40" fillId="10" borderId="18" xfId="26" applyFont="1" applyFill="1" applyBorder="1" applyAlignment="1">
      <alignment horizontal="left" vertical="center"/>
    </xf>
    <xf numFmtId="0" fontId="40" fillId="10" borderId="20" xfId="26" applyFont="1" applyFill="1" applyBorder="1" applyAlignment="1">
      <alignment horizontal="left" vertical="center"/>
    </xf>
    <xf numFmtId="0" fontId="40" fillId="10" borderId="19" xfId="26" applyFont="1" applyFill="1" applyBorder="1" applyAlignment="1">
      <alignment horizontal="left" vertical="center"/>
    </xf>
    <xf numFmtId="4" fontId="0" fillId="10" borderId="6" xfId="0" applyNumberFormat="1" applyFill="1" applyBorder="1" applyAlignment="1">
      <alignment horizontal="center" vertical="center"/>
    </xf>
    <xf numFmtId="0" fontId="0" fillId="10" borderId="6" xfId="0" applyFill="1" applyBorder="1" applyAlignment="1">
      <alignment horizontal="center" vertical="center"/>
    </xf>
    <xf numFmtId="173" fontId="15" fillId="10" borderId="18" xfId="0" applyNumberFormat="1" applyFont="1" applyFill="1" applyBorder="1" applyAlignment="1">
      <alignment horizontal="center" vertical="center"/>
    </xf>
    <xf numFmtId="173" fontId="15" fillId="10" borderId="20" xfId="0" applyNumberFormat="1" applyFont="1" applyFill="1" applyBorder="1" applyAlignment="1">
      <alignment horizontal="center" vertical="center"/>
    </xf>
    <xf numFmtId="173" fontId="15" fillId="10" borderId="19" xfId="0" applyNumberFormat="1" applyFont="1" applyFill="1" applyBorder="1" applyAlignment="1">
      <alignment horizontal="center" vertical="center"/>
    </xf>
    <xf numFmtId="0" fontId="40" fillId="0" borderId="18" xfId="26" applyFont="1" applyFill="1" applyBorder="1" applyAlignment="1">
      <alignment horizontal="center" vertical="center"/>
    </xf>
    <xf numFmtId="0" fontId="40" fillId="0" borderId="20" xfId="26" applyFont="1" applyFill="1" applyBorder="1" applyAlignment="1">
      <alignment horizontal="center" vertical="center"/>
    </xf>
    <xf numFmtId="0" fontId="40" fillId="0" borderId="19" xfId="26" applyFont="1" applyFill="1" applyBorder="1" applyAlignment="1">
      <alignment horizontal="center" vertical="center"/>
    </xf>
    <xf numFmtId="0" fontId="0" fillId="10" borderId="18" xfId="0" applyFill="1" applyBorder="1" applyAlignment="1">
      <alignment horizontal="center" vertical="center"/>
    </xf>
    <xf numFmtId="0" fontId="0" fillId="10" borderId="20" xfId="0" applyFill="1" applyBorder="1" applyAlignment="1">
      <alignment horizontal="center" vertical="center"/>
    </xf>
    <xf numFmtId="0" fontId="0" fillId="10" borderId="19" xfId="0" applyFill="1" applyBorder="1" applyAlignment="1">
      <alignment horizontal="center" vertical="center"/>
    </xf>
    <xf numFmtId="9" fontId="5" fillId="10" borderId="18" xfId="23" applyFont="1" applyFill="1" applyBorder="1" applyAlignment="1">
      <alignment horizontal="center" vertical="center"/>
    </xf>
    <xf numFmtId="9" fontId="5" fillId="10" borderId="20" xfId="23" applyFont="1" applyFill="1" applyBorder="1" applyAlignment="1">
      <alignment horizontal="center" vertical="center"/>
    </xf>
    <xf numFmtId="9" fontId="5" fillId="10" borderId="19" xfId="23" applyFont="1" applyFill="1" applyBorder="1" applyAlignment="1">
      <alignment horizontal="center" vertical="center"/>
    </xf>
    <xf numFmtId="4" fontId="0" fillId="10" borderId="18" xfId="0" applyNumberFormat="1" applyFill="1" applyBorder="1" applyAlignment="1">
      <alignment horizontal="center" vertical="center" wrapText="1"/>
    </xf>
    <xf numFmtId="4" fontId="0" fillId="10" borderId="20" xfId="0" applyNumberFormat="1" applyFill="1" applyBorder="1" applyAlignment="1">
      <alignment horizontal="center" vertical="center" wrapText="1"/>
    </xf>
    <xf numFmtId="4" fontId="0" fillId="10" borderId="19" xfId="0" applyNumberFormat="1" applyFill="1" applyBorder="1" applyAlignment="1">
      <alignment horizontal="center" vertical="center" wrapText="1"/>
    </xf>
    <xf numFmtId="9" fontId="5" fillId="10" borderId="18" xfId="0" applyNumberFormat="1" applyFont="1" applyFill="1" applyBorder="1" applyAlignment="1">
      <alignment horizontal="center"/>
    </xf>
    <xf numFmtId="9" fontId="5" fillId="10" borderId="20" xfId="0" applyNumberFormat="1" applyFont="1" applyFill="1" applyBorder="1" applyAlignment="1">
      <alignment horizontal="center"/>
    </xf>
    <xf numFmtId="9" fontId="5" fillId="10" borderId="19" xfId="0" applyNumberFormat="1" applyFont="1" applyFill="1" applyBorder="1" applyAlignment="1">
      <alignment horizontal="center"/>
    </xf>
    <xf numFmtId="0" fontId="62" fillId="20" borderId="8" xfId="0" applyFont="1" applyFill="1" applyBorder="1" applyAlignment="1">
      <alignment horizontal="center"/>
    </xf>
    <xf numFmtId="0" fontId="62" fillId="20" borderId="6" xfId="0" applyFont="1" applyFill="1" applyBorder="1" applyAlignment="1">
      <alignment horizontal="center"/>
    </xf>
    <xf numFmtId="0" fontId="62" fillId="20" borderId="9" xfId="0" applyFont="1" applyFill="1" applyBorder="1" applyAlignment="1">
      <alignment horizontal="center"/>
    </xf>
    <xf numFmtId="0" fontId="62" fillId="20" borderId="10" xfId="0" applyFont="1" applyFill="1" applyBorder="1" applyAlignment="1">
      <alignment horizontal="center"/>
    </xf>
    <xf numFmtId="0" fontId="62" fillId="20" borderId="8" xfId="0" applyFont="1" applyFill="1" applyBorder="1" applyAlignment="1">
      <alignment horizontal="center" wrapText="1"/>
    </xf>
  </cellXfs>
  <cellStyles count="68">
    <cellStyle name="60% - Accent1 4 2" xfId="31" xr:uid="{00000000-0005-0000-0000-000000000000}"/>
    <cellStyle name="Accent1" xfId="67" builtinId="29"/>
    <cellStyle name="Calculation - 1" xfId="3" xr:uid="{00000000-0005-0000-0000-000001000000}"/>
    <cellStyle name="Calculation - 2" xfId="1" xr:uid="{00000000-0005-0000-0000-000002000000}"/>
    <cellStyle name="Calculation - 3" xfId="11" xr:uid="{00000000-0005-0000-0000-000003000000}"/>
    <cellStyle name="Comma" xfId="22" builtinId="3"/>
    <cellStyle name="Comma 141" xfId="32" xr:uid="{00000000-0005-0000-0000-000005000000}"/>
    <cellStyle name="Comma 2" xfId="20" xr:uid="{00000000-0005-0000-0000-000006000000}"/>
    <cellStyle name="Comma 5" xfId="16" xr:uid="{00000000-0005-0000-0000-000007000000}"/>
    <cellStyle name="Free Entry" xfId="2" xr:uid="{00000000-0005-0000-0000-000008000000}"/>
    <cellStyle name="Heading - 1" xfId="5" xr:uid="{00000000-0005-0000-0000-000009000000}"/>
    <cellStyle name="Heading - 2" xfId="9" xr:uid="{00000000-0005-0000-0000-00000A000000}"/>
    <cellStyle name="Hyperlink" xfId="26" builtinId="8"/>
    <cellStyle name="Linked Cell 2 8" xfId="33" xr:uid="{00000000-0005-0000-0000-00000C000000}"/>
    <cellStyle name="Listed Input" xfId="12" xr:uid="{00000000-0005-0000-0000-00000D000000}"/>
    <cellStyle name="Listed Input 2" xfId="21" xr:uid="{00000000-0005-0000-0000-00000E000000}"/>
    <cellStyle name="Named Range" xfId="8" xr:uid="{00000000-0005-0000-0000-00000F000000}"/>
    <cellStyle name="Normal" xfId="0" builtinId="0" customBuiltin="1"/>
    <cellStyle name="Normal - Style1 2" xfId="34" xr:uid="{00000000-0005-0000-0000-000011000000}"/>
    <cellStyle name="Normal 10 10" xfId="35" xr:uid="{00000000-0005-0000-0000-000012000000}"/>
    <cellStyle name="Normal 10 10 4" xfId="36" xr:uid="{00000000-0005-0000-0000-000013000000}"/>
    <cellStyle name="Normal 10 10 5" xfId="37" xr:uid="{00000000-0005-0000-0000-000014000000}"/>
    <cellStyle name="Normal 10 13" xfId="38" xr:uid="{00000000-0005-0000-0000-000015000000}"/>
    <cellStyle name="Normal 119" xfId="39" xr:uid="{00000000-0005-0000-0000-000016000000}"/>
    <cellStyle name="Normal 119 2" xfId="40" xr:uid="{00000000-0005-0000-0000-000017000000}"/>
    <cellStyle name="Normal 134 2 2" xfId="41" xr:uid="{00000000-0005-0000-0000-000018000000}"/>
    <cellStyle name="Normal 155 2" xfId="42" xr:uid="{00000000-0005-0000-0000-000019000000}"/>
    <cellStyle name="Normal 156" xfId="43" xr:uid="{00000000-0005-0000-0000-00001A000000}"/>
    <cellStyle name="Normal 157" xfId="44" xr:uid="{00000000-0005-0000-0000-00001B000000}"/>
    <cellStyle name="Normal 164" xfId="45" xr:uid="{00000000-0005-0000-0000-00001C000000}"/>
    <cellStyle name="Normal 165" xfId="46" xr:uid="{00000000-0005-0000-0000-00001D000000}"/>
    <cellStyle name="Normal 166" xfId="47" xr:uid="{00000000-0005-0000-0000-00001E000000}"/>
    <cellStyle name="Normal 167" xfId="48" xr:uid="{00000000-0005-0000-0000-00001F000000}"/>
    <cellStyle name="Normal 168" xfId="49" xr:uid="{00000000-0005-0000-0000-000020000000}"/>
    <cellStyle name="Normal 169" xfId="50" xr:uid="{00000000-0005-0000-0000-000021000000}"/>
    <cellStyle name="Normal 170" xfId="51" xr:uid="{00000000-0005-0000-0000-000022000000}"/>
    <cellStyle name="Normal 2" xfId="13" xr:uid="{00000000-0005-0000-0000-000023000000}"/>
    <cellStyle name="Normal 2 10" xfId="52" xr:uid="{00000000-0005-0000-0000-000024000000}"/>
    <cellStyle name="Normal 2 2" xfId="30" xr:uid="{00000000-0005-0000-0000-000025000000}"/>
    <cellStyle name="Normal 2 2 9 3" xfId="53" xr:uid="{00000000-0005-0000-0000-000026000000}"/>
    <cellStyle name="Normal 2 24" xfId="54" xr:uid="{00000000-0005-0000-0000-000027000000}"/>
    <cellStyle name="Normal 2 25" xfId="55" xr:uid="{00000000-0005-0000-0000-000028000000}"/>
    <cellStyle name="Normal 2 61" xfId="17" xr:uid="{00000000-0005-0000-0000-000029000000}"/>
    <cellStyle name="Normal 3" xfId="24" xr:uid="{00000000-0005-0000-0000-00002A000000}"/>
    <cellStyle name="Normal 3 2" xfId="56" xr:uid="{00000000-0005-0000-0000-00002B000000}"/>
    <cellStyle name="Normal 3 2 2" xfId="29" xr:uid="{00000000-0005-0000-0000-00002C000000}"/>
    <cellStyle name="Normal 4" xfId="14" xr:uid="{00000000-0005-0000-0000-00002D000000}"/>
    <cellStyle name="Normal 4 2" xfId="15" xr:uid="{00000000-0005-0000-0000-00002E000000}"/>
    <cellStyle name="Normal 5" xfId="28" xr:uid="{00000000-0005-0000-0000-00002F000000}"/>
    <cellStyle name="Normal 56" xfId="27" xr:uid="{00000000-0005-0000-0000-000030000000}"/>
    <cellStyle name="Normal 83" xfId="57" xr:uid="{00000000-0005-0000-0000-000031000000}"/>
    <cellStyle name="Normal_Conversion_gal and bbl_final1_updated" xfId="18" xr:uid="{00000000-0005-0000-0000-000032000000}"/>
    <cellStyle name="Normal_European Ethanol SD model_15_clean" xfId="19" xr:uid="{00000000-0005-0000-0000-000034000000}"/>
    <cellStyle name="Per cent" xfId="23" builtinId="5"/>
    <cellStyle name="Percent 2" xfId="25" xr:uid="{00000000-0005-0000-0000-000036000000}"/>
    <cellStyle name="Percent 2 14" xfId="58" xr:uid="{00000000-0005-0000-0000-000037000000}"/>
    <cellStyle name="Percent 2 21 2" xfId="59" xr:uid="{00000000-0005-0000-0000-000038000000}"/>
    <cellStyle name="Percent 7 2 2 2 2" xfId="60" xr:uid="{00000000-0005-0000-0000-000039000000}"/>
    <cellStyle name="Percent 87" xfId="61" xr:uid="{00000000-0005-0000-0000-00003A000000}"/>
    <cellStyle name="Percent 90" xfId="62" xr:uid="{00000000-0005-0000-0000-00003B000000}"/>
    <cellStyle name="Percent 92" xfId="63" xr:uid="{00000000-0005-0000-0000-00003C000000}"/>
    <cellStyle name="Percent 98" xfId="64" xr:uid="{00000000-0005-0000-0000-00003D000000}"/>
    <cellStyle name="Reference" xfId="7" xr:uid="{00000000-0005-0000-0000-00003E000000}"/>
    <cellStyle name="Sheet Title" xfId="4" xr:uid="{00000000-0005-0000-0000-00003F000000}"/>
    <cellStyle name="Sub heading - 1" xfId="10" xr:uid="{00000000-0005-0000-0000-000040000000}"/>
    <cellStyle name="Sub heading - 2" xfId="6" xr:uid="{00000000-0005-0000-0000-000041000000}"/>
    <cellStyle name="Title 1" xfId="65" xr:uid="{00000000-0005-0000-0000-000042000000}"/>
    <cellStyle name="Title 3 2" xfId="66" xr:uid="{00000000-0005-0000-0000-000043000000}"/>
  </cellStyles>
  <dxfs count="153">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bgColor theme="0"/>
        </patternFill>
      </fill>
      <border>
        <left/>
        <right/>
        <top/>
        <bottom/>
        <vertical/>
        <horizontal/>
      </border>
    </dxf>
    <dxf>
      <font>
        <color theme="0"/>
      </font>
      <fill>
        <patternFill patternType="solid">
          <fgColor theme="0"/>
          <bgColor theme="0"/>
        </patternFill>
      </fill>
      <border>
        <left/>
        <right/>
        <top/>
        <bottom/>
        <vertical/>
        <horizontal/>
      </border>
    </dxf>
    <dxf>
      <font>
        <strike val="0"/>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fgColor theme="0"/>
          <bgColor theme="0"/>
        </patternFill>
      </fill>
    </dxf>
    <dxf>
      <font>
        <color theme="0"/>
      </font>
      <fill>
        <patternFill>
          <fgColor theme="0"/>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fgColor theme="0"/>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f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patternType="solid">
          <fgColor theme="0"/>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0"/>
      </font>
      <fill>
        <patternFill>
          <bgColor theme="0"/>
        </patternFill>
      </fill>
      <border>
        <left/>
        <right/>
        <top/>
        <bottom/>
      </border>
    </dxf>
    <dxf>
      <font>
        <color theme="0"/>
      </font>
      <fill>
        <patternFill>
          <bgColor theme="0"/>
        </patternFill>
      </fill>
      <border>
        <left/>
        <right/>
        <top/>
        <bottom/>
        <vertical/>
        <horizontal/>
      </border>
    </dxf>
    <dxf>
      <font>
        <color theme="7" tint="-0.499984740745262"/>
      </font>
      <fill>
        <patternFill>
          <bgColor theme="0"/>
        </patternFill>
      </fill>
      <border>
        <right style="thin">
          <color auto="1"/>
        </right>
        <top style="thin">
          <color auto="1"/>
        </top>
        <bottom style="thin">
          <color auto="1"/>
        </bottom>
        <vertical/>
        <horizontal/>
      </border>
    </dxf>
    <dxf>
      <fill>
        <patternFill>
          <bgColor theme="7" tint="0.79998168889431442"/>
        </patternFill>
      </fill>
    </dxf>
    <dxf>
      <fill>
        <patternFill>
          <bgColor rgb="FFFF0000"/>
        </patternFill>
      </fill>
    </dxf>
    <dxf>
      <fill>
        <patternFill patternType="solid">
          <fgColor theme="7" tint="0.59999389629810485"/>
          <bgColor theme="7" tint="0.59999389629810485"/>
        </patternFill>
      </fill>
    </dxf>
    <dxf>
      <fill>
        <patternFill patternType="solid">
          <fgColor theme="7" tint="0.59999389629810485"/>
          <bgColor theme="7" tint="0.59999389629810485"/>
        </patternFill>
      </fill>
    </dxf>
    <dxf>
      <font>
        <b/>
        <color theme="0"/>
      </font>
      <fill>
        <patternFill patternType="solid">
          <fgColor theme="7"/>
          <bgColor theme="7"/>
        </patternFill>
      </fill>
    </dxf>
    <dxf>
      <font>
        <b/>
        <color theme="0"/>
      </font>
      <fill>
        <patternFill patternType="solid">
          <fgColor theme="7"/>
          <bgColor theme="7"/>
        </patternFill>
      </fill>
    </dxf>
    <dxf>
      <font>
        <b/>
        <color theme="0"/>
      </font>
      <fill>
        <patternFill patternType="solid">
          <fgColor theme="7"/>
          <bgColor theme="7"/>
        </patternFill>
      </fill>
      <border>
        <top style="thick">
          <color theme="0"/>
        </top>
      </border>
    </dxf>
    <dxf>
      <font>
        <b/>
        <color theme="0"/>
      </font>
      <fill>
        <patternFill patternType="solid">
          <fgColor theme="7"/>
          <bgColor theme="7"/>
        </patternFill>
      </fill>
      <border>
        <bottom style="thick">
          <color theme="0"/>
        </bottom>
      </border>
    </dxf>
    <dxf>
      <font>
        <color theme="1"/>
      </font>
      <fill>
        <patternFill patternType="solid">
          <fgColor theme="7" tint="0.79998168889431442"/>
          <bgColor theme="7" tint="0.79998168889431442"/>
        </patternFill>
      </fill>
      <border>
        <vertical style="thin">
          <color theme="0"/>
        </vertical>
        <horizontal style="thin">
          <color theme="0"/>
        </horizontal>
      </border>
    </dxf>
    <dxf>
      <fill>
        <patternFill patternType="solid">
          <fgColor theme="6" tint="0.59999389629810485"/>
          <bgColor theme="6" tint="0.59999389629810485"/>
        </patternFill>
      </fill>
    </dxf>
    <dxf>
      <fill>
        <patternFill patternType="solid">
          <fgColor theme="6" tint="0.59999389629810485"/>
          <bgColor theme="6" tint="0.59999389629810485"/>
        </patternFill>
      </fill>
    </dxf>
    <dxf>
      <font>
        <b/>
        <color theme="0"/>
      </font>
      <fill>
        <patternFill patternType="solid">
          <fgColor theme="6"/>
          <bgColor theme="6"/>
        </patternFill>
      </fill>
    </dxf>
    <dxf>
      <font>
        <b/>
        <color theme="0"/>
      </font>
      <fill>
        <patternFill patternType="solid">
          <fgColor theme="6"/>
          <bgColor theme="6"/>
        </patternFill>
      </fill>
    </dxf>
    <dxf>
      <font>
        <b/>
        <color theme="0"/>
      </font>
      <fill>
        <patternFill patternType="solid">
          <fgColor theme="6"/>
          <bgColor theme="6"/>
        </patternFill>
      </fill>
      <border>
        <top style="thick">
          <color theme="0"/>
        </top>
      </border>
    </dxf>
    <dxf>
      <font>
        <b/>
        <color theme="0"/>
      </font>
      <fill>
        <patternFill patternType="solid">
          <fgColor theme="6"/>
          <bgColor theme="6"/>
        </patternFill>
      </fill>
      <border>
        <bottom style="thick">
          <color theme="0"/>
        </bottom>
      </border>
    </dxf>
    <dxf>
      <font>
        <color theme="1"/>
      </font>
      <fill>
        <patternFill patternType="solid">
          <fgColor theme="6" tint="0.79998168889431442"/>
          <bgColor theme="6" tint="0.79998168889431442"/>
        </patternFill>
      </fill>
      <border>
        <vertical style="thin">
          <color theme="0"/>
        </vertical>
        <horizontal style="thin">
          <color theme="0"/>
        </horizontal>
      </border>
    </dxf>
    <dxf>
      <fill>
        <patternFill patternType="solid">
          <fgColor theme="7" tint="0.79998168889431442"/>
          <bgColor theme="7" tint="0.79998168889431442"/>
        </patternFill>
      </fill>
    </dxf>
    <dxf>
      <fill>
        <patternFill patternType="solid">
          <fgColor theme="7" tint="0.79995117038483843"/>
          <bgColor theme="7" tint="0.59996337778862885"/>
        </patternFill>
      </fill>
    </dxf>
    <dxf>
      <font>
        <b/>
        <color theme="7" tint="-0.249977111117893"/>
      </font>
    </dxf>
    <dxf>
      <font>
        <b/>
        <color theme="7" tint="-0.249977111117893"/>
      </font>
    </dxf>
    <dxf>
      <font>
        <b/>
        <color theme="7" tint="-0.249977111117893"/>
      </font>
      <border>
        <top style="thin">
          <color theme="7"/>
        </top>
      </border>
    </dxf>
    <dxf>
      <font>
        <b/>
        <i val="0"/>
        <color theme="7" tint="-0.499984740745262"/>
      </font>
      <border>
        <bottom style="thin">
          <color theme="7"/>
        </bottom>
      </border>
    </dxf>
    <dxf>
      <font>
        <color theme="7" tint="-0.499984740745262"/>
      </font>
      <border>
        <top style="thin">
          <color theme="7"/>
        </top>
        <bottom style="thin">
          <color theme="7"/>
        </bottom>
      </border>
    </dxf>
    <dxf>
      <fill>
        <patternFill patternType="solid">
          <fgColor theme="6" tint="0.79998168889431442"/>
          <bgColor theme="6" tint="0.79998168889431442"/>
        </patternFill>
      </fill>
    </dxf>
    <dxf>
      <fill>
        <patternFill patternType="solid">
          <fgColor theme="6" tint="0.79995117038483843"/>
          <bgColor theme="6" tint="0.59996337778862885"/>
        </patternFill>
      </fill>
    </dxf>
    <dxf>
      <font>
        <b/>
        <color theme="6" tint="-0.249977111117893"/>
      </font>
    </dxf>
    <dxf>
      <font>
        <b/>
        <color theme="6" tint="-0.249977111117893"/>
      </font>
    </dxf>
    <dxf>
      <font>
        <b/>
        <color theme="6" tint="-0.249977111117893"/>
      </font>
      <border>
        <top style="thin">
          <color theme="6"/>
        </top>
      </border>
    </dxf>
    <dxf>
      <font>
        <b/>
        <i val="0"/>
        <color theme="5"/>
      </font>
      <border>
        <bottom style="thin">
          <color theme="6"/>
        </bottom>
      </border>
    </dxf>
    <dxf>
      <font>
        <color auto="1"/>
      </font>
      <border>
        <top style="thin">
          <color theme="6"/>
        </top>
        <bottom style="thin">
          <color theme="6"/>
        </bottom>
      </border>
    </dxf>
    <dxf>
      <border>
        <left style="thin">
          <color theme="7"/>
        </left>
      </border>
    </dxf>
    <dxf>
      <border>
        <left style="thin">
          <color theme="7"/>
        </left>
      </border>
    </dxf>
    <dxf>
      <border>
        <top style="thin">
          <color theme="7"/>
        </top>
      </border>
    </dxf>
    <dxf>
      <border>
        <top style="thin">
          <color theme="7"/>
        </top>
      </border>
    </dxf>
    <dxf>
      <font>
        <b/>
        <color theme="1"/>
      </font>
    </dxf>
    <dxf>
      <font>
        <b/>
        <color theme="1"/>
      </font>
    </dxf>
    <dxf>
      <font>
        <b/>
        <color theme="1"/>
      </font>
      <border>
        <top style="double">
          <color theme="7"/>
        </top>
      </border>
    </dxf>
    <dxf>
      <font>
        <b/>
        <color theme="0"/>
      </font>
      <fill>
        <patternFill patternType="solid">
          <fgColor theme="7"/>
          <bgColor theme="7"/>
        </patternFill>
      </fill>
    </dxf>
    <dxf>
      <font>
        <color theme="1"/>
      </font>
      <border>
        <left style="thin">
          <color theme="7"/>
        </left>
        <right style="thin">
          <color theme="7"/>
        </right>
        <top style="thin">
          <color theme="7"/>
        </top>
        <bottom style="thin">
          <color theme="7"/>
        </bottom>
      </border>
    </dxf>
    <dxf>
      <border>
        <left style="thin">
          <color theme="6"/>
        </left>
      </border>
    </dxf>
    <dxf>
      <border>
        <left style="thin">
          <color theme="6"/>
        </left>
      </border>
    </dxf>
    <dxf>
      <border>
        <top style="thin">
          <color theme="6"/>
        </top>
      </border>
    </dxf>
    <dxf>
      <border>
        <top style="thin">
          <color theme="6"/>
        </top>
      </border>
    </dxf>
    <dxf>
      <font>
        <b/>
        <color theme="1"/>
      </font>
    </dxf>
    <dxf>
      <font>
        <b/>
        <color theme="1"/>
      </font>
    </dxf>
    <dxf>
      <font>
        <b/>
        <color theme="1"/>
      </font>
      <border>
        <top style="double">
          <color theme="6"/>
        </top>
      </border>
    </dxf>
    <dxf>
      <font>
        <b/>
        <i val="0"/>
        <color theme="0"/>
      </font>
      <fill>
        <patternFill patternType="solid">
          <fgColor theme="6"/>
          <bgColor theme="6"/>
        </patternFill>
      </fill>
    </dxf>
    <dxf>
      <font>
        <color theme="1"/>
      </font>
      <border>
        <left style="thin">
          <color theme="6"/>
        </left>
        <right style="thin">
          <color theme="6"/>
        </right>
        <top style="thin">
          <color theme="6"/>
        </top>
        <bottom style="thin">
          <color theme="6"/>
        </bottom>
      </border>
    </dxf>
  </dxfs>
  <tableStyles count="6" defaultTableStyle="TableStyleMedium2" defaultPivotStyle="PivotStyleLight16">
    <tableStyle name="E4tech Table Style_1" pivot="0" count="9" xr9:uid="{00000000-0011-0000-FFFF-FFFF00000000}">
      <tableStyleElement type="wholeTable" dxfId="152"/>
      <tableStyleElement type="headerRow" dxfId="151"/>
      <tableStyleElement type="totalRow" dxfId="150"/>
      <tableStyleElement type="firstColumn" dxfId="149"/>
      <tableStyleElement type="lastColumn" dxfId="148"/>
      <tableStyleElement type="firstRowStripe" dxfId="147"/>
      <tableStyleElement type="secondRowStripe" dxfId="146"/>
      <tableStyleElement type="firstColumnStripe" dxfId="145"/>
      <tableStyleElement type="secondColumnStripe" dxfId="144"/>
    </tableStyle>
    <tableStyle name="E4tech Table Style_2" pivot="0" count="9" xr9:uid="{00000000-0011-0000-FFFF-FFFF01000000}">
      <tableStyleElement type="wholeTable" dxfId="143"/>
      <tableStyleElement type="headerRow" dxfId="142"/>
      <tableStyleElement type="totalRow" dxfId="141"/>
      <tableStyleElement type="firstColumn" dxfId="140"/>
      <tableStyleElement type="lastColumn" dxfId="139"/>
      <tableStyleElement type="firstRowStripe" dxfId="138"/>
      <tableStyleElement type="secondRowStripe" dxfId="137"/>
      <tableStyleElement type="firstColumnStripe" dxfId="136"/>
      <tableStyleElement type="secondColumnStripe" dxfId="135"/>
    </tableStyle>
    <tableStyle name="E4tech Table Style_3" pivot="0" count="7" xr9:uid="{00000000-0011-0000-FFFF-FFFF02000000}">
      <tableStyleElement type="wholeTable" dxfId="134"/>
      <tableStyleElement type="headerRow" dxfId="133"/>
      <tableStyleElement type="totalRow" dxfId="132"/>
      <tableStyleElement type="firstColumn" dxfId="131"/>
      <tableStyleElement type="lastColumn" dxfId="130"/>
      <tableStyleElement type="firstRowStripe" dxfId="129"/>
      <tableStyleElement type="firstColumnStripe" dxfId="128"/>
    </tableStyle>
    <tableStyle name="E4tech Table Style_4" pivot="0" count="7" xr9:uid="{00000000-0011-0000-FFFF-FFFF03000000}">
      <tableStyleElement type="wholeTable" dxfId="127"/>
      <tableStyleElement type="headerRow" dxfId="126"/>
      <tableStyleElement type="totalRow" dxfId="125"/>
      <tableStyleElement type="firstColumn" dxfId="124"/>
      <tableStyleElement type="lastColumn" dxfId="123"/>
      <tableStyleElement type="firstRowStripe" dxfId="122"/>
      <tableStyleElement type="firstColumnStripe" dxfId="121"/>
    </tableStyle>
    <tableStyle name="E4tech Table Style_5" pivot="0" count="7" xr9:uid="{00000000-0011-0000-FFFF-FFFF04000000}">
      <tableStyleElement type="wholeTable" dxfId="120"/>
      <tableStyleElement type="headerRow" dxfId="119"/>
      <tableStyleElement type="totalRow" dxfId="118"/>
      <tableStyleElement type="firstColumn" dxfId="117"/>
      <tableStyleElement type="lastColumn" dxfId="116"/>
      <tableStyleElement type="firstRowStripe" dxfId="115"/>
      <tableStyleElement type="firstColumnStripe" dxfId="114"/>
    </tableStyle>
    <tableStyle name="E4tech Table Style_6" pivot="0" count="7" xr9:uid="{00000000-0011-0000-FFFF-FFFF05000000}">
      <tableStyleElement type="wholeTable" dxfId="113"/>
      <tableStyleElement type="headerRow" dxfId="112"/>
      <tableStyleElement type="totalRow" dxfId="111"/>
      <tableStyleElement type="firstColumn" dxfId="110"/>
      <tableStyleElement type="lastColumn" dxfId="109"/>
      <tableStyleElement type="firstRowStripe" dxfId="108"/>
      <tableStyleElement type="firstColumnStripe" dxfId="107"/>
    </tableStyle>
  </tableStyles>
  <colors>
    <mruColors>
      <color rgb="FFFFDF9F"/>
      <color rgb="FFC7E8FA"/>
      <color rgb="FFFF66CC"/>
      <color rgb="FF996633"/>
      <color rgb="FF5B9BD5"/>
      <color rgb="FFCCFF66"/>
      <color rgb="FFFF9900"/>
      <color rgb="FF99CC00"/>
      <color rgb="FFE2B700"/>
      <color rgb="FFEA8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8.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27213</xdr:colOff>
      <xdr:row>0</xdr:row>
      <xdr:rowOff>326572</xdr:rowOff>
    </xdr:from>
    <xdr:to>
      <xdr:col>4</xdr:col>
      <xdr:colOff>65608</xdr:colOff>
      <xdr:row>42</xdr:row>
      <xdr:rowOff>80411</xdr:rowOff>
    </xdr:to>
    <xdr:sp macro="" textlink="">
      <xdr:nvSpPr>
        <xdr:cNvPr id="3" name="Rectangle 1">
          <a:extLst>
            <a:ext uri="{FF2B5EF4-FFF2-40B4-BE49-F238E27FC236}">
              <a16:creationId xmlns:a16="http://schemas.microsoft.com/office/drawing/2014/main" id="{B7EDEF2B-31E4-4C97-8515-C473C602F68D}"/>
            </a:ext>
          </a:extLst>
        </xdr:cNvPr>
        <xdr:cNvSpPr/>
      </xdr:nvSpPr>
      <xdr:spPr>
        <a:xfrm>
          <a:off x="367392" y="326572"/>
          <a:ext cx="18557716" cy="225866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238125</xdr:colOff>
      <xdr:row>2</xdr:row>
      <xdr:rowOff>76014</xdr:rowOff>
    </xdr:from>
    <xdr:to>
      <xdr:col>2</xdr:col>
      <xdr:colOff>916754</xdr:colOff>
      <xdr:row>7</xdr:row>
      <xdr:rowOff>2989</xdr:rowOff>
    </xdr:to>
    <xdr:pic>
      <xdr:nvPicPr>
        <xdr:cNvPr id="16" name="Picture 15" descr="DESNZ Logo">
          <a:extLst>
            <a:ext uri="{FF2B5EF4-FFF2-40B4-BE49-F238E27FC236}">
              <a16:creationId xmlns:a16="http://schemas.microsoft.com/office/drawing/2014/main" id="{E368B558-1869-448C-B4EC-A7EB984ADC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0" y="457014"/>
          <a:ext cx="1469204" cy="876300"/>
        </a:xfrm>
        <a:prstGeom prst="rect">
          <a:avLst/>
        </a:prstGeom>
      </xdr:spPr>
    </xdr:pic>
    <xdr:clientData/>
  </xdr:twoCellAnchor>
  <xdr:twoCellAnchor editAs="oneCell">
    <xdr:from>
      <xdr:col>2</xdr:col>
      <xdr:colOff>1091453</xdr:colOff>
      <xdr:row>2</xdr:row>
      <xdr:rowOff>57150</xdr:rowOff>
    </xdr:from>
    <xdr:to>
      <xdr:col>2</xdr:col>
      <xdr:colOff>2828924</xdr:colOff>
      <xdr:row>6</xdr:row>
      <xdr:rowOff>2863</xdr:rowOff>
    </xdr:to>
    <xdr:pic>
      <xdr:nvPicPr>
        <xdr:cNvPr id="17" name="Picture 16">
          <a:extLst>
            <a:ext uri="{FF2B5EF4-FFF2-40B4-BE49-F238E27FC236}">
              <a16:creationId xmlns:a16="http://schemas.microsoft.com/office/drawing/2014/main" id="{ABC67B81-5C1A-4A10-8F26-BB4009B1BB61}"/>
            </a:ext>
          </a:extLst>
        </xdr:cNvPr>
        <xdr:cNvPicPr>
          <a:picLocks noChangeAspect="1"/>
        </xdr:cNvPicPr>
      </xdr:nvPicPr>
      <xdr:blipFill>
        <a:blip xmlns:r="http://schemas.openxmlformats.org/officeDocument/2006/relationships" r:embed="rId2"/>
        <a:stretch>
          <a:fillRect/>
        </a:stretch>
      </xdr:blipFill>
      <xdr:spPr>
        <a:xfrm>
          <a:off x="2215403" y="438150"/>
          <a:ext cx="1737471" cy="7013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830036</xdr:colOff>
      <xdr:row>22</xdr:row>
      <xdr:rowOff>149678</xdr:rowOff>
    </xdr:from>
    <xdr:to>
      <xdr:col>19</xdr:col>
      <xdr:colOff>657226</xdr:colOff>
      <xdr:row>25</xdr:row>
      <xdr:rowOff>125640</xdr:rowOff>
    </xdr:to>
    <xdr:cxnSp macro="">
      <xdr:nvCxnSpPr>
        <xdr:cNvPr id="39" name="Straight Arrow Connector 5">
          <a:extLst>
            <a:ext uri="{FF2B5EF4-FFF2-40B4-BE49-F238E27FC236}">
              <a16:creationId xmlns:a16="http://schemas.microsoft.com/office/drawing/2014/main" id="{F21CD3C9-0BFE-400C-AEC6-C336F9681EDD}"/>
            </a:ext>
          </a:extLst>
        </xdr:cNvPr>
        <xdr:cNvCxnSpPr/>
      </xdr:nvCxnSpPr>
      <xdr:spPr>
        <a:xfrm flipH="1">
          <a:off x="18070286" y="5143499"/>
          <a:ext cx="1283154" cy="50664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284625</xdr:colOff>
      <xdr:row>24</xdr:row>
      <xdr:rowOff>34128</xdr:rowOff>
    </xdr:from>
    <xdr:to>
      <xdr:col>21</xdr:col>
      <xdr:colOff>495300</xdr:colOff>
      <xdr:row>25</xdr:row>
      <xdr:rowOff>171450</xdr:rowOff>
    </xdr:to>
    <xdr:cxnSp macro="">
      <xdr:nvCxnSpPr>
        <xdr:cNvPr id="3" name="Straight Arrow Connector 5">
          <a:extLst>
            <a:ext uri="{FF2B5EF4-FFF2-40B4-BE49-F238E27FC236}">
              <a16:creationId xmlns:a16="http://schemas.microsoft.com/office/drawing/2014/main" id="{0541098A-F633-414B-9282-1105241BA1B6}"/>
            </a:ext>
          </a:extLst>
        </xdr:cNvPr>
        <xdr:cNvCxnSpPr>
          <a:stCxn id="2" idx="2"/>
        </xdr:cNvCxnSpPr>
      </xdr:nvCxnSpPr>
      <xdr:spPr>
        <a:xfrm>
          <a:off x="22877925" y="5892003"/>
          <a:ext cx="1725150" cy="3278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869950</xdr:colOff>
      <xdr:row>20</xdr:row>
      <xdr:rowOff>111125</xdr:rowOff>
    </xdr:from>
    <xdr:to>
      <xdr:col>21</xdr:col>
      <xdr:colOff>947074</xdr:colOff>
      <xdr:row>24</xdr:row>
      <xdr:rowOff>34128</xdr:rowOff>
    </xdr:to>
    <xdr:sp macro="" textlink="">
      <xdr:nvSpPr>
        <xdr:cNvPr id="2" name="TextBox 27">
          <a:extLst>
            <a:ext uri="{FF2B5EF4-FFF2-40B4-BE49-F238E27FC236}">
              <a16:creationId xmlns:a16="http://schemas.microsoft.com/office/drawing/2014/main" id="{BB3C479F-C558-462E-95A5-D1FE6C59DB1B}"/>
            </a:ext>
          </a:extLst>
        </xdr:cNvPr>
        <xdr:cNvSpPr txBox="1"/>
      </xdr:nvSpPr>
      <xdr:spPr>
        <a:xfrm>
          <a:off x="20701000" y="5207000"/>
          <a:ext cx="4353849" cy="6850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3</xdr:row>
      <xdr:rowOff>186266</xdr:rowOff>
    </xdr:from>
    <xdr:to>
      <xdr:col>2</xdr:col>
      <xdr:colOff>2376049</xdr:colOff>
      <xdr:row>4</xdr:row>
      <xdr:rowOff>819663</xdr:rowOff>
    </xdr:to>
    <xdr:sp macro="" textlink="">
      <xdr:nvSpPr>
        <xdr:cNvPr id="13" name="TextBox 17">
          <a:extLst>
            <a:ext uri="{FF2B5EF4-FFF2-40B4-BE49-F238E27FC236}">
              <a16:creationId xmlns:a16="http://schemas.microsoft.com/office/drawing/2014/main" id="{D7E8137F-0CE8-46C2-A43F-6524C45C7ED7}"/>
            </a:ext>
          </a:extLst>
        </xdr:cNvPr>
        <xdr:cNvSpPr txBox="1"/>
      </xdr:nvSpPr>
      <xdr:spPr>
        <a:xfrm>
          <a:off x="287867" y="1049866"/>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438150</xdr:colOff>
      <xdr:row>1</xdr:row>
      <xdr:rowOff>52707</xdr:rowOff>
    </xdr:from>
    <xdr:to>
      <xdr:col>14</xdr:col>
      <xdr:colOff>263525</xdr:colOff>
      <xdr:row>4</xdr:row>
      <xdr:rowOff>361950</xdr:rowOff>
    </xdr:to>
    <xdr:cxnSp macro="">
      <xdr:nvCxnSpPr>
        <xdr:cNvPr id="9" name="Straight Arrow Connector 20">
          <a:extLst>
            <a:ext uri="{FF2B5EF4-FFF2-40B4-BE49-F238E27FC236}">
              <a16:creationId xmlns:a16="http://schemas.microsoft.com/office/drawing/2014/main" id="{8E3D9793-FEFB-43AE-8BC1-1CAEEDE908BB}"/>
            </a:ext>
          </a:extLst>
        </xdr:cNvPr>
        <xdr:cNvCxnSpPr>
          <a:cxnSpLocks/>
        </xdr:cNvCxnSpPr>
      </xdr:nvCxnSpPr>
      <xdr:spPr>
        <a:xfrm flipH="1">
          <a:off x="15678150" y="449582"/>
          <a:ext cx="825500" cy="9601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542925</xdr:colOff>
      <xdr:row>2</xdr:row>
      <xdr:rowOff>152400</xdr:rowOff>
    </xdr:from>
    <xdr:to>
      <xdr:col>16</xdr:col>
      <xdr:colOff>550609</xdr:colOff>
      <xdr:row>4</xdr:row>
      <xdr:rowOff>342900</xdr:rowOff>
    </xdr:to>
    <xdr:cxnSp macro="">
      <xdr:nvCxnSpPr>
        <xdr:cNvPr id="14" name="Straight Arrow Connector 13">
          <a:extLst>
            <a:ext uri="{FF2B5EF4-FFF2-40B4-BE49-F238E27FC236}">
              <a16:creationId xmlns:a16="http://schemas.microsoft.com/office/drawing/2014/main" id="{13AAD885-E8AE-479E-AB8A-63FAFFC0A154}"/>
            </a:ext>
          </a:extLst>
        </xdr:cNvPr>
        <xdr:cNvCxnSpPr>
          <a:cxnSpLocks/>
        </xdr:cNvCxnSpPr>
      </xdr:nvCxnSpPr>
      <xdr:spPr>
        <a:xfrm>
          <a:off x="18770600" y="809625"/>
          <a:ext cx="10859" cy="5810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224118</xdr:colOff>
      <xdr:row>0</xdr:row>
      <xdr:rowOff>145676</xdr:rowOff>
    </xdr:from>
    <xdr:to>
      <xdr:col>19</xdr:col>
      <xdr:colOff>139327</xdr:colOff>
      <xdr:row>2</xdr:row>
      <xdr:rowOff>148738</xdr:rowOff>
    </xdr:to>
    <xdr:sp macro="" textlink="">
      <xdr:nvSpPr>
        <xdr:cNvPr id="15" name="TextBox 8">
          <a:extLst>
            <a:ext uri="{FF2B5EF4-FFF2-40B4-BE49-F238E27FC236}">
              <a16:creationId xmlns:a16="http://schemas.microsoft.com/office/drawing/2014/main" id="{CA30F2AC-5F8D-4227-97C5-13528CC16351}"/>
            </a:ext>
          </a:extLst>
        </xdr:cNvPr>
        <xdr:cNvSpPr txBox="1"/>
      </xdr:nvSpPr>
      <xdr:spPr>
        <a:xfrm>
          <a:off x="16450236" y="145676"/>
          <a:ext cx="5899150"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17</xdr:col>
      <xdr:colOff>1132350</xdr:colOff>
      <xdr:row>19</xdr:row>
      <xdr:rowOff>23695</xdr:rowOff>
    </xdr:from>
    <xdr:to>
      <xdr:col>18</xdr:col>
      <xdr:colOff>368988</xdr:colOff>
      <xdr:row>19</xdr:row>
      <xdr:rowOff>102162</xdr:rowOff>
    </xdr:to>
    <xdr:cxnSp macro="">
      <xdr:nvCxnSpPr>
        <xdr:cNvPr id="5" name="Straight Arrow Connector 5">
          <a:extLst>
            <a:ext uri="{FF2B5EF4-FFF2-40B4-BE49-F238E27FC236}">
              <a16:creationId xmlns:a16="http://schemas.microsoft.com/office/drawing/2014/main" id="{67BF7619-675B-4E13-B6E0-880E58A6FCE1}"/>
            </a:ext>
          </a:extLst>
        </xdr:cNvPr>
        <xdr:cNvCxnSpPr>
          <a:stCxn id="12" idx="1"/>
        </xdr:cNvCxnSpPr>
      </xdr:nvCxnSpPr>
      <xdr:spPr>
        <a:xfrm flipH="1">
          <a:off x="19791825" y="4929070"/>
          <a:ext cx="408213"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372163</xdr:colOff>
      <xdr:row>17</xdr:row>
      <xdr:rowOff>129378</xdr:rowOff>
    </xdr:from>
    <xdr:to>
      <xdr:col>21</xdr:col>
      <xdr:colOff>280062</xdr:colOff>
      <xdr:row>20</xdr:row>
      <xdr:rowOff>88555</xdr:rowOff>
    </xdr:to>
    <xdr:sp macro="" textlink="">
      <xdr:nvSpPr>
        <xdr:cNvPr id="12" name="TextBox 11">
          <a:extLst>
            <a:ext uri="{FF2B5EF4-FFF2-40B4-BE49-F238E27FC236}">
              <a16:creationId xmlns:a16="http://schemas.microsoft.com/office/drawing/2014/main" id="{E6F5504B-780C-48CF-8098-36EB3B62E28C}"/>
            </a:ext>
          </a:extLst>
        </xdr:cNvPr>
        <xdr:cNvSpPr txBox="1"/>
      </xdr:nvSpPr>
      <xdr:spPr>
        <a:xfrm>
          <a:off x="20203213" y="4653753"/>
          <a:ext cx="4184624" cy="5306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0</xdr:colOff>
      <xdr:row>19</xdr:row>
      <xdr:rowOff>16783</xdr:rowOff>
    </xdr:from>
    <xdr:to>
      <xdr:col>18</xdr:col>
      <xdr:colOff>408213</xdr:colOff>
      <xdr:row>19</xdr:row>
      <xdr:rowOff>95250</xdr:rowOff>
    </xdr:to>
    <xdr:cxnSp macro="">
      <xdr:nvCxnSpPr>
        <xdr:cNvPr id="60" name="Straight Arrow Connector 5">
          <a:extLst>
            <a:ext uri="{FF2B5EF4-FFF2-40B4-BE49-F238E27FC236}">
              <a16:creationId xmlns:a16="http://schemas.microsoft.com/office/drawing/2014/main" id="{B050F41C-B29C-4765-8275-FD6159AFF3AD}"/>
            </a:ext>
          </a:extLst>
        </xdr:cNvPr>
        <xdr:cNvCxnSpPr>
          <a:stCxn id="52" idx="1"/>
        </xdr:cNvCxnSpPr>
      </xdr:nvCxnSpPr>
      <xdr:spPr>
        <a:xfrm flipH="1">
          <a:off x="17226643" y="4656819"/>
          <a:ext cx="421820"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982891</xdr:colOff>
      <xdr:row>24</xdr:row>
      <xdr:rowOff>122464</xdr:rowOff>
    </xdr:from>
    <xdr:to>
      <xdr:col>19</xdr:col>
      <xdr:colOff>503465</xdr:colOff>
      <xdr:row>25</xdr:row>
      <xdr:rowOff>163286</xdr:rowOff>
    </xdr:to>
    <xdr:cxnSp macro="">
      <xdr:nvCxnSpPr>
        <xdr:cNvPr id="57" name="Straight Arrow Connector 5">
          <a:extLst>
            <a:ext uri="{FF2B5EF4-FFF2-40B4-BE49-F238E27FC236}">
              <a16:creationId xmlns:a16="http://schemas.microsoft.com/office/drawing/2014/main" id="{C4E6E06E-E310-44D4-A1C6-7EAD813FA8F5}"/>
            </a:ext>
          </a:extLst>
        </xdr:cNvPr>
        <xdr:cNvCxnSpPr/>
      </xdr:nvCxnSpPr>
      <xdr:spPr>
        <a:xfrm flipH="1">
          <a:off x="18223141" y="5646964"/>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1283843</xdr:colOff>
      <xdr:row>24</xdr:row>
      <xdr:rowOff>106700</xdr:rowOff>
    </xdr:from>
    <xdr:to>
      <xdr:col>21</xdr:col>
      <xdr:colOff>731611</xdr:colOff>
      <xdr:row>25</xdr:row>
      <xdr:rowOff>125639</xdr:rowOff>
    </xdr:to>
    <xdr:cxnSp macro="">
      <xdr:nvCxnSpPr>
        <xdr:cNvPr id="5" name="Straight Arrow Connector 5">
          <a:extLst>
            <a:ext uri="{FF2B5EF4-FFF2-40B4-BE49-F238E27FC236}">
              <a16:creationId xmlns:a16="http://schemas.microsoft.com/office/drawing/2014/main" id="{B44EC19A-A843-46A1-95CA-8788C40EBF29}"/>
            </a:ext>
          </a:extLst>
        </xdr:cNvPr>
        <xdr:cNvCxnSpPr>
          <a:cxnSpLocks/>
          <a:stCxn id="4" idx="2"/>
        </xdr:cNvCxnSpPr>
      </xdr:nvCxnSpPr>
      <xdr:spPr>
        <a:xfrm>
          <a:off x="20959772" y="6025807"/>
          <a:ext cx="2033125" cy="19583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411388</xdr:colOff>
      <xdr:row>17</xdr:row>
      <xdr:rowOff>122466</xdr:rowOff>
    </xdr:from>
    <xdr:to>
      <xdr:col>21</xdr:col>
      <xdr:colOff>326571</xdr:colOff>
      <xdr:row>20</xdr:row>
      <xdr:rowOff>81643</xdr:rowOff>
    </xdr:to>
    <xdr:sp macro="" textlink="">
      <xdr:nvSpPr>
        <xdr:cNvPr id="52" name="TextBox 11">
          <a:extLst>
            <a:ext uri="{FF2B5EF4-FFF2-40B4-BE49-F238E27FC236}">
              <a16:creationId xmlns:a16="http://schemas.microsoft.com/office/drawing/2014/main" id="{54E95E69-E1C1-4466-A5CD-433D5BD13991}"/>
            </a:ext>
          </a:extLst>
        </xdr:cNvPr>
        <xdr:cNvSpPr txBox="1"/>
      </xdr:nvSpPr>
      <xdr:spPr>
        <a:xfrm>
          <a:off x="17651638" y="4408716"/>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680358</xdr:colOff>
      <xdr:row>21</xdr:row>
      <xdr:rowOff>0</xdr:rowOff>
    </xdr:from>
    <xdr:to>
      <xdr:col>21</xdr:col>
      <xdr:colOff>761110</xdr:colOff>
      <xdr:row>24</xdr:row>
      <xdr:rowOff>103525</xdr:rowOff>
    </xdr:to>
    <xdr:sp macro="" textlink="">
      <xdr:nvSpPr>
        <xdr:cNvPr id="4" name="TextBox 27">
          <a:extLst>
            <a:ext uri="{FF2B5EF4-FFF2-40B4-BE49-F238E27FC236}">
              <a16:creationId xmlns:a16="http://schemas.microsoft.com/office/drawing/2014/main" id="{95FAA876-F0E6-4FCE-94BD-16A78308C482}"/>
            </a:ext>
          </a:extLst>
        </xdr:cNvPr>
        <xdr:cNvSpPr txBox="1"/>
      </xdr:nvSpPr>
      <xdr:spPr>
        <a:xfrm>
          <a:off x="18900322" y="5388429"/>
          <a:ext cx="412207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e/kg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B5978980-8C9D-4619-8D20-71CBB2B7161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F79FAFF2-8B8F-454D-8CCC-0B86E2EA3EC2}"/>
            </a:ext>
          </a:extLst>
        </xdr:cNvPr>
        <xdr:cNvCxnSpPr>
          <a:stCxn id="11" idx="0"/>
        </xdr:cNvCxnSpPr>
      </xdr:nvCxnSpPr>
      <xdr:spPr>
        <a:xfrm flipH="1" flipV="1">
          <a:off x="17224375" y="5029200"/>
          <a:ext cx="732291" cy="5343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6" name="Straight Arrow Connector 5">
          <a:extLst>
            <a:ext uri="{FF2B5EF4-FFF2-40B4-BE49-F238E27FC236}">
              <a16:creationId xmlns:a16="http://schemas.microsoft.com/office/drawing/2014/main" id="{B7283033-40DC-408A-94BC-FC303A263A4E}"/>
            </a:ext>
          </a:extLst>
        </xdr:cNvPr>
        <xdr:cNvCxnSpPr/>
      </xdr:nvCxnSpPr>
      <xdr:spPr>
        <a:xfrm>
          <a:off x="16271875" y="2698750"/>
          <a:ext cx="219075" cy="21463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7" name="Straight Arrow Connector 6">
          <a:extLst>
            <a:ext uri="{FF2B5EF4-FFF2-40B4-BE49-F238E27FC236}">
              <a16:creationId xmlns:a16="http://schemas.microsoft.com/office/drawing/2014/main" id="{033062CA-B7AE-4B86-9D85-79DD553C4E6C}"/>
            </a:ext>
          </a:extLst>
        </xdr:cNvPr>
        <xdr:cNvCxnSpPr/>
      </xdr:nvCxnSpPr>
      <xdr:spPr>
        <a:xfrm flipV="1">
          <a:off x="16259175" y="4911725"/>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8" name="Straight Arrow Connector 20">
          <a:extLst>
            <a:ext uri="{FF2B5EF4-FFF2-40B4-BE49-F238E27FC236}">
              <a16:creationId xmlns:a16="http://schemas.microsoft.com/office/drawing/2014/main" id="{1C65E388-D1F9-48E5-AAA6-CFAE5620104E}"/>
            </a:ext>
          </a:extLst>
        </xdr:cNvPr>
        <xdr:cNvCxnSpPr>
          <a:cxnSpLocks/>
        </xdr:cNvCxnSpPr>
      </xdr:nvCxnSpPr>
      <xdr:spPr>
        <a:xfrm flipH="1">
          <a:off x="15684500" y="443232"/>
          <a:ext cx="1035050" cy="9664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1" name="TextBox 10">
          <a:extLst>
            <a:ext uri="{FF2B5EF4-FFF2-40B4-BE49-F238E27FC236}">
              <a16:creationId xmlns:a16="http://schemas.microsoft.com/office/drawing/2014/main" id="{BEE56798-DA57-41B1-AE48-2052E5DFE499}"/>
            </a:ext>
          </a:extLst>
        </xdr:cNvPr>
        <xdr:cNvSpPr txBox="1"/>
      </xdr:nvSpPr>
      <xdr:spPr>
        <a:xfrm>
          <a:off x="16853806" y="5557158"/>
          <a:ext cx="2205719" cy="6309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495549</xdr:colOff>
      <xdr:row>2</xdr:row>
      <xdr:rowOff>86535</xdr:rowOff>
    </xdr:from>
    <xdr:to>
      <xdr:col>16</xdr:col>
      <xdr:colOff>495549</xdr:colOff>
      <xdr:row>4</xdr:row>
      <xdr:rowOff>376518</xdr:rowOff>
    </xdr:to>
    <xdr:cxnSp macro="">
      <xdr:nvCxnSpPr>
        <xdr:cNvPr id="12" name="Straight Arrow Connector 11">
          <a:extLst>
            <a:ext uri="{FF2B5EF4-FFF2-40B4-BE49-F238E27FC236}">
              <a16:creationId xmlns:a16="http://schemas.microsoft.com/office/drawing/2014/main" id="{A56964B1-9CE1-414B-9A64-001F818B10E3}"/>
            </a:ext>
          </a:extLst>
        </xdr:cNvPr>
        <xdr:cNvCxnSpPr>
          <a:cxnSpLocks/>
        </xdr:cNvCxnSpPr>
      </xdr:nvCxnSpPr>
      <xdr:spPr>
        <a:xfrm>
          <a:off x="17898284" y="747682"/>
          <a:ext cx="0" cy="6709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465666</xdr:colOff>
      <xdr:row>0</xdr:row>
      <xdr:rowOff>116416</xdr:rowOff>
    </xdr:from>
    <xdr:to>
      <xdr:col>19</xdr:col>
      <xdr:colOff>396732</xdr:colOff>
      <xdr:row>2</xdr:row>
      <xdr:rowOff>117393</xdr:rowOff>
    </xdr:to>
    <xdr:sp macro="" textlink="">
      <xdr:nvSpPr>
        <xdr:cNvPr id="13" name="TextBox 12">
          <a:extLst>
            <a:ext uri="{FF2B5EF4-FFF2-40B4-BE49-F238E27FC236}">
              <a16:creationId xmlns:a16="http://schemas.microsoft.com/office/drawing/2014/main" id="{44538B55-CC06-44FB-B911-FD5EE99AFCCB}"/>
            </a:ext>
          </a:extLst>
        </xdr:cNvPr>
        <xdr:cNvSpPr txBox="1"/>
      </xdr:nvSpPr>
      <xdr:spPr>
        <a:xfrm>
          <a:off x="16711083" y="116416"/>
          <a:ext cx="5910649" cy="6677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628650</xdr:colOff>
      <xdr:row>20</xdr:row>
      <xdr:rowOff>0</xdr:rowOff>
    </xdr:from>
    <xdr:to>
      <xdr:col>15</xdr:col>
      <xdr:colOff>266065</xdr:colOff>
      <xdr:row>24</xdr:row>
      <xdr:rowOff>28485</xdr:rowOff>
    </xdr:to>
    <xdr:cxnSp macro="">
      <xdr:nvCxnSpPr>
        <xdr:cNvPr id="2" name="Straight Arrow Connector 5">
          <a:extLst>
            <a:ext uri="{FF2B5EF4-FFF2-40B4-BE49-F238E27FC236}">
              <a16:creationId xmlns:a16="http://schemas.microsoft.com/office/drawing/2014/main" id="{5D84927D-57B8-48A3-9CCB-005B1CD76FE4}"/>
            </a:ext>
          </a:extLst>
        </xdr:cNvPr>
        <xdr:cNvCxnSpPr>
          <a:stCxn id="10" idx="0"/>
        </xdr:cNvCxnSpPr>
      </xdr:nvCxnSpPr>
      <xdr:spPr>
        <a:xfrm flipH="1" flipV="1">
          <a:off x="16868775" y="4962525"/>
          <a:ext cx="942340" cy="75238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152400</xdr:colOff>
      <xdr:row>19</xdr:row>
      <xdr:rowOff>27214</xdr:rowOff>
    </xdr:to>
    <xdr:cxnSp macro="">
      <xdr:nvCxnSpPr>
        <xdr:cNvPr id="4" name="Straight Arrow Connector 2">
          <a:extLst>
            <a:ext uri="{FF2B5EF4-FFF2-40B4-BE49-F238E27FC236}">
              <a16:creationId xmlns:a16="http://schemas.microsoft.com/office/drawing/2014/main" id="{37657DB9-0467-4E19-8787-4660B5253D52}"/>
            </a:ext>
          </a:extLst>
        </xdr:cNvPr>
        <xdr:cNvCxnSpPr/>
      </xdr:nvCxnSpPr>
      <xdr:spPr>
        <a:xfrm>
          <a:off x="16249650" y="2714625"/>
          <a:ext cx="142875" cy="20941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19</xdr:row>
      <xdr:rowOff>95250</xdr:rowOff>
    </xdr:from>
    <xdr:to>
      <xdr:col>14</xdr:col>
      <xdr:colOff>142875</xdr:colOff>
      <xdr:row>19</xdr:row>
      <xdr:rowOff>95250</xdr:rowOff>
    </xdr:to>
    <xdr:cxnSp macro="">
      <xdr:nvCxnSpPr>
        <xdr:cNvPr id="28" name="Straight Arrow Connector 3">
          <a:extLst>
            <a:ext uri="{FF2B5EF4-FFF2-40B4-BE49-F238E27FC236}">
              <a16:creationId xmlns:a16="http://schemas.microsoft.com/office/drawing/2014/main" id="{1EC8F7EE-DE6A-484C-9000-C2282FC80092}"/>
            </a:ext>
          </a:extLst>
        </xdr:cNvPr>
        <xdr:cNvCxnSpPr/>
      </xdr:nvCxnSpPr>
      <xdr:spPr>
        <a:xfrm>
          <a:off x="16259175" y="4876800"/>
          <a:ext cx="1238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979716</xdr:colOff>
      <xdr:row>24</xdr:row>
      <xdr:rowOff>125639</xdr:rowOff>
    </xdr:from>
    <xdr:to>
      <xdr:col>19</xdr:col>
      <xdr:colOff>506640</xdr:colOff>
      <xdr:row>25</xdr:row>
      <xdr:rowOff>160111</xdr:rowOff>
    </xdr:to>
    <xdr:cxnSp macro="">
      <xdr:nvCxnSpPr>
        <xdr:cNvPr id="8" name="Straight Arrow Connector 5">
          <a:extLst>
            <a:ext uri="{FF2B5EF4-FFF2-40B4-BE49-F238E27FC236}">
              <a16:creationId xmlns:a16="http://schemas.microsoft.com/office/drawing/2014/main" id="{BB8FC732-0B5F-4A78-9974-95AA25884B43}"/>
            </a:ext>
          </a:extLst>
        </xdr:cNvPr>
        <xdr:cNvCxnSpPr/>
      </xdr:nvCxnSpPr>
      <xdr:spPr>
        <a:xfrm flipH="1">
          <a:off x="18219966" y="5446032"/>
          <a:ext cx="98288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185284</xdr:colOff>
      <xdr:row>24</xdr:row>
      <xdr:rowOff>111125</xdr:rowOff>
    </xdr:from>
    <xdr:to>
      <xdr:col>21</xdr:col>
      <xdr:colOff>752475</xdr:colOff>
      <xdr:row>25</xdr:row>
      <xdr:rowOff>152400</xdr:rowOff>
    </xdr:to>
    <xdr:cxnSp macro="">
      <xdr:nvCxnSpPr>
        <xdr:cNvPr id="9" name="Straight Arrow Connector 5">
          <a:extLst>
            <a:ext uri="{FF2B5EF4-FFF2-40B4-BE49-F238E27FC236}">
              <a16:creationId xmlns:a16="http://schemas.microsoft.com/office/drawing/2014/main" id="{CA66CB52-3B12-4272-9E3B-62908E10E38B}"/>
            </a:ext>
          </a:extLst>
        </xdr:cNvPr>
        <xdr:cNvCxnSpPr>
          <a:stCxn id="15" idx="2"/>
        </xdr:cNvCxnSpPr>
      </xdr:nvCxnSpPr>
      <xdr:spPr>
        <a:xfrm>
          <a:off x="21140284" y="6092825"/>
          <a:ext cx="1700666" cy="2222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389255</xdr:colOff>
      <xdr:row>24</xdr:row>
      <xdr:rowOff>28485</xdr:rowOff>
    </xdr:from>
    <xdr:to>
      <xdr:col>16</xdr:col>
      <xdr:colOff>847725</xdr:colOff>
      <xdr:row>27</xdr:row>
      <xdr:rowOff>114300</xdr:rowOff>
    </xdr:to>
    <xdr:sp macro="" textlink="">
      <xdr:nvSpPr>
        <xdr:cNvPr id="10" name="TextBox 9">
          <a:extLst>
            <a:ext uri="{FF2B5EF4-FFF2-40B4-BE49-F238E27FC236}">
              <a16:creationId xmlns:a16="http://schemas.microsoft.com/office/drawing/2014/main" id="{DA83FB76-BD68-4AD5-9DA0-38692449E097}"/>
            </a:ext>
          </a:extLst>
        </xdr:cNvPr>
        <xdr:cNvSpPr txBox="1"/>
      </xdr:nvSpPr>
      <xdr:spPr>
        <a:xfrm>
          <a:off x="16629380" y="5714910"/>
          <a:ext cx="2363470" cy="62874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11" name="TextBox 10">
          <a:extLst>
            <a:ext uri="{FF2B5EF4-FFF2-40B4-BE49-F238E27FC236}">
              <a16:creationId xmlns:a16="http://schemas.microsoft.com/office/drawing/2014/main" id="{4F048DC9-D34D-4F07-982C-B14C044363C6}"/>
            </a:ext>
          </a:extLst>
        </xdr:cNvPr>
        <xdr:cNvSpPr txBox="1"/>
      </xdr:nvSpPr>
      <xdr:spPr>
        <a:xfrm>
          <a:off x="17648463" y="420778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951593</xdr:colOff>
      <xdr:row>20</xdr:row>
      <xdr:rowOff>172357</xdr:rowOff>
    </xdr:from>
    <xdr:to>
      <xdr:col>21</xdr:col>
      <xdr:colOff>1200150</xdr:colOff>
      <xdr:row>24</xdr:row>
      <xdr:rowOff>111125</xdr:rowOff>
    </xdr:to>
    <xdr:sp macro="" textlink="">
      <xdr:nvSpPr>
        <xdr:cNvPr id="15" name="TextBox 13">
          <a:extLst>
            <a:ext uri="{FF2B5EF4-FFF2-40B4-BE49-F238E27FC236}">
              <a16:creationId xmlns:a16="http://schemas.microsoft.com/office/drawing/2014/main" id="{4807CF14-9278-4A23-8F69-BFC11179997F}"/>
            </a:ext>
          </a:extLst>
        </xdr:cNvPr>
        <xdr:cNvSpPr txBox="1"/>
      </xdr:nvSpPr>
      <xdr:spPr>
        <a:xfrm>
          <a:off x="18991943" y="5430157"/>
          <a:ext cx="4296682" cy="6626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17</xdr:col>
      <xdr:colOff>1211036</xdr:colOff>
      <xdr:row>19</xdr:row>
      <xdr:rowOff>27214</xdr:rowOff>
    </xdr:from>
    <xdr:to>
      <xdr:col>18</xdr:col>
      <xdr:colOff>417738</xdr:colOff>
      <xdr:row>19</xdr:row>
      <xdr:rowOff>105681</xdr:rowOff>
    </xdr:to>
    <xdr:cxnSp macro="">
      <xdr:nvCxnSpPr>
        <xdr:cNvPr id="17" name="Straight Arrow Connector 5">
          <a:extLst>
            <a:ext uri="{FF2B5EF4-FFF2-40B4-BE49-F238E27FC236}">
              <a16:creationId xmlns:a16="http://schemas.microsoft.com/office/drawing/2014/main" id="{1D1B3B9C-E6D5-4B9A-9D40-F0492F1CDE6B}"/>
            </a:ext>
          </a:extLst>
        </xdr:cNvPr>
        <xdr:cNvCxnSpPr/>
      </xdr:nvCxnSpPr>
      <xdr:spPr>
        <a:xfrm flipH="1">
          <a:off x="17226643" y="4463143"/>
          <a:ext cx="431345"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C621A2EB-7E6D-4C43-ADAD-C2E2F994331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501650</xdr:colOff>
      <xdr:row>2</xdr:row>
      <xdr:rowOff>171450</xdr:rowOff>
    </xdr:from>
    <xdr:to>
      <xdr:col>16</xdr:col>
      <xdr:colOff>512509</xdr:colOff>
      <xdr:row>4</xdr:row>
      <xdr:rowOff>323850</xdr:rowOff>
    </xdr:to>
    <xdr:cxnSp macro="">
      <xdr:nvCxnSpPr>
        <xdr:cNvPr id="3" name="Straight Arrow Connector 2">
          <a:extLst>
            <a:ext uri="{FF2B5EF4-FFF2-40B4-BE49-F238E27FC236}">
              <a16:creationId xmlns:a16="http://schemas.microsoft.com/office/drawing/2014/main" id="{24E90A7D-A281-49E2-BA93-C4E22CB6E5B9}"/>
            </a:ext>
          </a:extLst>
        </xdr:cNvPr>
        <xdr:cNvCxnSpPr>
          <a:cxnSpLocks/>
        </xdr:cNvCxnSpPr>
      </xdr:nvCxnSpPr>
      <xdr:spPr>
        <a:xfrm>
          <a:off x="1782762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466725</xdr:colOff>
      <xdr:row>1</xdr:row>
      <xdr:rowOff>84457</xdr:rowOff>
    </xdr:from>
    <xdr:to>
      <xdr:col>14</xdr:col>
      <xdr:colOff>501650</xdr:colOff>
      <xdr:row>4</xdr:row>
      <xdr:rowOff>406400</xdr:rowOff>
    </xdr:to>
    <xdr:cxnSp macro="">
      <xdr:nvCxnSpPr>
        <xdr:cNvPr id="19" name="Straight Arrow Connector 20">
          <a:extLst>
            <a:ext uri="{FF2B5EF4-FFF2-40B4-BE49-F238E27FC236}">
              <a16:creationId xmlns:a16="http://schemas.microsoft.com/office/drawing/2014/main" id="{5FC13010-B82E-4DDC-B473-3DEB3778CDD8}"/>
            </a:ext>
          </a:extLst>
        </xdr:cNvPr>
        <xdr:cNvCxnSpPr>
          <a:cxnSpLocks/>
        </xdr:cNvCxnSpPr>
      </xdr:nvCxnSpPr>
      <xdr:spPr>
        <a:xfrm flipH="1">
          <a:off x="15706725" y="484507"/>
          <a:ext cx="1035050" cy="9696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454025</xdr:colOff>
      <xdr:row>0</xdr:row>
      <xdr:rowOff>161925</xdr:rowOff>
    </xdr:from>
    <xdr:to>
      <xdr:col>19</xdr:col>
      <xdr:colOff>581025</xdr:colOff>
      <xdr:row>2</xdr:row>
      <xdr:rowOff>168909</xdr:rowOff>
    </xdr:to>
    <xdr:sp macro="" textlink="">
      <xdr:nvSpPr>
        <xdr:cNvPr id="20" name="TextBox 19">
          <a:extLst>
            <a:ext uri="{FF2B5EF4-FFF2-40B4-BE49-F238E27FC236}">
              <a16:creationId xmlns:a16="http://schemas.microsoft.com/office/drawing/2014/main" id="{D7026384-BE48-428D-A5B0-58A2EFB538DE}"/>
            </a:ext>
          </a:extLst>
        </xdr:cNvPr>
        <xdr:cNvSpPr txBox="1"/>
      </xdr:nvSpPr>
      <xdr:spPr>
        <a:xfrm>
          <a:off x="16694150" y="161925"/>
          <a:ext cx="59086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982891</xdr:colOff>
      <xdr:row>24</xdr:row>
      <xdr:rowOff>158750</xdr:rowOff>
    </xdr:from>
    <xdr:to>
      <xdr:col>19</xdr:col>
      <xdr:colOff>381000</xdr:colOff>
      <xdr:row>25</xdr:row>
      <xdr:rowOff>163286</xdr:rowOff>
    </xdr:to>
    <xdr:cxnSp macro="">
      <xdr:nvCxnSpPr>
        <xdr:cNvPr id="19" name="Straight Arrow Connector 5">
          <a:extLst>
            <a:ext uri="{FF2B5EF4-FFF2-40B4-BE49-F238E27FC236}">
              <a16:creationId xmlns:a16="http://schemas.microsoft.com/office/drawing/2014/main" id="{2FD3BBFD-0EBB-4B56-B730-C5964CED38DD}"/>
            </a:ext>
          </a:extLst>
        </xdr:cNvPr>
        <xdr:cNvCxnSpPr/>
      </xdr:nvCxnSpPr>
      <xdr:spPr>
        <a:xfrm flipH="1">
          <a:off x="19080391" y="6032500"/>
          <a:ext cx="858609" cy="17916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47625</xdr:colOff>
      <xdr:row>24</xdr:row>
      <xdr:rowOff>142875</xdr:rowOff>
    </xdr:from>
    <xdr:to>
      <xdr:col>21</xdr:col>
      <xdr:colOff>734786</xdr:colOff>
      <xdr:row>25</xdr:row>
      <xdr:rowOff>122464</xdr:rowOff>
    </xdr:to>
    <xdr:cxnSp macro="">
      <xdr:nvCxnSpPr>
        <xdr:cNvPr id="12" name="Straight Arrow Connector 5">
          <a:extLst>
            <a:ext uri="{FF2B5EF4-FFF2-40B4-BE49-F238E27FC236}">
              <a16:creationId xmlns:a16="http://schemas.microsoft.com/office/drawing/2014/main" id="{536A1E89-BCD6-429C-897E-6FBDC2E589BE}"/>
            </a:ext>
          </a:extLst>
        </xdr:cNvPr>
        <xdr:cNvCxnSpPr>
          <a:cxnSpLocks/>
        </xdr:cNvCxnSpPr>
      </xdr:nvCxnSpPr>
      <xdr:spPr>
        <a:xfrm>
          <a:off x="21066125" y="6016625"/>
          <a:ext cx="1814286" cy="15421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11" name="TextBox 10">
          <a:extLst>
            <a:ext uri="{FF2B5EF4-FFF2-40B4-BE49-F238E27FC236}">
              <a16:creationId xmlns:a16="http://schemas.microsoft.com/office/drawing/2014/main" id="{11B611DE-2FBA-449E-AA5A-862ABD609D69}"/>
            </a:ext>
          </a:extLst>
        </xdr:cNvPr>
        <xdr:cNvSpPr txBox="1"/>
      </xdr:nvSpPr>
      <xdr:spPr>
        <a:xfrm>
          <a:off x="17648463" y="420778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19</xdr:row>
      <xdr:rowOff>16783</xdr:rowOff>
    </xdr:from>
    <xdr:to>
      <xdr:col>18</xdr:col>
      <xdr:colOff>411388</xdr:colOff>
      <xdr:row>19</xdr:row>
      <xdr:rowOff>95249</xdr:rowOff>
    </xdr:to>
    <xdr:cxnSp macro="">
      <xdr:nvCxnSpPr>
        <xdr:cNvPr id="18" name="Straight Arrow Connector 5">
          <a:extLst>
            <a:ext uri="{FF2B5EF4-FFF2-40B4-BE49-F238E27FC236}">
              <a16:creationId xmlns:a16="http://schemas.microsoft.com/office/drawing/2014/main" id="{54F7D9B4-8A08-4C6B-9DAE-C64DBD772A96}"/>
            </a:ext>
          </a:extLst>
        </xdr:cNvPr>
        <xdr:cNvCxnSpPr>
          <a:stCxn id="11" idx="1"/>
        </xdr:cNvCxnSpPr>
      </xdr:nvCxnSpPr>
      <xdr:spPr>
        <a:xfrm flipH="1">
          <a:off x="17198521" y="4452712"/>
          <a:ext cx="453117"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1031875</xdr:colOff>
      <xdr:row>21</xdr:row>
      <xdr:rowOff>31750</xdr:rowOff>
    </xdr:from>
    <xdr:to>
      <xdr:col>21</xdr:col>
      <xdr:colOff>1108999</xdr:colOff>
      <xdr:row>24</xdr:row>
      <xdr:rowOff>145253</xdr:rowOff>
    </xdr:to>
    <xdr:sp macro="" textlink="">
      <xdr:nvSpPr>
        <xdr:cNvPr id="6" name="TextBox 27">
          <a:extLst>
            <a:ext uri="{FF2B5EF4-FFF2-40B4-BE49-F238E27FC236}">
              <a16:creationId xmlns:a16="http://schemas.microsoft.com/office/drawing/2014/main" id="{4DE3D25F-5861-4EA9-BE20-3852D160AF9B}"/>
            </a:ext>
          </a:extLst>
        </xdr:cNvPr>
        <xdr:cNvSpPr txBox="1"/>
      </xdr:nvSpPr>
      <xdr:spPr>
        <a:xfrm>
          <a:off x="19129375" y="5381625"/>
          <a:ext cx="412524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312A7DAF-0032-4308-B6CA-0AC5CC8113BF}"/>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17" name="Straight Arrow Connector 5">
          <a:extLst>
            <a:ext uri="{FF2B5EF4-FFF2-40B4-BE49-F238E27FC236}">
              <a16:creationId xmlns:a16="http://schemas.microsoft.com/office/drawing/2014/main" id="{5770BCA5-AA09-407D-BACF-CD8805F02242}"/>
            </a:ext>
          </a:extLst>
        </xdr:cNvPr>
        <xdr:cNvCxnSpPr>
          <a:stCxn id="26"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21" name="Straight Arrow Connector 20">
          <a:extLst>
            <a:ext uri="{FF2B5EF4-FFF2-40B4-BE49-F238E27FC236}">
              <a16:creationId xmlns:a16="http://schemas.microsoft.com/office/drawing/2014/main" id="{F9D7FD62-AC1B-4EC0-A101-CB70A128D22F}"/>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22" name="Straight Arrow Connector 21">
          <a:extLst>
            <a:ext uri="{FF2B5EF4-FFF2-40B4-BE49-F238E27FC236}">
              <a16:creationId xmlns:a16="http://schemas.microsoft.com/office/drawing/2014/main" id="{4F73EDFD-F009-4539-8373-307E8ADA3B69}"/>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24" name="Straight Arrow Connector 20">
          <a:extLst>
            <a:ext uri="{FF2B5EF4-FFF2-40B4-BE49-F238E27FC236}">
              <a16:creationId xmlns:a16="http://schemas.microsoft.com/office/drawing/2014/main" id="{98C647D0-93EB-4EF1-B795-1EC8019509FD}"/>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26" name="TextBox 25">
          <a:extLst>
            <a:ext uri="{FF2B5EF4-FFF2-40B4-BE49-F238E27FC236}">
              <a16:creationId xmlns:a16="http://schemas.microsoft.com/office/drawing/2014/main" id="{84EB17BA-B6E1-43AA-824D-32E56334E7DB}"/>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473075</xdr:colOff>
      <xdr:row>2</xdr:row>
      <xdr:rowOff>133350</xdr:rowOff>
    </xdr:from>
    <xdr:to>
      <xdr:col>16</xdr:col>
      <xdr:colOff>483934</xdr:colOff>
      <xdr:row>4</xdr:row>
      <xdr:rowOff>285750</xdr:rowOff>
    </xdr:to>
    <xdr:cxnSp macro="">
      <xdr:nvCxnSpPr>
        <xdr:cNvPr id="27" name="Straight Arrow Connector 26">
          <a:extLst>
            <a:ext uri="{FF2B5EF4-FFF2-40B4-BE49-F238E27FC236}">
              <a16:creationId xmlns:a16="http://schemas.microsoft.com/office/drawing/2014/main" id="{7F3B03D0-B641-4ABD-BD48-159B088C8BA1}"/>
            </a:ext>
          </a:extLst>
        </xdr:cNvPr>
        <xdr:cNvCxnSpPr>
          <a:cxnSpLocks/>
        </xdr:cNvCxnSpPr>
      </xdr:nvCxnSpPr>
      <xdr:spPr>
        <a:xfrm>
          <a:off x="17875250" y="7905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428625</xdr:colOff>
      <xdr:row>0</xdr:row>
      <xdr:rowOff>123825</xdr:rowOff>
    </xdr:from>
    <xdr:to>
      <xdr:col>19</xdr:col>
      <xdr:colOff>349250</xdr:colOff>
      <xdr:row>2</xdr:row>
      <xdr:rowOff>130809</xdr:rowOff>
    </xdr:to>
    <xdr:sp macro="" textlink="">
      <xdr:nvSpPr>
        <xdr:cNvPr id="28" name="TextBox 27">
          <a:extLst>
            <a:ext uri="{FF2B5EF4-FFF2-40B4-BE49-F238E27FC236}">
              <a16:creationId xmlns:a16="http://schemas.microsoft.com/office/drawing/2014/main" id="{AB87A776-514C-430D-8AD2-C856FCD76FDE}"/>
            </a:ext>
          </a:extLst>
        </xdr:cNvPr>
        <xdr:cNvSpPr txBox="1"/>
      </xdr:nvSpPr>
      <xdr:spPr>
        <a:xfrm>
          <a:off x="16668750" y="123825"/>
          <a:ext cx="590232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0</xdr:colOff>
      <xdr:row>8</xdr:row>
      <xdr:rowOff>80909</xdr:rowOff>
    </xdr:from>
    <xdr:to>
      <xdr:col>18</xdr:col>
      <xdr:colOff>1017905</xdr:colOff>
      <xdr:row>9</xdr:row>
      <xdr:rowOff>128912</xdr:rowOff>
    </xdr:to>
    <xdr:cxnSp macro="">
      <xdr:nvCxnSpPr>
        <xdr:cNvPr id="76" name="Straight Arrow Connector 5">
          <a:extLst>
            <a:ext uri="{FF2B5EF4-FFF2-40B4-BE49-F238E27FC236}">
              <a16:creationId xmlns:a16="http://schemas.microsoft.com/office/drawing/2014/main" id="{39BCEA74-9224-4A0C-9216-938CF308E12E}"/>
            </a:ext>
          </a:extLst>
        </xdr:cNvPr>
        <xdr:cNvCxnSpPr>
          <a:stCxn id="74" idx="1"/>
        </xdr:cNvCxnSpPr>
      </xdr:nvCxnSpPr>
      <xdr:spPr>
        <a:xfrm flipH="1" flipV="1">
          <a:off x="19483995" y="2954284"/>
          <a:ext cx="1060160" cy="2226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367937</xdr:colOff>
      <xdr:row>15</xdr:row>
      <xdr:rowOff>160682</xdr:rowOff>
    </xdr:from>
    <xdr:to>
      <xdr:col>21</xdr:col>
      <xdr:colOff>883920</xdr:colOff>
      <xdr:row>20</xdr:row>
      <xdr:rowOff>6299</xdr:rowOff>
    </xdr:to>
    <xdr:grpSp>
      <xdr:nvGrpSpPr>
        <xdr:cNvPr id="4" name="Group 3">
          <a:extLst>
            <a:ext uri="{FF2B5EF4-FFF2-40B4-BE49-F238E27FC236}">
              <a16:creationId xmlns:a16="http://schemas.microsoft.com/office/drawing/2014/main" id="{553322CE-84BD-48EF-A1C1-665861A5C4A4}"/>
            </a:ext>
          </a:extLst>
        </xdr:cNvPr>
        <xdr:cNvGrpSpPr/>
      </xdr:nvGrpSpPr>
      <xdr:grpSpPr>
        <a:xfrm>
          <a:off x="20179937" y="4208807"/>
          <a:ext cx="4792708" cy="960042"/>
          <a:chOff x="20261852" y="4143053"/>
          <a:chExt cx="5103844" cy="622017"/>
        </a:xfrm>
      </xdr:grpSpPr>
      <xdr:cxnSp macro="">
        <xdr:nvCxnSpPr>
          <xdr:cNvPr id="101" name="Straight Arrow Connector 5">
            <a:extLst>
              <a:ext uri="{FF2B5EF4-FFF2-40B4-BE49-F238E27FC236}">
                <a16:creationId xmlns:a16="http://schemas.microsoft.com/office/drawing/2014/main" id="{61939910-823E-43D6-96FF-A46CEFFA76BA}"/>
              </a:ext>
            </a:extLst>
          </xdr:cNvPr>
          <xdr:cNvCxnSpPr/>
        </xdr:nvCxnSpPr>
        <xdr:spPr>
          <a:xfrm flipH="1">
            <a:off x="22028252" y="4361505"/>
            <a:ext cx="517304" cy="37813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3" name="Straight Arrow Connector 5">
            <a:extLst>
              <a:ext uri="{FF2B5EF4-FFF2-40B4-BE49-F238E27FC236}">
                <a16:creationId xmlns:a16="http://schemas.microsoft.com/office/drawing/2014/main" id="{1AC6FF34-3C9E-4B70-97DA-56FAA884FF0D}"/>
              </a:ext>
            </a:extLst>
          </xdr:cNvPr>
          <xdr:cNvCxnSpPr/>
        </xdr:nvCxnSpPr>
        <xdr:spPr>
          <a:xfrm flipH="1">
            <a:off x="20261852" y="4365625"/>
            <a:ext cx="1934573" cy="39944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9" name="Straight Arrow Connector 5">
            <a:extLst>
              <a:ext uri="{FF2B5EF4-FFF2-40B4-BE49-F238E27FC236}">
                <a16:creationId xmlns:a16="http://schemas.microsoft.com/office/drawing/2014/main" id="{5FD61BCC-CC15-4856-AC0F-477336A76DA6}"/>
              </a:ext>
            </a:extLst>
          </xdr:cNvPr>
          <xdr:cNvCxnSpPr>
            <a:stCxn id="102" idx="3"/>
          </xdr:cNvCxnSpPr>
        </xdr:nvCxnSpPr>
        <xdr:spPr>
          <a:xfrm>
            <a:off x="25235861" y="4143053"/>
            <a:ext cx="129835" cy="576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1014726</xdr:colOff>
      <xdr:row>7</xdr:row>
      <xdr:rowOff>159177</xdr:rowOff>
    </xdr:from>
    <xdr:to>
      <xdr:col>20</xdr:col>
      <xdr:colOff>896634</xdr:colOff>
      <xdr:row>11</xdr:row>
      <xdr:rowOff>104979</xdr:rowOff>
    </xdr:to>
    <xdr:sp macro="" textlink="">
      <xdr:nvSpPr>
        <xdr:cNvPr id="74" name="TextBox 26">
          <a:extLst>
            <a:ext uri="{FF2B5EF4-FFF2-40B4-BE49-F238E27FC236}">
              <a16:creationId xmlns:a16="http://schemas.microsoft.com/office/drawing/2014/main" id="{1C63E7F2-4B80-4248-924C-D5598A06F6AD}"/>
            </a:ext>
          </a:extLst>
        </xdr:cNvPr>
        <xdr:cNvSpPr txBox="1"/>
      </xdr:nvSpPr>
      <xdr:spPr>
        <a:xfrm>
          <a:off x="20540976" y="2857927"/>
          <a:ext cx="2802908" cy="6443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693255</xdr:colOff>
      <xdr:row>14</xdr:row>
      <xdr:rowOff>8248</xdr:rowOff>
    </xdr:from>
    <xdr:to>
      <xdr:col>21</xdr:col>
      <xdr:colOff>762000</xdr:colOff>
      <xdr:row>17</xdr:row>
      <xdr:rowOff>122620</xdr:rowOff>
    </xdr:to>
    <xdr:sp macro="" textlink="">
      <xdr:nvSpPr>
        <xdr:cNvPr id="102" name="TextBox 27">
          <a:extLst>
            <a:ext uri="{FF2B5EF4-FFF2-40B4-BE49-F238E27FC236}">
              <a16:creationId xmlns:a16="http://schemas.microsoft.com/office/drawing/2014/main" id="{30A2B87C-D7EF-4995-97A7-6C06A1B6B519}"/>
            </a:ext>
          </a:extLst>
        </xdr:cNvPr>
        <xdr:cNvSpPr txBox="1"/>
      </xdr:nvSpPr>
      <xdr:spPr>
        <a:xfrm>
          <a:off x="20505255" y="3961123"/>
          <a:ext cx="4345470" cy="6858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92076</xdr:colOff>
      <xdr:row>79</xdr:row>
      <xdr:rowOff>92065</xdr:rowOff>
    </xdr:from>
    <xdr:to>
      <xdr:col>7</xdr:col>
      <xdr:colOff>439271</xdr:colOff>
      <xdr:row>82</xdr:row>
      <xdr:rowOff>53786</xdr:rowOff>
    </xdr:to>
    <xdr:grpSp>
      <xdr:nvGrpSpPr>
        <xdr:cNvPr id="2" name="Group 1">
          <a:extLst>
            <a:ext uri="{FF2B5EF4-FFF2-40B4-BE49-F238E27FC236}">
              <a16:creationId xmlns:a16="http://schemas.microsoft.com/office/drawing/2014/main" id="{8B06788D-F8E6-4FF6-AF33-DCAA395463CA}"/>
            </a:ext>
          </a:extLst>
        </xdr:cNvPr>
        <xdr:cNvGrpSpPr/>
      </xdr:nvGrpSpPr>
      <xdr:grpSpPr>
        <a:xfrm>
          <a:off x="6388101" y="16284565"/>
          <a:ext cx="3061820" cy="504646"/>
          <a:chOff x="6432551" y="16522703"/>
          <a:chExt cx="4024423" cy="735563"/>
        </a:xfrm>
      </xdr:grpSpPr>
      <xdr:sp macro="" textlink="">
        <xdr:nvSpPr>
          <xdr:cNvPr id="25" name="TextBox 7">
            <a:extLst>
              <a:ext uri="{FF2B5EF4-FFF2-40B4-BE49-F238E27FC236}">
                <a16:creationId xmlns:a16="http://schemas.microsoft.com/office/drawing/2014/main" id="{6858B800-2856-4AE0-8C1A-95075CA11EAC}"/>
              </a:ext>
            </a:extLst>
          </xdr:cNvPr>
          <xdr:cNvSpPr txBox="1"/>
        </xdr:nvSpPr>
        <xdr:spPr>
          <a:xfrm>
            <a:off x="7137399" y="16573223"/>
            <a:ext cx="3319575" cy="6850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a:t>
            </a:r>
            <a:endParaRPr lang="en-GB" sz="1100"/>
          </a:p>
        </xdr:txBody>
      </xdr:sp>
      <xdr:cxnSp macro="">
        <xdr:nvCxnSpPr>
          <xdr:cNvPr id="19" name="Straight Arrow Connector 5">
            <a:extLst>
              <a:ext uri="{FF2B5EF4-FFF2-40B4-BE49-F238E27FC236}">
                <a16:creationId xmlns:a16="http://schemas.microsoft.com/office/drawing/2014/main" id="{51F3A892-ECE2-44AD-B2FD-9E3D80F82FB4}"/>
              </a:ext>
            </a:extLst>
          </xdr:cNvPr>
          <xdr:cNvCxnSpPr>
            <a:stCxn id="25" idx="1"/>
          </xdr:cNvCxnSpPr>
        </xdr:nvCxnSpPr>
        <xdr:spPr>
          <a:xfrm flipH="1" flipV="1">
            <a:off x="6432551" y="16522703"/>
            <a:ext cx="704848" cy="39304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0</xdr:colOff>
      <xdr:row>4</xdr:row>
      <xdr:rowOff>0</xdr:rowOff>
    </xdr:from>
    <xdr:to>
      <xdr:col>2</xdr:col>
      <xdr:colOff>2371567</xdr:colOff>
      <xdr:row>4</xdr:row>
      <xdr:rowOff>828130</xdr:rowOff>
    </xdr:to>
    <xdr:sp macro="" textlink="">
      <xdr:nvSpPr>
        <xdr:cNvPr id="21" name="TextBox 17">
          <a:extLst>
            <a:ext uri="{FF2B5EF4-FFF2-40B4-BE49-F238E27FC236}">
              <a16:creationId xmlns:a16="http://schemas.microsoft.com/office/drawing/2014/main" id="{F6A4E447-5B3E-49F1-AEB2-23050A2354D9}"/>
            </a:ext>
          </a:extLst>
        </xdr:cNvPr>
        <xdr:cNvSpPr txBox="1"/>
      </xdr:nvSpPr>
      <xdr:spPr>
        <a:xfrm>
          <a:off x="286871" y="1156447"/>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800100</xdr:colOff>
      <xdr:row>9</xdr:row>
      <xdr:rowOff>28575</xdr:rowOff>
    </xdr:from>
    <xdr:to>
      <xdr:col>15</xdr:col>
      <xdr:colOff>479653</xdr:colOff>
      <xdr:row>14</xdr:row>
      <xdr:rowOff>0</xdr:rowOff>
    </xdr:to>
    <xdr:cxnSp macro="">
      <xdr:nvCxnSpPr>
        <xdr:cNvPr id="5" name="Straight Arrow Connector 5">
          <a:extLst>
            <a:ext uri="{FF2B5EF4-FFF2-40B4-BE49-F238E27FC236}">
              <a16:creationId xmlns:a16="http://schemas.microsoft.com/office/drawing/2014/main" id="{F596A722-B157-4E2D-BE70-607CA24D8E7B}"/>
            </a:ext>
          </a:extLst>
        </xdr:cNvPr>
        <xdr:cNvCxnSpPr>
          <a:stCxn id="11" idx="0"/>
        </xdr:cNvCxnSpPr>
      </xdr:nvCxnSpPr>
      <xdr:spPr>
        <a:xfrm flipH="1" flipV="1">
          <a:off x="17040225" y="2997200"/>
          <a:ext cx="940028" cy="879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6" name="Straight Arrow Connector 2">
          <a:extLst>
            <a:ext uri="{FF2B5EF4-FFF2-40B4-BE49-F238E27FC236}">
              <a16:creationId xmlns:a16="http://schemas.microsoft.com/office/drawing/2014/main" id="{C402DAB7-0F04-4E4E-A3B3-D4BCC409164D}"/>
            </a:ext>
          </a:extLst>
        </xdr:cNvPr>
        <xdr:cNvCxnSpPr/>
      </xdr:nvCxnSpPr>
      <xdr:spPr>
        <a:xfrm>
          <a:off x="16267019" y="2717427"/>
          <a:ext cx="189006" cy="7339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7" name="Straight Arrow Connector 6">
          <a:extLst>
            <a:ext uri="{FF2B5EF4-FFF2-40B4-BE49-F238E27FC236}">
              <a16:creationId xmlns:a16="http://schemas.microsoft.com/office/drawing/2014/main" id="{86FC07C9-B655-4F88-8D85-BF92CF38BAB6}"/>
            </a:ext>
          </a:extLst>
        </xdr:cNvPr>
        <xdr:cNvCxnSpPr/>
      </xdr:nvCxnSpPr>
      <xdr:spPr>
        <a:xfrm flipV="1">
          <a:off x="16218620" y="2892425"/>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133350</xdr:rowOff>
    </xdr:from>
    <xdr:to>
      <xdr:col>14</xdr:col>
      <xdr:colOff>495300</xdr:colOff>
      <xdr:row>4</xdr:row>
      <xdr:rowOff>304800</xdr:rowOff>
    </xdr:to>
    <xdr:cxnSp macro="">
      <xdr:nvCxnSpPr>
        <xdr:cNvPr id="8" name="Straight Arrow Connector 20">
          <a:extLst>
            <a:ext uri="{FF2B5EF4-FFF2-40B4-BE49-F238E27FC236}">
              <a16:creationId xmlns:a16="http://schemas.microsoft.com/office/drawing/2014/main" id="{2C07F2D7-1901-43CE-AD72-756DC981A46F}"/>
            </a:ext>
          </a:extLst>
        </xdr:cNvPr>
        <xdr:cNvCxnSpPr>
          <a:cxnSpLocks/>
        </xdr:cNvCxnSpPr>
      </xdr:nvCxnSpPr>
      <xdr:spPr>
        <a:xfrm flipH="1">
          <a:off x="15735300" y="533400"/>
          <a:ext cx="1000125" cy="819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11" name="TextBox 7">
          <a:extLst>
            <a:ext uri="{FF2B5EF4-FFF2-40B4-BE49-F238E27FC236}">
              <a16:creationId xmlns:a16="http://schemas.microsoft.com/office/drawing/2014/main" id="{B9C60FA2-F44E-43AD-8C0C-28BBBC3DDB77}"/>
            </a:ext>
          </a:extLst>
        </xdr:cNvPr>
        <xdr:cNvSpPr txBox="1"/>
      </xdr:nvSpPr>
      <xdr:spPr>
        <a:xfrm>
          <a:off x="16866055" y="3876675"/>
          <a:ext cx="2222046" cy="668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16</xdr:col>
      <xdr:colOff>552450</xdr:colOff>
      <xdr:row>2</xdr:row>
      <xdr:rowOff>161925</xdr:rowOff>
    </xdr:from>
    <xdr:to>
      <xdr:col>16</xdr:col>
      <xdr:colOff>563309</xdr:colOff>
      <xdr:row>4</xdr:row>
      <xdr:rowOff>314325</xdr:rowOff>
    </xdr:to>
    <xdr:cxnSp macro="">
      <xdr:nvCxnSpPr>
        <xdr:cNvPr id="12" name="Straight Arrow Connector 11">
          <a:extLst>
            <a:ext uri="{FF2B5EF4-FFF2-40B4-BE49-F238E27FC236}">
              <a16:creationId xmlns:a16="http://schemas.microsoft.com/office/drawing/2014/main" id="{CDA2A711-A6BB-458C-9E0F-D97618AECEA6}"/>
            </a:ext>
          </a:extLst>
        </xdr:cNvPr>
        <xdr:cNvCxnSpPr>
          <a:cxnSpLocks/>
        </xdr:cNvCxnSpPr>
      </xdr:nvCxnSpPr>
      <xdr:spPr>
        <a:xfrm>
          <a:off x="18764250" y="815975"/>
          <a:ext cx="7684" cy="542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504825</xdr:colOff>
      <xdr:row>0</xdr:row>
      <xdr:rowOff>149225</xdr:rowOff>
    </xdr:from>
    <xdr:to>
      <xdr:col>19</xdr:col>
      <xdr:colOff>438150</xdr:colOff>
      <xdr:row>2</xdr:row>
      <xdr:rowOff>162559</xdr:rowOff>
    </xdr:to>
    <xdr:sp macro="" textlink="">
      <xdr:nvSpPr>
        <xdr:cNvPr id="9" name="TextBox 8">
          <a:extLst>
            <a:ext uri="{FF2B5EF4-FFF2-40B4-BE49-F238E27FC236}">
              <a16:creationId xmlns:a16="http://schemas.microsoft.com/office/drawing/2014/main" id="{8FC63A92-C0E8-4D83-9F7D-13CBC2F61A01}"/>
            </a:ext>
          </a:extLst>
        </xdr:cNvPr>
        <xdr:cNvSpPr txBox="1"/>
      </xdr:nvSpPr>
      <xdr:spPr>
        <a:xfrm>
          <a:off x="16744950" y="149225"/>
          <a:ext cx="5895975" cy="67055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0</xdr:colOff>
      <xdr:row>8</xdr:row>
      <xdr:rowOff>80909</xdr:rowOff>
    </xdr:from>
    <xdr:to>
      <xdr:col>18</xdr:col>
      <xdr:colOff>1017905</xdr:colOff>
      <xdr:row>9</xdr:row>
      <xdr:rowOff>128912</xdr:rowOff>
    </xdr:to>
    <xdr:cxnSp macro="">
      <xdr:nvCxnSpPr>
        <xdr:cNvPr id="7" name="Straight Arrow Connector 5">
          <a:extLst>
            <a:ext uri="{FF2B5EF4-FFF2-40B4-BE49-F238E27FC236}">
              <a16:creationId xmlns:a16="http://schemas.microsoft.com/office/drawing/2014/main" id="{194D51E2-04F3-4E1F-BD49-085803119D5C}"/>
            </a:ext>
          </a:extLst>
        </xdr:cNvPr>
        <xdr:cNvCxnSpPr>
          <a:stCxn id="14" idx="1"/>
        </xdr:cNvCxnSpPr>
      </xdr:nvCxnSpPr>
      <xdr:spPr>
        <a:xfrm flipH="1" flipV="1">
          <a:off x="16582045" y="2890784"/>
          <a:ext cx="1018885" cy="2385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367937</xdr:colOff>
      <xdr:row>15</xdr:row>
      <xdr:rowOff>160682</xdr:rowOff>
    </xdr:from>
    <xdr:to>
      <xdr:col>21</xdr:col>
      <xdr:colOff>883920</xdr:colOff>
      <xdr:row>20</xdr:row>
      <xdr:rowOff>6299</xdr:rowOff>
    </xdr:to>
    <xdr:grpSp>
      <xdr:nvGrpSpPr>
        <xdr:cNvPr id="10" name="Group 9">
          <a:extLst>
            <a:ext uri="{FF2B5EF4-FFF2-40B4-BE49-F238E27FC236}">
              <a16:creationId xmlns:a16="http://schemas.microsoft.com/office/drawing/2014/main" id="{9212E85E-613E-4D4B-BABB-3D7243515EFB}"/>
            </a:ext>
          </a:extLst>
        </xdr:cNvPr>
        <xdr:cNvGrpSpPr/>
      </xdr:nvGrpSpPr>
      <xdr:grpSpPr>
        <a:xfrm>
          <a:off x="20179937" y="4208807"/>
          <a:ext cx="4792708" cy="960042"/>
          <a:chOff x="20261852" y="4143053"/>
          <a:chExt cx="5103844" cy="622017"/>
        </a:xfrm>
      </xdr:grpSpPr>
      <xdr:cxnSp macro="">
        <xdr:nvCxnSpPr>
          <xdr:cNvPr id="11" name="Straight Arrow Connector 5">
            <a:extLst>
              <a:ext uri="{FF2B5EF4-FFF2-40B4-BE49-F238E27FC236}">
                <a16:creationId xmlns:a16="http://schemas.microsoft.com/office/drawing/2014/main" id="{AC05C137-F816-2690-0367-CE9E209309D8}"/>
              </a:ext>
            </a:extLst>
          </xdr:cNvPr>
          <xdr:cNvCxnSpPr/>
        </xdr:nvCxnSpPr>
        <xdr:spPr>
          <a:xfrm flipH="1">
            <a:off x="22028252" y="4361505"/>
            <a:ext cx="517304" cy="37813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Arrow Connector 5">
            <a:extLst>
              <a:ext uri="{FF2B5EF4-FFF2-40B4-BE49-F238E27FC236}">
                <a16:creationId xmlns:a16="http://schemas.microsoft.com/office/drawing/2014/main" id="{90CA0833-F156-9521-4E30-2C2BAA19A87A}"/>
              </a:ext>
            </a:extLst>
          </xdr:cNvPr>
          <xdr:cNvCxnSpPr/>
        </xdr:nvCxnSpPr>
        <xdr:spPr>
          <a:xfrm flipH="1">
            <a:off x="20261852" y="4365625"/>
            <a:ext cx="1934573" cy="39944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3" name="Straight Arrow Connector 5">
            <a:extLst>
              <a:ext uri="{FF2B5EF4-FFF2-40B4-BE49-F238E27FC236}">
                <a16:creationId xmlns:a16="http://schemas.microsoft.com/office/drawing/2014/main" id="{215FED34-97EF-883A-9754-D17D0CA6E18B}"/>
              </a:ext>
            </a:extLst>
          </xdr:cNvPr>
          <xdr:cNvCxnSpPr>
            <a:stCxn id="15" idx="3"/>
          </xdr:cNvCxnSpPr>
        </xdr:nvCxnSpPr>
        <xdr:spPr>
          <a:xfrm>
            <a:off x="25053281" y="4143053"/>
            <a:ext cx="312415" cy="576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1014726</xdr:colOff>
      <xdr:row>7</xdr:row>
      <xdr:rowOff>159177</xdr:rowOff>
    </xdr:from>
    <xdr:to>
      <xdr:col>20</xdr:col>
      <xdr:colOff>896634</xdr:colOff>
      <xdr:row>11</xdr:row>
      <xdr:rowOff>104979</xdr:rowOff>
    </xdr:to>
    <xdr:sp macro="" textlink="">
      <xdr:nvSpPr>
        <xdr:cNvPr id="14" name="TextBox 26">
          <a:extLst>
            <a:ext uri="{FF2B5EF4-FFF2-40B4-BE49-F238E27FC236}">
              <a16:creationId xmlns:a16="http://schemas.microsoft.com/office/drawing/2014/main" id="{B1EA3CA4-0E06-4AF4-8979-23D43A727171}"/>
            </a:ext>
          </a:extLst>
        </xdr:cNvPr>
        <xdr:cNvSpPr txBox="1"/>
      </xdr:nvSpPr>
      <xdr:spPr>
        <a:xfrm>
          <a:off x="17597751" y="2778552"/>
          <a:ext cx="2644158" cy="7078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693255</xdr:colOff>
      <xdr:row>14</xdr:row>
      <xdr:rowOff>8248</xdr:rowOff>
    </xdr:from>
    <xdr:to>
      <xdr:col>21</xdr:col>
      <xdr:colOff>590550</xdr:colOff>
      <xdr:row>17</xdr:row>
      <xdr:rowOff>122620</xdr:rowOff>
    </xdr:to>
    <xdr:sp macro="" textlink="">
      <xdr:nvSpPr>
        <xdr:cNvPr id="15" name="TextBox 27">
          <a:extLst>
            <a:ext uri="{FF2B5EF4-FFF2-40B4-BE49-F238E27FC236}">
              <a16:creationId xmlns:a16="http://schemas.microsoft.com/office/drawing/2014/main" id="{C3F7DD25-7872-464F-9B4E-588D234097EA}"/>
            </a:ext>
          </a:extLst>
        </xdr:cNvPr>
        <xdr:cNvSpPr txBox="1"/>
      </xdr:nvSpPr>
      <xdr:spPr>
        <a:xfrm>
          <a:off x="20505255" y="3961123"/>
          <a:ext cx="4174020" cy="68587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92076</xdr:colOff>
      <xdr:row>95</xdr:row>
      <xdr:rowOff>88883</xdr:rowOff>
    </xdr:from>
    <xdr:to>
      <xdr:col>8</xdr:col>
      <xdr:colOff>971549</xdr:colOff>
      <xdr:row>98</xdr:row>
      <xdr:rowOff>104768</xdr:rowOff>
    </xdr:to>
    <xdr:grpSp>
      <xdr:nvGrpSpPr>
        <xdr:cNvPr id="16" name="Group 15">
          <a:extLst>
            <a:ext uri="{FF2B5EF4-FFF2-40B4-BE49-F238E27FC236}">
              <a16:creationId xmlns:a16="http://schemas.microsoft.com/office/drawing/2014/main" id="{A82674A2-B742-4120-8B7E-9DB57E81D6B6}"/>
            </a:ext>
          </a:extLst>
        </xdr:cNvPr>
        <xdr:cNvGrpSpPr/>
      </xdr:nvGrpSpPr>
      <xdr:grpSpPr>
        <a:xfrm>
          <a:off x="6388101" y="18938858"/>
          <a:ext cx="4460873" cy="558810"/>
          <a:chOff x="6432551" y="16522703"/>
          <a:chExt cx="5858338" cy="814512"/>
        </a:xfrm>
      </xdr:grpSpPr>
      <xdr:sp macro="" textlink="">
        <xdr:nvSpPr>
          <xdr:cNvPr id="17" name="TextBox 7">
            <a:extLst>
              <a:ext uri="{FF2B5EF4-FFF2-40B4-BE49-F238E27FC236}">
                <a16:creationId xmlns:a16="http://schemas.microsoft.com/office/drawing/2014/main" id="{45704DA1-3B3C-209F-49BF-AD2129C3A6C7}"/>
              </a:ext>
            </a:extLst>
          </xdr:cNvPr>
          <xdr:cNvSpPr txBox="1"/>
        </xdr:nvSpPr>
        <xdr:spPr>
          <a:xfrm>
            <a:off x="7137399" y="16573223"/>
            <a:ext cx="5153490" cy="7639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and solid carbon conversion rate is linked to the response given in the Initial questions worksheet.</a:t>
            </a:r>
            <a:endParaRPr lang="en-GB" sz="1100"/>
          </a:p>
        </xdr:txBody>
      </xdr:sp>
      <xdr:cxnSp macro="">
        <xdr:nvCxnSpPr>
          <xdr:cNvPr id="18" name="Straight Arrow Connector 5">
            <a:extLst>
              <a:ext uri="{FF2B5EF4-FFF2-40B4-BE49-F238E27FC236}">
                <a16:creationId xmlns:a16="http://schemas.microsoft.com/office/drawing/2014/main" id="{1B537123-E77A-D60A-E45C-D07ECEADAA6C}"/>
              </a:ext>
            </a:extLst>
          </xdr:cNvPr>
          <xdr:cNvCxnSpPr>
            <a:stCxn id="17" idx="1"/>
          </xdr:cNvCxnSpPr>
        </xdr:nvCxnSpPr>
        <xdr:spPr>
          <a:xfrm flipH="1" flipV="1">
            <a:off x="6432551" y="16522703"/>
            <a:ext cx="704849" cy="43252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0</xdr:colOff>
      <xdr:row>4</xdr:row>
      <xdr:rowOff>0</xdr:rowOff>
    </xdr:from>
    <xdr:to>
      <xdr:col>2</xdr:col>
      <xdr:colOff>2371567</xdr:colOff>
      <xdr:row>4</xdr:row>
      <xdr:rowOff>828130</xdr:rowOff>
    </xdr:to>
    <xdr:sp macro="" textlink="">
      <xdr:nvSpPr>
        <xdr:cNvPr id="19" name="TextBox 17">
          <a:extLst>
            <a:ext uri="{FF2B5EF4-FFF2-40B4-BE49-F238E27FC236}">
              <a16:creationId xmlns:a16="http://schemas.microsoft.com/office/drawing/2014/main" id="{0AE6CF42-61A0-4D24-914C-41199BF67CB8}"/>
            </a:ext>
          </a:extLst>
        </xdr:cNvPr>
        <xdr:cNvSpPr txBox="1"/>
      </xdr:nvSpPr>
      <xdr:spPr>
        <a:xfrm>
          <a:off x="285750" y="1038225"/>
          <a:ext cx="3924142"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800100</xdr:colOff>
      <xdr:row>9</xdr:row>
      <xdr:rowOff>28575</xdr:rowOff>
    </xdr:from>
    <xdr:to>
      <xdr:col>15</xdr:col>
      <xdr:colOff>479653</xdr:colOff>
      <xdr:row>14</xdr:row>
      <xdr:rowOff>0</xdr:rowOff>
    </xdr:to>
    <xdr:cxnSp macro="">
      <xdr:nvCxnSpPr>
        <xdr:cNvPr id="20" name="Straight Arrow Connector 5">
          <a:extLst>
            <a:ext uri="{FF2B5EF4-FFF2-40B4-BE49-F238E27FC236}">
              <a16:creationId xmlns:a16="http://schemas.microsoft.com/office/drawing/2014/main" id="{838995C9-17EE-4343-A6DD-F3FF4BB6E389}"/>
            </a:ext>
          </a:extLst>
        </xdr:cNvPr>
        <xdr:cNvCxnSpPr>
          <a:stCxn id="25" idx="0"/>
        </xdr:cNvCxnSpPr>
      </xdr:nvCxnSpPr>
      <xdr:spPr>
        <a:xfrm flipH="1" flipV="1">
          <a:off x="17040225" y="2997200"/>
          <a:ext cx="940028" cy="879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21" name="Straight Arrow Connector 2">
          <a:extLst>
            <a:ext uri="{FF2B5EF4-FFF2-40B4-BE49-F238E27FC236}">
              <a16:creationId xmlns:a16="http://schemas.microsoft.com/office/drawing/2014/main" id="{A7A80DA7-EAE4-4637-A5F2-ABB85CEA8BBA}"/>
            </a:ext>
          </a:extLst>
        </xdr:cNvPr>
        <xdr:cNvCxnSpPr/>
      </xdr:nvCxnSpPr>
      <xdr:spPr>
        <a:xfrm>
          <a:off x="16267019" y="2717427"/>
          <a:ext cx="189006" cy="7339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22" name="Straight Arrow Connector 21">
          <a:extLst>
            <a:ext uri="{FF2B5EF4-FFF2-40B4-BE49-F238E27FC236}">
              <a16:creationId xmlns:a16="http://schemas.microsoft.com/office/drawing/2014/main" id="{83069F8C-D3C7-4D48-BE1B-8E9B427E328E}"/>
            </a:ext>
          </a:extLst>
        </xdr:cNvPr>
        <xdr:cNvCxnSpPr/>
      </xdr:nvCxnSpPr>
      <xdr:spPr>
        <a:xfrm flipV="1">
          <a:off x="16218620" y="2892425"/>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92710</xdr:rowOff>
    </xdr:from>
    <xdr:to>
      <xdr:col>14</xdr:col>
      <xdr:colOff>818243</xdr:colOff>
      <xdr:row>4</xdr:row>
      <xdr:rowOff>304800</xdr:rowOff>
    </xdr:to>
    <xdr:cxnSp macro="">
      <xdr:nvCxnSpPr>
        <xdr:cNvPr id="23" name="Straight Arrow Connector 20">
          <a:extLst>
            <a:ext uri="{FF2B5EF4-FFF2-40B4-BE49-F238E27FC236}">
              <a16:creationId xmlns:a16="http://schemas.microsoft.com/office/drawing/2014/main" id="{039D4D55-CA25-4FBC-99B9-65E97B7D0CB6}"/>
            </a:ext>
          </a:extLst>
        </xdr:cNvPr>
        <xdr:cNvCxnSpPr>
          <a:cxnSpLocks/>
        </xdr:cNvCxnSpPr>
      </xdr:nvCxnSpPr>
      <xdr:spPr>
        <a:xfrm flipH="1">
          <a:off x="15735300" y="492760"/>
          <a:ext cx="1323068" cy="8597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xdr:colOff>
      <xdr:row>7</xdr:row>
      <xdr:rowOff>95250</xdr:rowOff>
    </xdr:from>
    <xdr:to>
      <xdr:col>13</xdr:col>
      <xdr:colOff>27214</xdr:colOff>
      <xdr:row>7</xdr:row>
      <xdr:rowOff>95251</xdr:rowOff>
    </xdr:to>
    <xdr:cxnSp macro="">
      <xdr:nvCxnSpPr>
        <xdr:cNvPr id="24" name="Straight Arrow Connector 5">
          <a:extLst>
            <a:ext uri="{FF2B5EF4-FFF2-40B4-BE49-F238E27FC236}">
              <a16:creationId xmlns:a16="http://schemas.microsoft.com/office/drawing/2014/main" id="{9AFD29E7-430F-4A65-B5B8-386946AEA2EA}"/>
            </a:ext>
          </a:extLst>
        </xdr:cNvPr>
        <xdr:cNvCxnSpPr/>
      </xdr:nvCxnSpPr>
      <xdr:spPr>
        <a:xfrm flipV="1">
          <a:off x="12353926" y="2705100"/>
          <a:ext cx="2916463" cy="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25" name="TextBox 7">
          <a:extLst>
            <a:ext uri="{FF2B5EF4-FFF2-40B4-BE49-F238E27FC236}">
              <a16:creationId xmlns:a16="http://schemas.microsoft.com/office/drawing/2014/main" id="{51AF10D2-3447-4C2C-A328-2FA92A6D3111}"/>
            </a:ext>
          </a:extLst>
        </xdr:cNvPr>
        <xdr:cNvSpPr txBox="1"/>
      </xdr:nvSpPr>
      <xdr:spPr>
        <a:xfrm>
          <a:off x="16866055" y="3876675"/>
          <a:ext cx="2222046" cy="668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14</xdr:col>
      <xdr:colOff>819150</xdr:colOff>
      <xdr:row>0</xdr:row>
      <xdr:rowOff>152400</xdr:rowOff>
    </xdr:from>
    <xdr:to>
      <xdr:col>19</xdr:col>
      <xdr:colOff>752475</xdr:colOff>
      <xdr:row>2</xdr:row>
      <xdr:rowOff>159384</xdr:rowOff>
    </xdr:to>
    <xdr:sp macro="" textlink="">
      <xdr:nvSpPr>
        <xdr:cNvPr id="26" name="TextBox 8">
          <a:extLst>
            <a:ext uri="{FF2B5EF4-FFF2-40B4-BE49-F238E27FC236}">
              <a16:creationId xmlns:a16="http://schemas.microsoft.com/office/drawing/2014/main" id="{A5BA1B70-2579-4B53-818C-D9304E3F5D9B}"/>
            </a:ext>
          </a:extLst>
        </xdr:cNvPr>
        <xdr:cNvSpPr txBox="1"/>
      </xdr:nvSpPr>
      <xdr:spPr>
        <a:xfrm>
          <a:off x="17059275" y="152400"/>
          <a:ext cx="58959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16</xdr:col>
      <xdr:colOff>533400</xdr:colOff>
      <xdr:row>2</xdr:row>
      <xdr:rowOff>161925</xdr:rowOff>
    </xdr:from>
    <xdr:to>
      <xdr:col>16</xdr:col>
      <xdr:colOff>533400</xdr:colOff>
      <xdr:row>4</xdr:row>
      <xdr:rowOff>314325</xdr:rowOff>
    </xdr:to>
    <xdr:cxnSp macro="">
      <xdr:nvCxnSpPr>
        <xdr:cNvPr id="27" name="Straight Arrow Connector 26">
          <a:extLst>
            <a:ext uri="{FF2B5EF4-FFF2-40B4-BE49-F238E27FC236}">
              <a16:creationId xmlns:a16="http://schemas.microsoft.com/office/drawing/2014/main" id="{5C001D0E-4756-480E-B8A6-E0D409347E7E}"/>
            </a:ext>
          </a:extLst>
        </xdr:cNvPr>
        <xdr:cNvCxnSpPr>
          <a:cxnSpLocks/>
        </xdr:cNvCxnSpPr>
      </xdr:nvCxnSpPr>
      <xdr:spPr>
        <a:xfrm>
          <a:off x="17916525" y="819150"/>
          <a:ext cx="0"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830036</xdr:colOff>
      <xdr:row>22</xdr:row>
      <xdr:rowOff>149678</xdr:rowOff>
    </xdr:from>
    <xdr:to>
      <xdr:col>19</xdr:col>
      <xdr:colOff>657226</xdr:colOff>
      <xdr:row>25</xdr:row>
      <xdr:rowOff>125640</xdr:rowOff>
    </xdr:to>
    <xdr:cxnSp macro="">
      <xdr:nvCxnSpPr>
        <xdr:cNvPr id="2" name="Straight Arrow Connector 5">
          <a:extLst>
            <a:ext uri="{FF2B5EF4-FFF2-40B4-BE49-F238E27FC236}">
              <a16:creationId xmlns:a16="http://schemas.microsoft.com/office/drawing/2014/main" id="{FBFFCEE9-FBAA-4C3F-A8D5-AAE6565576F5}"/>
            </a:ext>
          </a:extLst>
        </xdr:cNvPr>
        <xdr:cNvCxnSpPr/>
      </xdr:nvCxnSpPr>
      <xdr:spPr>
        <a:xfrm flipH="1">
          <a:off x="21600886" y="5528128"/>
          <a:ext cx="1274990" cy="52841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284625</xdr:colOff>
      <xdr:row>24</xdr:row>
      <xdr:rowOff>34128</xdr:rowOff>
    </xdr:from>
    <xdr:to>
      <xdr:col>21</xdr:col>
      <xdr:colOff>495300</xdr:colOff>
      <xdr:row>25</xdr:row>
      <xdr:rowOff>171450</xdr:rowOff>
    </xdr:to>
    <xdr:cxnSp macro="">
      <xdr:nvCxnSpPr>
        <xdr:cNvPr id="3" name="Straight Arrow Connector 5">
          <a:extLst>
            <a:ext uri="{FF2B5EF4-FFF2-40B4-BE49-F238E27FC236}">
              <a16:creationId xmlns:a16="http://schemas.microsoft.com/office/drawing/2014/main" id="{13EB653B-9212-462C-ABC3-07E4F130FB1F}"/>
            </a:ext>
          </a:extLst>
        </xdr:cNvPr>
        <xdr:cNvCxnSpPr>
          <a:stCxn id="4" idx="2"/>
        </xdr:cNvCxnSpPr>
      </xdr:nvCxnSpPr>
      <xdr:spPr>
        <a:xfrm>
          <a:off x="23951075" y="5780878"/>
          <a:ext cx="1798175" cy="3214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869950</xdr:colOff>
      <xdr:row>20</xdr:row>
      <xdr:rowOff>111125</xdr:rowOff>
    </xdr:from>
    <xdr:to>
      <xdr:col>21</xdr:col>
      <xdr:colOff>947074</xdr:colOff>
      <xdr:row>24</xdr:row>
      <xdr:rowOff>34128</xdr:rowOff>
    </xdr:to>
    <xdr:sp macro="" textlink="">
      <xdr:nvSpPr>
        <xdr:cNvPr id="4" name="TextBox 27">
          <a:extLst>
            <a:ext uri="{FF2B5EF4-FFF2-40B4-BE49-F238E27FC236}">
              <a16:creationId xmlns:a16="http://schemas.microsoft.com/office/drawing/2014/main" id="{48C4A0A5-3A14-4664-86A5-11FD2A414392}"/>
            </a:ext>
          </a:extLst>
        </xdr:cNvPr>
        <xdr:cNvSpPr txBox="1"/>
      </xdr:nvSpPr>
      <xdr:spPr>
        <a:xfrm>
          <a:off x="21640800" y="5121275"/>
          <a:ext cx="4560224" cy="6596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3</xdr:row>
      <xdr:rowOff>186266</xdr:rowOff>
    </xdr:from>
    <xdr:to>
      <xdr:col>2</xdr:col>
      <xdr:colOff>2376049</xdr:colOff>
      <xdr:row>4</xdr:row>
      <xdr:rowOff>819663</xdr:rowOff>
    </xdr:to>
    <xdr:sp macro="" textlink="">
      <xdr:nvSpPr>
        <xdr:cNvPr id="5" name="TextBox 17">
          <a:extLst>
            <a:ext uri="{FF2B5EF4-FFF2-40B4-BE49-F238E27FC236}">
              <a16:creationId xmlns:a16="http://schemas.microsoft.com/office/drawing/2014/main" id="{FCC7FBA3-6DB7-4F4F-AFF6-0EC345737CB7}"/>
            </a:ext>
          </a:extLst>
        </xdr:cNvPr>
        <xdr:cNvSpPr txBox="1"/>
      </xdr:nvSpPr>
      <xdr:spPr>
        <a:xfrm>
          <a:off x="298450" y="1037166"/>
          <a:ext cx="4001649" cy="83024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438150</xdr:colOff>
      <xdr:row>1</xdr:row>
      <xdr:rowOff>52707</xdr:rowOff>
    </xdr:from>
    <xdr:to>
      <xdr:col>14</xdr:col>
      <xdr:colOff>263525</xdr:colOff>
      <xdr:row>4</xdr:row>
      <xdr:rowOff>361950</xdr:rowOff>
    </xdr:to>
    <xdr:cxnSp macro="">
      <xdr:nvCxnSpPr>
        <xdr:cNvPr id="6" name="Straight Arrow Connector 20">
          <a:extLst>
            <a:ext uri="{FF2B5EF4-FFF2-40B4-BE49-F238E27FC236}">
              <a16:creationId xmlns:a16="http://schemas.microsoft.com/office/drawing/2014/main" id="{37139843-1EAB-4D3F-A615-44FF4EBEC45A}"/>
            </a:ext>
          </a:extLst>
        </xdr:cNvPr>
        <xdr:cNvCxnSpPr>
          <a:cxnSpLocks/>
        </xdr:cNvCxnSpPr>
      </xdr:nvCxnSpPr>
      <xdr:spPr>
        <a:xfrm flipH="1">
          <a:off x="15684500" y="452757"/>
          <a:ext cx="822325" cy="9569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542925</xdr:colOff>
      <xdr:row>2</xdr:row>
      <xdr:rowOff>152400</xdr:rowOff>
    </xdr:from>
    <xdr:to>
      <xdr:col>16</xdr:col>
      <xdr:colOff>550609</xdr:colOff>
      <xdr:row>4</xdr:row>
      <xdr:rowOff>342900</xdr:rowOff>
    </xdr:to>
    <xdr:cxnSp macro="">
      <xdr:nvCxnSpPr>
        <xdr:cNvPr id="7" name="Straight Arrow Connector 6">
          <a:extLst>
            <a:ext uri="{FF2B5EF4-FFF2-40B4-BE49-F238E27FC236}">
              <a16:creationId xmlns:a16="http://schemas.microsoft.com/office/drawing/2014/main" id="{56C07F43-D6F0-4218-884F-F45BB2995BD3}"/>
            </a:ext>
          </a:extLst>
        </xdr:cNvPr>
        <xdr:cNvCxnSpPr>
          <a:cxnSpLocks/>
        </xdr:cNvCxnSpPr>
      </xdr:nvCxnSpPr>
      <xdr:spPr>
        <a:xfrm>
          <a:off x="18773775" y="812800"/>
          <a:ext cx="7684" cy="5778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224118</xdr:colOff>
      <xdr:row>0</xdr:row>
      <xdr:rowOff>145676</xdr:rowOff>
    </xdr:from>
    <xdr:to>
      <xdr:col>19</xdr:col>
      <xdr:colOff>139327</xdr:colOff>
      <xdr:row>2</xdr:row>
      <xdr:rowOff>148738</xdr:rowOff>
    </xdr:to>
    <xdr:sp macro="" textlink="">
      <xdr:nvSpPr>
        <xdr:cNvPr id="8" name="TextBox 8">
          <a:extLst>
            <a:ext uri="{FF2B5EF4-FFF2-40B4-BE49-F238E27FC236}">
              <a16:creationId xmlns:a16="http://schemas.microsoft.com/office/drawing/2014/main" id="{02029BC0-606D-4012-B155-47D81258F9EC}"/>
            </a:ext>
          </a:extLst>
        </xdr:cNvPr>
        <xdr:cNvSpPr txBox="1"/>
      </xdr:nvSpPr>
      <xdr:spPr>
        <a:xfrm>
          <a:off x="16467418" y="145676"/>
          <a:ext cx="5890559" cy="66346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17</xdr:col>
      <xdr:colOff>1132350</xdr:colOff>
      <xdr:row>19</xdr:row>
      <xdr:rowOff>23695</xdr:rowOff>
    </xdr:from>
    <xdr:to>
      <xdr:col>18</xdr:col>
      <xdr:colOff>368988</xdr:colOff>
      <xdr:row>19</xdr:row>
      <xdr:rowOff>102162</xdr:rowOff>
    </xdr:to>
    <xdr:cxnSp macro="">
      <xdr:nvCxnSpPr>
        <xdr:cNvPr id="9" name="Straight Arrow Connector 5">
          <a:extLst>
            <a:ext uri="{FF2B5EF4-FFF2-40B4-BE49-F238E27FC236}">
              <a16:creationId xmlns:a16="http://schemas.microsoft.com/office/drawing/2014/main" id="{B08074DD-4EE1-49F3-82F8-DD92909449C9}"/>
            </a:ext>
          </a:extLst>
        </xdr:cNvPr>
        <xdr:cNvCxnSpPr>
          <a:stCxn id="10" idx="1"/>
        </xdr:cNvCxnSpPr>
      </xdr:nvCxnSpPr>
      <xdr:spPr>
        <a:xfrm flipH="1">
          <a:off x="20677650" y="4849695"/>
          <a:ext cx="462188"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372163</xdr:colOff>
      <xdr:row>17</xdr:row>
      <xdr:rowOff>129378</xdr:rowOff>
    </xdr:from>
    <xdr:to>
      <xdr:col>21</xdr:col>
      <xdr:colOff>280062</xdr:colOff>
      <xdr:row>20</xdr:row>
      <xdr:rowOff>88555</xdr:rowOff>
    </xdr:to>
    <xdr:sp macro="" textlink="">
      <xdr:nvSpPr>
        <xdr:cNvPr id="10" name="TextBox 9">
          <a:extLst>
            <a:ext uri="{FF2B5EF4-FFF2-40B4-BE49-F238E27FC236}">
              <a16:creationId xmlns:a16="http://schemas.microsoft.com/office/drawing/2014/main" id="{90F10DC3-4C8C-47BB-B3F6-8E938BF837BB}"/>
            </a:ext>
          </a:extLst>
        </xdr:cNvPr>
        <xdr:cNvSpPr txBox="1"/>
      </xdr:nvSpPr>
      <xdr:spPr>
        <a:xfrm>
          <a:off x="21143013" y="4587078"/>
          <a:ext cx="4390999" cy="5116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0</xdr:colOff>
      <xdr:row>19</xdr:row>
      <xdr:rowOff>16783</xdr:rowOff>
    </xdr:from>
    <xdr:to>
      <xdr:col>18</xdr:col>
      <xdr:colOff>408213</xdr:colOff>
      <xdr:row>19</xdr:row>
      <xdr:rowOff>95250</xdr:rowOff>
    </xdr:to>
    <xdr:cxnSp macro="">
      <xdr:nvCxnSpPr>
        <xdr:cNvPr id="2" name="Straight Arrow Connector 5">
          <a:extLst>
            <a:ext uri="{FF2B5EF4-FFF2-40B4-BE49-F238E27FC236}">
              <a16:creationId xmlns:a16="http://schemas.microsoft.com/office/drawing/2014/main" id="{89D49C0D-08AF-425B-AF93-136E9C8B8E59}"/>
            </a:ext>
          </a:extLst>
        </xdr:cNvPr>
        <xdr:cNvCxnSpPr>
          <a:stCxn id="5" idx="1"/>
        </xdr:cNvCxnSpPr>
      </xdr:nvCxnSpPr>
      <xdr:spPr>
        <a:xfrm flipH="1">
          <a:off x="20770850" y="4842783"/>
          <a:ext cx="408213"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982891</xdr:colOff>
      <xdr:row>24</xdr:row>
      <xdr:rowOff>122464</xdr:rowOff>
    </xdr:from>
    <xdr:to>
      <xdr:col>19</xdr:col>
      <xdr:colOff>503465</xdr:colOff>
      <xdr:row>25</xdr:row>
      <xdr:rowOff>163286</xdr:rowOff>
    </xdr:to>
    <xdr:cxnSp macro="">
      <xdr:nvCxnSpPr>
        <xdr:cNvPr id="3" name="Straight Arrow Connector 5">
          <a:extLst>
            <a:ext uri="{FF2B5EF4-FFF2-40B4-BE49-F238E27FC236}">
              <a16:creationId xmlns:a16="http://schemas.microsoft.com/office/drawing/2014/main" id="{9A73FA64-94CB-4AD9-85D7-E6AC559DCDED}"/>
            </a:ext>
          </a:extLst>
        </xdr:cNvPr>
        <xdr:cNvCxnSpPr/>
      </xdr:nvCxnSpPr>
      <xdr:spPr>
        <a:xfrm flipH="1">
          <a:off x="21753741" y="5869214"/>
          <a:ext cx="968374" cy="2249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1283843</xdr:colOff>
      <xdr:row>24</xdr:row>
      <xdr:rowOff>106700</xdr:rowOff>
    </xdr:from>
    <xdr:to>
      <xdr:col>21</xdr:col>
      <xdr:colOff>731611</xdr:colOff>
      <xdr:row>25</xdr:row>
      <xdr:rowOff>125639</xdr:rowOff>
    </xdr:to>
    <xdr:cxnSp macro="">
      <xdr:nvCxnSpPr>
        <xdr:cNvPr id="4" name="Straight Arrow Connector 5">
          <a:extLst>
            <a:ext uri="{FF2B5EF4-FFF2-40B4-BE49-F238E27FC236}">
              <a16:creationId xmlns:a16="http://schemas.microsoft.com/office/drawing/2014/main" id="{EE1E20AD-5B5C-48D4-B8C3-B4467D3B154D}"/>
            </a:ext>
          </a:extLst>
        </xdr:cNvPr>
        <xdr:cNvCxnSpPr>
          <a:cxnSpLocks/>
          <a:stCxn id="6" idx="2"/>
        </xdr:cNvCxnSpPr>
      </xdr:nvCxnSpPr>
      <xdr:spPr>
        <a:xfrm>
          <a:off x="23502493" y="5853450"/>
          <a:ext cx="2483068" cy="20308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411388</xdr:colOff>
      <xdr:row>17</xdr:row>
      <xdr:rowOff>122466</xdr:rowOff>
    </xdr:from>
    <xdr:to>
      <xdr:col>21</xdr:col>
      <xdr:colOff>326571</xdr:colOff>
      <xdr:row>20</xdr:row>
      <xdr:rowOff>81643</xdr:rowOff>
    </xdr:to>
    <xdr:sp macro="" textlink="">
      <xdr:nvSpPr>
        <xdr:cNvPr id="5" name="TextBox 11">
          <a:extLst>
            <a:ext uri="{FF2B5EF4-FFF2-40B4-BE49-F238E27FC236}">
              <a16:creationId xmlns:a16="http://schemas.microsoft.com/office/drawing/2014/main" id="{97F2ECD0-CEB5-4D9C-9A9B-61B8721B73E3}"/>
            </a:ext>
          </a:extLst>
        </xdr:cNvPr>
        <xdr:cNvSpPr txBox="1"/>
      </xdr:nvSpPr>
      <xdr:spPr>
        <a:xfrm>
          <a:off x="21182238" y="4580166"/>
          <a:ext cx="4398283" cy="5116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680358</xdr:colOff>
      <xdr:row>21</xdr:row>
      <xdr:rowOff>0</xdr:rowOff>
    </xdr:from>
    <xdr:to>
      <xdr:col>21</xdr:col>
      <xdr:colOff>761110</xdr:colOff>
      <xdr:row>24</xdr:row>
      <xdr:rowOff>103525</xdr:rowOff>
    </xdr:to>
    <xdr:sp macro="" textlink="">
      <xdr:nvSpPr>
        <xdr:cNvPr id="6" name="TextBox 27">
          <a:extLst>
            <a:ext uri="{FF2B5EF4-FFF2-40B4-BE49-F238E27FC236}">
              <a16:creationId xmlns:a16="http://schemas.microsoft.com/office/drawing/2014/main" id="{F77017D9-031B-465C-845D-FBE9DC592E3F}"/>
            </a:ext>
          </a:extLst>
        </xdr:cNvPr>
        <xdr:cNvSpPr txBox="1"/>
      </xdr:nvSpPr>
      <xdr:spPr>
        <a:xfrm>
          <a:off x="21451208" y="5194300"/>
          <a:ext cx="4563852" cy="6559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e/kg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7" name="TextBox 17">
          <a:extLst>
            <a:ext uri="{FF2B5EF4-FFF2-40B4-BE49-F238E27FC236}">
              <a16:creationId xmlns:a16="http://schemas.microsoft.com/office/drawing/2014/main" id="{DE97FD6B-4CAC-4119-B661-D2B2B7C44FA5}"/>
            </a:ext>
          </a:extLst>
        </xdr:cNvPr>
        <xdr:cNvSpPr txBox="1"/>
      </xdr:nvSpPr>
      <xdr:spPr>
        <a:xfrm>
          <a:off x="298450" y="1047750"/>
          <a:ext cx="3997167"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8" name="Straight Arrow Connector 5">
          <a:extLst>
            <a:ext uri="{FF2B5EF4-FFF2-40B4-BE49-F238E27FC236}">
              <a16:creationId xmlns:a16="http://schemas.microsoft.com/office/drawing/2014/main" id="{E27342CB-AED9-47E0-A141-5C318E7A712F}"/>
            </a:ext>
          </a:extLst>
        </xdr:cNvPr>
        <xdr:cNvCxnSpPr>
          <a:stCxn id="12" idx="0"/>
        </xdr:cNvCxnSpPr>
      </xdr:nvCxnSpPr>
      <xdr:spPr>
        <a:xfrm flipH="1" flipV="1">
          <a:off x="17224375" y="5029200"/>
          <a:ext cx="732291" cy="5343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9" name="Straight Arrow Connector 8">
          <a:extLst>
            <a:ext uri="{FF2B5EF4-FFF2-40B4-BE49-F238E27FC236}">
              <a16:creationId xmlns:a16="http://schemas.microsoft.com/office/drawing/2014/main" id="{96DF05C6-B0B1-4E8D-86A0-87483D3ABADA}"/>
            </a:ext>
          </a:extLst>
        </xdr:cNvPr>
        <xdr:cNvCxnSpPr/>
      </xdr:nvCxnSpPr>
      <xdr:spPr>
        <a:xfrm>
          <a:off x="16271875" y="2698750"/>
          <a:ext cx="219075" cy="21463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0" name="Straight Arrow Connector 9">
          <a:extLst>
            <a:ext uri="{FF2B5EF4-FFF2-40B4-BE49-F238E27FC236}">
              <a16:creationId xmlns:a16="http://schemas.microsoft.com/office/drawing/2014/main" id="{C089BCB0-0C13-4BC2-AC44-037595B18AA3}"/>
            </a:ext>
          </a:extLst>
        </xdr:cNvPr>
        <xdr:cNvCxnSpPr/>
      </xdr:nvCxnSpPr>
      <xdr:spPr>
        <a:xfrm flipV="1">
          <a:off x="16259175" y="4911725"/>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38BAFAF5-563F-4437-8E1B-E07350349D2A}"/>
            </a:ext>
          </a:extLst>
        </xdr:cNvPr>
        <xdr:cNvCxnSpPr>
          <a:cxnSpLocks/>
        </xdr:cNvCxnSpPr>
      </xdr:nvCxnSpPr>
      <xdr:spPr>
        <a:xfrm flipH="1">
          <a:off x="15684500" y="443232"/>
          <a:ext cx="1035050" cy="9664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2" name="TextBox 11">
          <a:extLst>
            <a:ext uri="{FF2B5EF4-FFF2-40B4-BE49-F238E27FC236}">
              <a16:creationId xmlns:a16="http://schemas.microsoft.com/office/drawing/2014/main" id="{29289652-FF8E-418F-AE2F-98722350D95C}"/>
            </a:ext>
          </a:extLst>
        </xdr:cNvPr>
        <xdr:cNvSpPr txBox="1"/>
      </xdr:nvSpPr>
      <xdr:spPr>
        <a:xfrm>
          <a:off x="16853806" y="5557158"/>
          <a:ext cx="2205719" cy="6309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495549</xdr:colOff>
      <xdr:row>2</xdr:row>
      <xdr:rowOff>86535</xdr:rowOff>
    </xdr:from>
    <xdr:to>
      <xdr:col>16</xdr:col>
      <xdr:colOff>495549</xdr:colOff>
      <xdr:row>4</xdr:row>
      <xdr:rowOff>376518</xdr:rowOff>
    </xdr:to>
    <xdr:cxnSp macro="">
      <xdr:nvCxnSpPr>
        <xdr:cNvPr id="13" name="Straight Arrow Connector 12">
          <a:extLst>
            <a:ext uri="{FF2B5EF4-FFF2-40B4-BE49-F238E27FC236}">
              <a16:creationId xmlns:a16="http://schemas.microsoft.com/office/drawing/2014/main" id="{F23AF320-E006-4A56-9BF5-854CF8A634B1}"/>
            </a:ext>
          </a:extLst>
        </xdr:cNvPr>
        <xdr:cNvCxnSpPr>
          <a:cxnSpLocks/>
        </xdr:cNvCxnSpPr>
      </xdr:nvCxnSpPr>
      <xdr:spPr>
        <a:xfrm>
          <a:off x="18726399" y="746935"/>
          <a:ext cx="0" cy="6773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465666</xdr:colOff>
      <xdr:row>0</xdr:row>
      <xdr:rowOff>116416</xdr:rowOff>
    </xdr:from>
    <xdr:to>
      <xdr:col>19</xdr:col>
      <xdr:colOff>396732</xdr:colOff>
      <xdr:row>2</xdr:row>
      <xdr:rowOff>117393</xdr:rowOff>
    </xdr:to>
    <xdr:sp macro="" textlink="">
      <xdr:nvSpPr>
        <xdr:cNvPr id="14" name="TextBox 13">
          <a:extLst>
            <a:ext uri="{FF2B5EF4-FFF2-40B4-BE49-F238E27FC236}">
              <a16:creationId xmlns:a16="http://schemas.microsoft.com/office/drawing/2014/main" id="{E583F7A8-EB88-4BFE-BC19-EA568826FF70}"/>
            </a:ext>
          </a:extLst>
        </xdr:cNvPr>
        <xdr:cNvSpPr txBox="1"/>
      </xdr:nvSpPr>
      <xdr:spPr>
        <a:xfrm>
          <a:off x="16708966" y="116416"/>
          <a:ext cx="5906416" cy="6613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628650</xdr:colOff>
      <xdr:row>20</xdr:row>
      <xdr:rowOff>0</xdr:rowOff>
    </xdr:from>
    <xdr:to>
      <xdr:col>15</xdr:col>
      <xdr:colOff>266065</xdr:colOff>
      <xdr:row>32</xdr:row>
      <xdr:rowOff>28485</xdr:rowOff>
    </xdr:to>
    <xdr:cxnSp macro="">
      <xdr:nvCxnSpPr>
        <xdr:cNvPr id="2" name="Straight Arrow Connector 5">
          <a:extLst>
            <a:ext uri="{FF2B5EF4-FFF2-40B4-BE49-F238E27FC236}">
              <a16:creationId xmlns:a16="http://schemas.microsoft.com/office/drawing/2014/main" id="{FE9BEF73-BDA3-4888-AA49-E518377CF31C}"/>
            </a:ext>
          </a:extLst>
        </xdr:cNvPr>
        <xdr:cNvCxnSpPr>
          <a:stCxn id="7" idx="0"/>
        </xdr:cNvCxnSpPr>
      </xdr:nvCxnSpPr>
      <xdr:spPr>
        <a:xfrm flipH="1" flipV="1">
          <a:off x="16871950" y="5010150"/>
          <a:ext cx="945515" cy="76508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152400</xdr:colOff>
      <xdr:row>19</xdr:row>
      <xdr:rowOff>27214</xdr:rowOff>
    </xdr:to>
    <xdr:cxnSp macro="">
      <xdr:nvCxnSpPr>
        <xdr:cNvPr id="3" name="Straight Arrow Connector 2">
          <a:extLst>
            <a:ext uri="{FF2B5EF4-FFF2-40B4-BE49-F238E27FC236}">
              <a16:creationId xmlns:a16="http://schemas.microsoft.com/office/drawing/2014/main" id="{4AAF44FA-40F3-4E5D-A357-ACEE5E176CA4}"/>
            </a:ext>
          </a:extLst>
        </xdr:cNvPr>
        <xdr:cNvCxnSpPr/>
      </xdr:nvCxnSpPr>
      <xdr:spPr>
        <a:xfrm>
          <a:off x="16252825" y="2720975"/>
          <a:ext cx="142875" cy="21322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19</xdr:row>
      <xdr:rowOff>95250</xdr:rowOff>
    </xdr:from>
    <xdr:to>
      <xdr:col>14</xdr:col>
      <xdr:colOff>142875</xdr:colOff>
      <xdr:row>19</xdr:row>
      <xdr:rowOff>95250</xdr:rowOff>
    </xdr:to>
    <xdr:cxnSp macro="">
      <xdr:nvCxnSpPr>
        <xdr:cNvPr id="4" name="Straight Arrow Connector 3">
          <a:extLst>
            <a:ext uri="{FF2B5EF4-FFF2-40B4-BE49-F238E27FC236}">
              <a16:creationId xmlns:a16="http://schemas.microsoft.com/office/drawing/2014/main" id="{191D48B8-9569-402A-B00A-F15A4A30D08A}"/>
            </a:ext>
          </a:extLst>
        </xdr:cNvPr>
        <xdr:cNvCxnSpPr/>
      </xdr:nvCxnSpPr>
      <xdr:spPr>
        <a:xfrm>
          <a:off x="16262350" y="4921250"/>
          <a:ext cx="1238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979716</xdr:colOff>
      <xdr:row>32</xdr:row>
      <xdr:rowOff>125639</xdr:rowOff>
    </xdr:from>
    <xdr:to>
      <xdr:col>19</xdr:col>
      <xdr:colOff>506640</xdr:colOff>
      <xdr:row>33</xdr:row>
      <xdr:rowOff>160111</xdr:rowOff>
    </xdr:to>
    <xdr:cxnSp macro="">
      <xdr:nvCxnSpPr>
        <xdr:cNvPr id="5" name="Straight Arrow Connector 5">
          <a:extLst>
            <a:ext uri="{FF2B5EF4-FFF2-40B4-BE49-F238E27FC236}">
              <a16:creationId xmlns:a16="http://schemas.microsoft.com/office/drawing/2014/main" id="{D88F48F7-7E16-4E24-9F21-51907677BA15}"/>
            </a:ext>
          </a:extLst>
        </xdr:cNvPr>
        <xdr:cNvCxnSpPr/>
      </xdr:nvCxnSpPr>
      <xdr:spPr>
        <a:xfrm flipH="1">
          <a:off x="21553716" y="5872389"/>
          <a:ext cx="974724" cy="21862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423409</xdr:colOff>
      <xdr:row>32</xdr:row>
      <xdr:rowOff>111124</xdr:rowOff>
    </xdr:from>
    <xdr:to>
      <xdr:col>21</xdr:col>
      <xdr:colOff>752475</xdr:colOff>
      <xdr:row>33</xdr:row>
      <xdr:rowOff>152400</xdr:rowOff>
    </xdr:to>
    <xdr:cxnSp macro="">
      <xdr:nvCxnSpPr>
        <xdr:cNvPr id="6" name="Straight Arrow Connector 5">
          <a:extLst>
            <a:ext uri="{FF2B5EF4-FFF2-40B4-BE49-F238E27FC236}">
              <a16:creationId xmlns:a16="http://schemas.microsoft.com/office/drawing/2014/main" id="{48FD0351-89F8-4D56-8DC7-7D56C46433FA}"/>
            </a:ext>
          </a:extLst>
        </xdr:cNvPr>
        <xdr:cNvCxnSpPr>
          <a:stCxn id="9" idx="2"/>
        </xdr:cNvCxnSpPr>
      </xdr:nvCxnSpPr>
      <xdr:spPr>
        <a:xfrm>
          <a:off x="23893009" y="7245349"/>
          <a:ext cx="1919741" cy="2222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389255</xdr:colOff>
      <xdr:row>32</xdr:row>
      <xdr:rowOff>28485</xdr:rowOff>
    </xdr:from>
    <xdr:to>
      <xdr:col>16</xdr:col>
      <xdr:colOff>847725</xdr:colOff>
      <xdr:row>35</xdr:row>
      <xdr:rowOff>114300</xdr:rowOff>
    </xdr:to>
    <xdr:sp macro="" textlink="">
      <xdr:nvSpPr>
        <xdr:cNvPr id="7" name="TextBox 6">
          <a:extLst>
            <a:ext uri="{FF2B5EF4-FFF2-40B4-BE49-F238E27FC236}">
              <a16:creationId xmlns:a16="http://schemas.microsoft.com/office/drawing/2014/main" id="{0BB1CDA0-47F1-4230-916F-9CBC0D82C34F}"/>
            </a:ext>
          </a:extLst>
        </xdr:cNvPr>
        <xdr:cNvSpPr txBox="1"/>
      </xdr:nvSpPr>
      <xdr:spPr>
        <a:xfrm>
          <a:off x="16632555" y="5775235"/>
          <a:ext cx="2363470" cy="6382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8" name="TextBox 7">
          <a:extLst>
            <a:ext uri="{FF2B5EF4-FFF2-40B4-BE49-F238E27FC236}">
              <a16:creationId xmlns:a16="http://schemas.microsoft.com/office/drawing/2014/main" id="{8F52A83D-BFFC-443A-B832-278C36ADD274}"/>
            </a:ext>
          </a:extLst>
        </xdr:cNvPr>
        <xdr:cNvSpPr txBox="1"/>
      </xdr:nvSpPr>
      <xdr:spPr>
        <a:xfrm>
          <a:off x="20982213" y="4583341"/>
          <a:ext cx="4401458" cy="5116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951593</xdr:colOff>
      <xdr:row>29</xdr:row>
      <xdr:rowOff>66674</xdr:rowOff>
    </xdr:from>
    <xdr:to>
      <xdr:col>21</xdr:col>
      <xdr:colOff>1200150</xdr:colOff>
      <xdr:row>32</xdr:row>
      <xdr:rowOff>111124</xdr:rowOff>
    </xdr:to>
    <xdr:sp macro="" textlink="">
      <xdr:nvSpPr>
        <xdr:cNvPr id="9" name="TextBox 13">
          <a:extLst>
            <a:ext uri="{FF2B5EF4-FFF2-40B4-BE49-F238E27FC236}">
              <a16:creationId xmlns:a16="http://schemas.microsoft.com/office/drawing/2014/main" id="{69DDDB28-CA8D-4B57-9B91-99CFBE901122}"/>
            </a:ext>
          </a:extLst>
        </xdr:cNvPr>
        <xdr:cNvSpPr txBox="1"/>
      </xdr:nvSpPr>
      <xdr:spPr>
        <a:xfrm>
          <a:off x="21525593" y="6657974"/>
          <a:ext cx="4734832" cy="5873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17</xdr:col>
      <xdr:colOff>1211036</xdr:colOff>
      <xdr:row>19</xdr:row>
      <xdr:rowOff>27214</xdr:rowOff>
    </xdr:from>
    <xdr:to>
      <xdr:col>18</xdr:col>
      <xdr:colOff>417738</xdr:colOff>
      <xdr:row>19</xdr:row>
      <xdr:rowOff>105681</xdr:rowOff>
    </xdr:to>
    <xdr:cxnSp macro="">
      <xdr:nvCxnSpPr>
        <xdr:cNvPr id="10" name="Straight Arrow Connector 5">
          <a:extLst>
            <a:ext uri="{FF2B5EF4-FFF2-40B4-BE49-F238E27FC236}">
              <a16:creationId xmlns:a16="http://schemas.microsoft.com/office/drawing/2014/main" id="{B153938D-805C-452C-B806-078E55B7A3E4}"/>
            </a:ext>
          </a:extLst>
        </xdr:cNvPr>
        <xdr:cNvCxnSpPr/>
      </xdr:nvCxnSpPr>
      <xdr:spPr>
        <a:xfrm flipH="1">
          <a:off x="20559486" y="4853214"/>
          <a:ext cx="432252"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1" name="TextBox 10">
          <a:extLst>
            <a:ext uri="{FF2B5EF4-FFF2-40B4-BE49-F238E27FC236}">
              <a16:creationId xmlns:a16="http://schemas.microsoft.com/office/drawing/2014/main" id="{3F92CD1D-D092-4ADF-BCD9-C3CF14E7F4C0}"/>
            </a:ext>
          </a:extLst>
        </xdr:cNvPr>
        <xdr:cNvSpPr txBox="1"/>
      </xdr:nvSpPr>
      <xdr:spPr>
        <a:xfrm>
          <a:off x="298450" y="1047750"/>
          <a:ext cx="3997167"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501650</xdr:colOff>
      <xdr:row>2</xdr:row>
      <xdr:rowOff>171450</xdr:rowOff>
    </xdr:from>
    <xdr:to>
      <xdr:col>16</xdr:col>
      <xdr:colOff>512509</xdr:colOff>
      <xdr:row>4</xdr:row>
      <xdr:rowOff>323850</xdr:rowOff>
    </xdr:to>
    <xdr:cxnSp macro="">
      <xdr:nvCxnSpPr>
        <xdr:cNvPr id="12" name="Straight Arrow Connector 11">
          <a:extLst>
            <a:ext uri="{FF2B5EF4-FFF2-40B4-BE49-F238E27FC236}">
              <a16:creationId xmlns:a16="http://schemas.microsoft.com/office/drawing/2014/main" id="{C86650FE-58AA-4C39-86BD-DFE92598EB47}"/>
            </a:ext>
          </a:extLst>
        </xdr:cNvPr>
        <xdr:cNvCxnSpPr>
          <a:cxnSpLocks/>
        </xdr:cNvCxnSpPr>
      </xdr:nvCxnSpPr>
      <xdr:spPr>
        <a:xfrm>
          <a:off x="18649950" y="831850"/>
          <a:ext cx="10859" cy="5397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466725</xdr:colOff>
      <xdr:row>1</xdr:row>
      <xdr:rowOff>84457</xdr:rowOff>
    </xdr:from>
    <xdr:to>
      <xdr:col>14</xdr:col>
      <xdr:colOff>501650</xdr:colOff>
      <xdr:row>4</xdr:row>
      <xdr:rowOff>406400</xdr:rowOff>
    </xdr:to>
    <xdr:cxnSp macro="">
      <xdr:nvCxnSpPr>
        <xdr:cNvPr id="13" name="Straight Arrow Connector 20">
          <a:extLst>
            <a:ext uri="{FF2B5EF4-FFF2-40B4-BE49-F238E27FC236}">
              <a16:creationId xmlns:a16="http://schemas.microsoft.com/office/drawing/2014/main" id="{163FF56F-C09B-4BB3-9473-414F758DD2E9}"/>
            </a:ext>
          </a:extLst>
        </xdr:cNvPr>
        <xdr:cNvCxnSpPr>
          <a:cxnSpLocks/>
        </xdr:cNvCxnSpPr>
      </xdr:nvCxnSpPr>
      <xdr:spPr>
        <a:xfrm flipH="1">
          <a:off x="15713075" y="484507"/>
          <a:ext cx="1031875" cy="9696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454025</xdr:colOff>
      <xdr:row>0</xdr:row>
      <xdr:rowOff>161925</xdr:rowOff>
    </xdr:from>
    <xdr:to>
      <xdr:col>19</xdr:col>
      <xdr:colOff>581025</xdr:colOff>
      <xdr:row>2</xdr:row>
      <xdr:rowOff>168909</xdr:rowOff>
    </xdr:to>
    <xdr:sp macro="" textlink="">
      <xdr:nvSpPr>
        <xdr:cNvPr id="14" name="TextBox 13">
          <a:extLst>
            <a:ext uri="{FF2B5EF4-FFF2-40B4-BE49-F238E27FC236}">
              <a16:creationId xmlns:a16="http://schemas.microsoft.com/office/drawing/2014/main" id="{F5C5752E-7D18-4F72-8688-A37376D39E2D}"/>
            </a:ext>
          </a:extLst>
        </xdr:cNvPr>
        <xdr:cNvSpPr txBox="1"/>
      </xdr:nvSpPr>
      <xdr:spPr>
        <a:xfrm>
          <a:off x="16697325" y="161925"/>
          <a:ext cx="59055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628650</xdr:colOff>
      <xdr:row>20</xdr:row>
      <xdr:rowOff>0</xdr:rowOff>
    </xdr:from>
    <xdr:to>
      <xdr:col>15</xdr:col>
      <xdr:colOff>266065</xdr:colOff>
      <xdr:row>24</xdr:row>
      <xdr:rowOff>28485</xdr:rowOff>
    </xdr:to>
    <xdr:cxnSp macro="">
      <xdr:nvCxnSpPr>
        <xdr:cNvPr id="2" name="Straight Arrow Connector 5">
          <a:extLst>
            <a:ext uri="{FF2B5EF4-FFF2-40B4-BE49-F238E27FC236}">
              <a16:creationId xmlns:a16="http://schemas.microsoft.com/office/drawing/2014/main" id="{90C351B9-AA1A-465A-9B06-522CCBF0A750}"/>
            </a:ext>
          </a:extLst>
        </xdr:cNvPr>
        <xdr:cNvCxnSpPr>
          <a:stCxn id="7" idx="0"/>
        </xdr:cNvCxnSpPr>
      </xdr:nvCxnSpPr>
      <xdr:spPr>
        <a:xfrm flipH="1" flipV="1">
          <a:off x="16868775" y="4962525"/>
          <a:ext cx="942340" cy="7555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152400</xdr:colOff>
      <xdr:row>19</xdr:row>
      <xdr:rowOff>27214</xdr:rowOff>
    </xdr:to>
    <xdr:cxnSp macro="">
      <xdr:nvCxnSpPr>
        <xdr:cNvPr id="3" name="Straight Arrow Connector 2">
          <a:extLst>
            <a:ext uri="{FF2B5EF4-FFF2-40B4-BE49-F238E27FC236}">
              <a16:creationId xmlns:a16="http://schemas.microsoft.com/office/drawing/2014/main" id="{79FF1112-ABFF-49B9-AAE0-024C97C02397}"/>
            </a:ext>
          </a:extLst>
        </xdr:cNvPr>
        <xdr:cNvCxnSpPr/>
      </xdr:nvCxnSpPr>
      <xdr:spPr>
        <a:xfrm>
          <a:off x="16246475" y="2711450"/>
          <a:ext cx="146050" cy="21004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19050</xdr:colOff>
      <xdr:row>19</xdr:row>
      <xdr:rowOff>95250</xdr:rowOff>
    </xdr:from>
    <xdr:to>
      <xdr:col>14</xdr:col>
      <xdr:colOff>142875</xdr:colOff>
      <xdr:row>19</xdr:row>
      <xdr:rowOff>95250</xdr:rowOff>
    </xdr:to>
    <xdr:cxnSp macro="">
      <xdr:nvCxnSpPr>
        <xdr:cNvPr id="4" name="Straight Arrow Connector 3">
          <a:extLst>
            <a:ext uri="{FF2B5EF4-FFF2-40B4-BE49-F238E27FC236}">
              <a16:creationId xmlns:a16="http://schemas.microsoft.com/office/drawing/2014/main" id="{48792D3B-73F3-4360-AF47-A86D98E62B07}"/>
            </a:ext>
          </a:extLst>
        </xdr:cNvPr>
        <xdr:cNvCxnSpPr/>
      </xdr:nvCxnSpPr>
      <xdr:spPr>
        <a:xfrm>
          <a:off x="16259175" y="4876800"/>
          <a:ext cx="12065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979716</xdr:colOff>
      <xdr:row>24</xdr:row>
      <xdr:rowOff>125639</xdr:rowOff>
    </xdr:from>
    <xdr:to>
      <xdr:col>19</xdr:col>
      <xdr:colOff>506640</xdr:colOff>
      <xdr:row>25</xdr:row>
      <xdr:rowOff>160111</xdr:rowOff>
    </xdr:to>
    <xdr:cxnSp macro="">
      <xdr:nvCxnSpPr>
        <xdr:cNvPr id="5" name="Straight Arrow Connector 5">
          <a:extLst>
            <a:ext uri="{FF2B5EF4-FFF2-40B4-BE49-F238E27FC236}">
              <a16:creationId xmlns:a16="http://schemas.microsoft.com/office/drawing/2014/main" id="{D6D902F8-FE4C-4956-82DE-857E0C208CF2}"/>
            </a:ext>
          </a:extLst>
        </xdr:cNvPr>
        <xdr:cNvCxnSpPr/>
      </xdr:nvCxnSpPr>
      <xdr:spPr>
        <a:xfrm flipH="1">
          <a:off x="21556891" y="5808889"/>
          <a:ext cx="968374" cy="22179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185284</xdr:colOff>
      <xdr:row>24</xdr:row>
      <xdr:rowOff>111125</xdr:rowOff>
    </xdr:from>
    <xdr:to>
      <xdr:col>21</xdr:col>
      <xdr:colOff>752475</xdr:colOff>
      <xdr:row>25</xdr:row>
      <xdr:rowOff>152400</xdr:rowOff>
    </xdr:to>
    <xdr:cxnSp macro="">
      <xdr:nvCxnSpPr>
        <xdr:cNvPr id="6" name="Straight Arrow Connector 5">
          <a:extLst>
            <a:ext uri="{FF2B5EF4-FFF2-40B4-BE49-F238E27FC236}">
              <a16:creationId xmlns:a16="http://schemas.microsoft.com/office/drawing/2014/main" id="{4CA5F483-2413-4FB2-B3A9-4F22F64931FB}"/>
            </a:ext>
          </a:extLst>
        </xdr:cNvPr>
        <xdr:cNvCxnSpPr>
          <a:stCxn id="9" idx="2"/>
        </xdr:cNvCxnSpPr>
      </xdr:nvCxnSpPr>
      <xdr:spPr>
        <a:xfrm>
          <a:off x="23651709" y="5797550"/>
          <a:ext cx="2157866" cy="2222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389255</xdr:colOff>
      <xdr:row>24</xdr:row>
      <xdr:rowOff>28485</xdr:rowOff>
    </xdr:from>
    <xdr:to>
      <xdr:col>16</xdr:col>
      <xdr:colOff>847725</xdr:colOff>
      <xdr:row>27</xdr:row>
      <xdr:rowOff>114300</xdr:rowOff>
    </xdr:to>
    <xdr:sp macro="" textlink="">
      <xdr:nvSpPr>
        <xdr:cNvPr id="7" name="TextBox 6">
          <a:extLst>
            <a:ext uri="{FF2B5EF4-FFF2-40B4-BE49-F238E27FC236}">
              <a16:creationId xmlns:a16="http://schemas.microsoft.com/office/drawing/2014/main" id="{AEA85138-CD9E-486E-8A88-722DD32B6BFC}"/>
            </a:ext>
          </a:extLst>
        </xdr:cNvPr>
        <xdr:cNvSpPr txBox="1"/>
      </xdr:nvSpPr>
      <xdr:spPr>
        <a:xfrm>
          <a:off x="16632555" y="5718085"/>
          <a:ext cx="2357120" cy="62556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408213</xdr:colOff>
      <xdr:row>17</xdr:row>
      <xdr:rowOff>125641</xdr:rowOff>
    </xdr:from>
    <xdr:to>
      <xdr:col>21</xdr:col>
      <xdr:colOff>326571</xdr:colOff>
      <xdr:row>20</xdr:row>
      <xdr:rowOff>84819</xdr:rowOff>
    </xdr:to>
    <xdr:sp macro="" textlink="">
      <xdr:nvSpPr>
        <xdr:cNvPr id="8" name="TextBox 7">
          <a:extLst>
            <a:ext uri="{FF2B5EF4-FFF2-40B4-BE49-F238E27FC236}">
              <a16:creationId xmlns:a16="http://schemas.microsoft.com/office/drawing/2014/main" id="{25A36762-DC45-4D8D-8259-336974D5EF41}"/>
            </a:ext>
          </a:extLst>
        </xdr:cNvPr>
        <xdr:cNvSpPr txBox="1"/>
      </xdr:nvSpPr>
      <xdr:spPr>
        <a:xfrm>
          <a:off x="20985388" y="4542066"/>
          <a:ext cx="4401458" cy="50845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951593</xdr:colOff>
      <xdr:row>20</xdr:row>
      <xdr:rowOff>172357</xdr:rowOff>
    </xdr:from>
    <xdr:to>
      <xdr:col>21</xdr:col>
      <xdr:colOff>1200150</xdr:colOff>
      <xdr:row>24</xdr:row>
      <xdr:rowOff>111125</xdr:rowOff>
    </xdr:to>
    <xdr:sp macro="" textlink="">
      <xdr:nvSpPr>
        <xdr:cNvPr id="9" name="TextBox 13">
          <a:extLst>
            <a:ext uri="{FF2B5EF4-FFF2-40B4-BE49-F238E27FC236}">
              <a16:creationId xmlns:a16="http://schemas.microsoft.com/office/drawing/2014/main" id="{5ABACE69-C209-4998-B945-A6708F450FA9}"/>
            </a:ext>
          </a:extLst>
        </xdr:cNvPr>
        <xdr:cNvSpPr txBox="1"/>
      </xdr:nvSpPr>
      <xdr:spPr>
        <a:xfrm>
          <a:off x="21525593" y="5134882"/>
          <a:ext cx="4734832" cy="6626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17</xdr:col>
      <xdr:colOff>1211036</xdr:colOff>
      <xdr:row>19</xdr:row>
      <xdr:rowOff>27214</xdr:rowOff>
    </xdr:from>
    <xdr:to>
      <xdr:col>18</xdr:col>
      <xdr:colOff>417738</xdr:colOff>
      <xdr:row>19</xdr:row>
      <xdr:rowOff>105681</xdr:rowOff>
    </xdr:to>
    <xdr:cxnSp macro="">
      <xdr:nvCxnSpPr>
        <xdr:cNvPr id="10" name="Straight Arrow Connector 5">
          <a:extLst>
            <a:ext uri="{FF2B5EF4-FFF2-40B4-BE49-F238E27FC236}">
              <a16:creationId xmlns:a16="http://schemas.microsoft.com/office/drawing/2014/main" id="{A4FDEB62-4345-4A4D-AE4C-A20C5EA01725}"/>
            </a:ext>
          </a:extLst>
        </xdr:cNvPr>
        <xdr:cNvCxnSpPr/>
      </xdr:nvCxnSpPr>
      <xdr:spPr>
        <a:xfrm flipH="1">
          <a:off x="20553136" y="4811939"/>
          <a:ext cx="438602" cy="7211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1" name="TextBox 10">
          <a:extLst>
            <a:ext uri="{FF2B5EF4-FFF2-40B4-BE49-F238E27FC236}">
              <a16:creationId xmlns:a16="http://schemas.microsoft.com/office/drawing/2014/main" id="{4F34C55C-CBB6-490C-88A9-1C180732D74C}"/>
            </a:ext>
          </a:extLst>
        </xdr:cNvPr>
        <xdr:cNvSpPr txBox="1"/>
      </xdr:nvSpPr>
      <xdr:spPr>
        <a:xfrm>
          <a:off x="295275" y="1047750"/>
          <a:ext cx="4003517" cy="8313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501650</xdr:colOff>
      <xdr:row>2</xdr:row>
      <xdr:rowOff>171450</xdr:rowOff>
    </xdr:from>
    <xdr:to>
      <xdr:col>16</xdr:col>
      <xdr:colOff>512509</xdr:colOff>
      <xdr:row>4</xdr:row>
      <xdr:rowOff>323850</xdr:rowOff>
    </xdr:to>
    <xdr:cxnSp macro="">
      <xdr:nvCxnSpPr>
        <xdr:cNvPr id="12" name="Straight Arrow Connector 11">
          <a:extLst>
            <a:ext uri="{FF2B5EF4-FFF2-40B4-BE49-F238E27FC236}">
              <a16:creationId xmlns:a16="http://schemas.microsoft.com/office/drawing/2014/main" id="{079ADAE2-6A9A-491D-A64D-5F5D1FA36FBD}"/>
            </a:ext>
          </a:extLst>
        </xdr:cNvPr>
        <xdr:cNvCxnSpPr>
          <a:cxnSpLocks/>
        </xdr:cNvCxnSpPr>
      </xdr:nvCxnSpPr>
      <xdr:spPr>
        <a:xfrm>
          <a:off x="18649950" y="828675"/>
          <a:ext cx="7684" cy="542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466725</xdr:colOff>
      <xdr:row>1</xdr:row>
      <xdr:rowOff>84457</xdr:rowOff>
    </xdr:from>
    <xdr:to>
      <xdr:col>14</xdr:col>
      <xdr:colOff>501650</xdr:colOff>
      <xdr:row>4</xdr:row>
      <xdr:rowOff>406400</xdr:rowOff>
    </xdr:to>
    <xdr:cxnSp macro="">
      <xdr:nvCxnSpPr>
        <xdr:cNvPr id="13" name="Straight Arrow Connector 20">
          <a:extLst>
            <a:ext uri="{FF2B5EF4-FFF2-40B4-BE49-F238E27FC236}">
              <a16:creationId xmlns:a16="http://schemas.microsoft.com/office/drawing/2014/main" id="{980EA29D-307D-487E-95CC-DC180032FF78}"/>
            </a:ext>
          </a:extLst>
        </xdr:cNvPr>
        <xdr:cNvCxnSpPr>
          <a:cxnSpLocks/>
        </xdr:cNvCxnSpPr>
      </xdr:nvCxnSpPr>
      <xdr:spPr>
        <a:xfrm flipH="1">
          <a:off x="15703550" y="487682"/>
          <a:ext cx="1041400" cy="9696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454025</xdr:colOff>
      <xdr:row>0</xdr:row>
      <xdr:rowOff>161925</xdr:rowOff>
    </xdr:from>
    <xdr:to>
      <xdr:col>19</xdr:col>
      <xdr:colOff>581025</xdr:colOff>
      <xdr:row>2</xdr:row>
      <xdr:rowOff>168909</xdr:rowOff>
    </xdr:to>
    <xdr:sp macro="" textlink="">
      <xdr:nvSpPr>
        <xdr:cNvPr id="14" name="TextBox 13">
          <a:extLst>
            <a:ext uri="{FF2B5EF4-FFF2-40B4-BE49-F238E27FC236}">
              <a16:creationId xmlns:a16="http://schemas.microsoft.com/office/drawing/2014/main" id="{4965AC85-45D8-49C4-B307-F15EB640B4A8}"/>
            </a:ext>
          </a:extLst>
        </xdr:cNvPr>
        <xdr:cNvSpPr txBox="1"/>
      </xdr:nvSpPr>
      <xdr:spPr>
        <a:xfrm>
          <a:off x="16694150" y="158750"/>
          <a:ext cx="59055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1079499</xdr:colOff>
      <xdr:row>13</xdr:row>
      <xdr:rowOff>127000</xdr:rowOff>
    </xdr:from>
    <xdr:to>
      <xdr:col>26</xdr:col>
      <xdr:colOff>140771</xdr:colOff>
      <xdr:row>19</xdr:row>
      <xdr:rowOff>120800</xdr:rowOff>
    </xdr:to>
    <xdr:pic>
      <xdr:nvPicPr>
        <xdr:cNvPr id="4" name="Picture 3">
          <a:extLst>
            <a:ext uri="{FF2B5EF4-FFF2-40B4-BE49-F238E27FC236}">
              <a16:creationId xmlns:a16="http://schemas.microsoft.com/office/drawing/2014/main" id="{F8443970-8181-BC6A-4286-169F486BA6C9}"/>
            </a:ext>
          </a:extLst>
        </xdr:cNvPr>
        <xdr:cNvPicPr>
          <a:picLocks noChangeAspect="1"/>
        </xdr:cNvPicPr>
      </xdr:nvPicPr>
      <xdr:blipFill>
        <a:blip xmlns:r="http://schemas.openxmlformats.org/officeDocument/2006/relationships" r:embed="rId1"/>
        <a:stretch>
          <a:fillRect/>
        </a:stretch>
      </xdr:blipFill>
      <xdr:spPr>
        <a:xfrm>
          <a:off x="1672166" y="2518833"/>
          <a:ext cx="15261180" cy="1076475"/>
        </a:xfrm>
        <a:prstGeom prst="rect">
          <a:avLst/>
        </a:prstGeom>
      </xdr:spPr>
    </xdr:pic>
    <xdr:clientData/>
  </xdr:twoCellAnchor>
  <xdr:twoCellAnchor editAs="oneCell">
    <xdr:from>
      <xdr:col>1</xdr:col>
      <xdr:colOff>1019175</xdr:colOff>
      <xdr:row>24</xdr:row>
      <xdr:rowOff>104775</xdr:rowOff>
    </xdr:from>
    <xdr:to>
      <xdr:col>26</xdr:col>
      <xdr:colOff>154787</xdr:colOff>
      <xdr:row>38</xdr:row>
      <xdr:rowOff>1950</xdr:rowOff>
    </xdr:to>
    <xdr:pic>
      <xdr:nvPicPr>
        <xdr:cNvPr id="5" name="Picture 4">
          <a:extLst>
            <a:ext uri="{FF2B5EF4-FFF2-40B4-BE49-F238E27FC236}">
              <a16:creationId xmlns:a16="http://schemas.microsoft.com/office/drawing/2014/main" id="{BB96D105-18EC-985D-4682-0C46815CE552}"/>
            </a:ext>
          </a:extLst>
        </xdr:cNvPr>
        <xdr:cNvPicPr>
          <a:picLocks noChangeAspect="1"/>
        </xdr:cNvPicPr>
      </xdr:nvPicPr>
      <xdr:blipFill>
        <a:blip xmlns:r="http://schemas.openxmlformats.org/officeDocument/2006/relationships" r:embed="rId2"/>
        <a:stretch>
          <a:fillRect/>
        </a:stretch>
      </xdr:blipFill>
      <xdr:spPr>
        <a:xfrm>
          <a:off x="1619250" y="4714875"/>
          <a:ext cx="15442412" cy="3002325"/>
        </a:xfrm>
        <a:prstGeom prst="rect">
          <a:avLst/>
        </a:prstGeom>
      </xdr:spPr>
    </xdr:pic>
    <xdr:clientData/>
  </xdr:twoCellAnchor>
  <xdr:twoCellAnchor editAs="oneCell">
    <xdr:from>
      <xdr:col>0</xdr:col>
      <xdr:colOff>523875</xdr:colOff>
      <xdr:row>81</xdr:row>
      <xdr:rowOff>38099</xdr:rowOff>
    </xdr:from>
    <xdr:to>
      <xdr:col>26</xdr:col>
      <xdr:colOff>171450</xdr:colOff>
      <xdr:row>109</xdr:row>
      <xdr:rowOff>103140</xdr:rowOff>
    </xdr:to>
    <xdr:pic>
      <xdr:nvPicPr>
        <xdr:cNvPr id="13" name="Picture 12">
          <a:extLst>
            <a:ext uri="{FF2B5EF4-FFF2-40B4-BE49-F238E27FC236}">
              <a16:creationId xmlns:a16="http://schemas.microsoft.com/office/drawing/2014/main" id="{0BE35B8E-9369-4CE1-F2C8-F3BDEAD19055}"/>
            </a:ext>
          </a:extLst>
        </xdr:cNvPr>
        <xdr:cNvPicPr>
          <a:picLocks noChangeAspect="1"/>
        </xdr:cNvPicPr>
      </xdr:nvPicPr>
      <xdr:blipFill>
        <a:blip xmlns:r="http://schemas.openxmlformats.org/officeDocument/2006/relationships" r:embed="rId3"/>
        <a:stretch>
          <a:fillRect/>
        </a:stretch>
      </xdr:blipFill>
      <xdr:spPr>
        <a:xfrm>
          <a:off x="523875" y="15754349"/>
          <a:ext cx="16554450" cy="5138691"/>
        </a:xfrm>
        <a:prstGeom prst="rect">
          <a:avLst/>
        </a:prstGeom>
      </xdr:spPr>
    </xdr:pic>
    <xdr:clientData/>
  </xdr:twoCellAnchor>
  <xdr:twoCellAnchor editAs="oneCell">
    <xdr:from>
      <xdr:col>0</xdr:col>
      <xdr:colOff>515937</xdr:colOff>
      <xdr:row>111</xdr:row>
      <xdr:rowOff>102395</xdr:rowOff>
    </xdr:from>
    <xdr:to>
      <xdr:col>26</xdr:col>
      <xdr:colOff>284162</xdr:colOff>
      <xdr:row>131</xdr:row>
      <xdr:rowOff>6351</xdr:rowOff>
    </xdr:to>
    <xdr:pic>
      <xdr:nvPicPr>
        <xdr:cNvPr id="15" name="Picture 14">
          <a:extLst>
            <a:ext uri="{FF2B5EF4-FFF2-40B4-BE49-F238E27FC236}">
              <a16:creationId xmlns:a16="http://schemas.microsoft.com/office/drawing/2014/main" id="{B9B5B207-644B-C654-CD5C-207F80B12E71}"/>
            </a:ext>
          </a:extLst>
        </xdr:cNvPr>
        <xdr:cNvPicPr>
          <a:picLocks noChangeAspect="1"/>
        </xdr:cNvPicPr>
      </xdr:nvPicPr>
      <xdr:blipFill rotWithShape="1">
        <a:blip xmlns:r="http://schemas.openxmlformats.org/officeDocument/2006/relationships" r:embed="rId4"/>
        <a:srcRect l="3280" t="11949" r="6681" b="63355"/>
        <a:stretch/>
      </xdr:blipFill>
      <xdr:spPr>
        <a:xfrm>
          <a:off x="515937" y="21017708"/>
          <a:ext cx="16516350" cy="5083174"/>
        </a:xfrm>
        <a:prstGeom prst="rect">
          <a:avLst/>
        </a:prstGeom>
      </xdr:spPr>
    </xdr:pic>
    <xdr:clientData/>
  </xdr:twoCellAnchor>
  <xdr:twoCellAnchor editAs="oneCell">
    <xdr:from>
      <xdr:col>1</xdr:col>
      <xdr:colOff>955675</xdr:colOff>
      <xdr:row>171</xdr:row>
      <xdr:rowOff>14380</xdr:rowOff>
    </xdr:from>
    <xdr:to>
      <xdr:col>26</xdr:col>
      <xdr:colOff>92823</xdr:colOff>
      <xdr:row>185</xdr:row>
      <xdr:rowOff>145677</xdr:rowOff>
    </xdr:to>
    <xdr:pic>
      <xdr:nvPicPr>
        <xdr:cNvPr id="17" name="Picture 16">
          <a:extLst>
            <a:ext uri="{FF2B5EF4-FFF2-40B4-BE49-F238E27FC236}">
              <a16:creationId xmlns:a16="http://schemas.microsoft.com/office/drawing/2014/main" id="{E225790F-5275-050A-3BEB-047C82424B0C}"/>
            </a:ext>
          </a:extLst>
        </xdr:cNvPr>
        <xdr:cNvPicPr>
          <a:picLocks noChangeAspect="1"/>
        </xdr:cNvPicPr>
      </xdr:nvPicPr>
      <xdr:blipFill rotWithShape="1">
        <a:blip xmlns:r="http://schemas.openxmlformats.org/officeDocument/2006/relationships" r:embed="rId5"/>
        <a:srcRect l="9122" t="21387" r="7046" b="65233"/>
        <a:stretch/>
      </xdr:blipFill>
      <xdr:spPr>
        <a:xfrm>
          <a:off x="1560793" y="32096821"/>
          <a:ext cx="15441706" cy="2641415"/>
        </a:xfrm>
        <a:prstGeom prst="rect">
          <a:avLst/>
        </a:prstGeom>
      </xdr:spPr>
    </xdr:pic>
    <xdr:clientData/>
  </xdr:twoCellAnchor>
  <xdr:twoCellAnchor editAs="oneCell">
    <xdr:from>
      <xdr:col>1</xdr:col>
      <xdr:colOff>1079499</xdr:colOff>
      <xdr:row>44</xdr:row>
      <xdr:rowOff>42332</xdr:rowOff>
    </xdr:from>
    <xdr:to>
      <xdr:col>26</xdr:col>
      <xdr:colOff>201517</xdr:colOff>
      <xdr:row>79</xdr:row>
      <xdr:rowOff>121088</xdr:rowOff>
    </xdr:to>
    <xdr:pic>
      <xdr:nvPicPr>
        <xdr:cNvPr id="2" name="Picture 1">
          <a:extLst>
            <a:ext uri="{FF2B5EF4-FFF2-40B4-BE49-F238E27FC236}">
              <a16:creationId xmlns:a16="http://schemas.microsoft.com/office/drawing/2014/main" id="{E0E68881-3B88-42AA-8CBC-6821A127769F}"/>
            </a:ext>
          </a:extLst>
        </xdr:cNvPr>
        <xdr:cNvPicPr>
          <a:picLocks noChangeAspect="1"/>
        </xdr:cNvPicPr>
      </xdr:nvPicPr>
      <xdr:blipFill>
        <a:blip xmlns:r="http://schemas.openxmlformats.org/officeDocument/2006/relationships" r:embed="rId6"/>
        <a:stretch>
          <a:fillRect/>
        </a:stretch>
      </xdr:blipFill>
      <xdr:spPr>
        <a:xfrm>
          <a:off x="1672166" y="9027582"/>
          <a:ext cx="15297584" cy="6375839"/>
        </a:xfrm>
        <a:prstGeom prst="rect">
          <a:avLst/>
        </a:prstGeom>
      </xdr:spPr>
    </xdr:pic>
    <xdr:clientData/>
  </xdr:twoCellAnchor>
  <xdr:twoCellAnchor editAs="oneCell">
    <xdr:from>
      <xdr:col>0</xdr:col>
      <xdr:colOff>545447</xdr:colOff>
      <xdr:row>133</xdr:row>
      <xdr:rowOff>106444</xdr:rowOff>
    </xdr:from>
    <xdr:to>
      <xdr:col>26</xdr:col>
      <xdr:colOff>419100</xdr:colOff>
      <xdr:row>166</xdr:row>
      <xdr:rowOff>153907</xdr:rowOff>
    </xdr:to>
    <xdr:pic>
      <xdr:nvPicPr>
        <xdr:cNvPr id="6" name="Picture 5">
          <a:extLst>
            <a:ext uri="{FF2B5EF4-FFF2-40B4-BE49-F238E27FC236}">
              <a16:creationId xmlns:a16="http://schemas.microsoft.com/office/drawing/2014/main" id="{E0913582-1EAA-403C-3EEC-C5B7C3224C29}"/>
            </a:ext>
          </a:extLst>
        </xdr:cNvPr>
        <xdr:cNvPicPr>
          <a:picLocks noChangeAspect="1"/>
        </xdr:cNvPicPr>
      </xdr:nvPicPr>
      <xdr:blipFill rotWithShape="1">
        <a:blip xmlns:r="http://schemas.openxmlformats.org/officeDocument/2006/relationships" r:embed="rId7"/>
        <a:srcRect l="2771" t="68265" r="13220" b="5959"/>
        <a:stretch/>
      </xdr:blipFill>
      <xdr:spPr>
        <a:xfrm>
          <a:off x="545447" y="26395444"/>
          <a:ext cx="16828153" cy="58100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0</xdr:colOff>
      <xdr:row>19</xdr:row>
      <xdr:rowOff>16783</xdr:rowOff>
    </xdr:from>
    <xdr:to>
      <xdr:col>18</xdr:col>
      <xdr:colOff>408213</xdr:colOff>
      <xdr:row>19</xdr:row>
      <xdr:rowOff>95250</xdr:rowOff>
    </xdr:to>
    <xdr:cxnSp macro="">
      <xdr:nvCxnSpPr>
        <xdr:cNvPr id="2" name="Straight Arrow Connector 5">
          <a:extLst>
            <a:ext uri="{FF2B5EF4-FFF2-40B4-BE49-F238E27FC236}">
              <a16:creationId xmlns:a16="http://schemas.microsoft.com/office/drawing/2014/main" id="{3B3B0FD6-FDB0-440B-8967-B1F49D47F503}"/>
            </a:ext>
          </a:extLst>
        </xdr:cNvPr>
        <xdr:cNvCxnSpPr>
          <a:stCxn id="5" idx="1"/>
        </xdr:cNvCxnSpPr>
      </xdr:nvCxnSpPr>
      <xdr:spPr>
        <a:xfrm flipH="1">
          <a:off x="20774025" y="4798333"/>
          <a:ext cx="411388" cy="784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982891</xdr:colOff>
      <xdr:row>24</xdr:row>
      <xdr:rowOff>122464</xdr:rowOff>
    </xdr:from>
    <xdr:to>
      <xdr:col>19</xdr:col>
      <xdr:colOff>503465</xdr:colOff>
      <xdr:row>25</xdr:row>
      <xdr:rowOff>163286</xdr:rowOff>
    </xdr:to>
    <xdr:cxnSp macro="">
      <xdr:nvCxnSpPr>
        <xdr:cNvPr id="3" name="Straight Arrow Connector 5">
          <a:extLst>
            <a:ext uri="{FF2B5EF4-FFF2-40B4-BE49-F238E27FC236}">
              <a16:creationId xmlns:a16="http://schemas.microsoft.com/office/drawing/2014/main" id="{0C00F997-8A27-487B-9BCE-A7C936E2BFCC}"/>
            </a:ext>
          </a:extLst>
        </xdr:cNvPr>
        <xdr:cNvCxnSpPr/>
      </xdr:nvCxnSpPr>
      <xdr:spPr>
        <a:xfrm flipH="1">
          <a:off x="21753741" y="5812064"/>
          <a:ext cx="974724" cy="21544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1283843</xdr:colOff>
      <xdr:row>24</xdr:row>
      <xdr:rowOff>106700</xdr:rowOff>
    </xdr:from>
    <xdr:to>
      <xdr:col>21</xdr:col>
      <xdr:colOff>731611</xdr:colOff>
      <xdr:row>25</xdr:row>
      <xdr:rowOff>125639</xdr:rowOff>
    </xdr:to>
    <xdr:cxnSp macro="">
      <xdr:nvCxnSpPr>
        <xdr:cNvPr id="4" name="Straight Arrow Connector 5">
          <a:extLst>
            <a:ext uri="{FF2B5EF4-FFF2-40B4-BE49-F238E27FC236}">
              <a16:creationId xmlns:a16="http://schemas.microsoft.com/office/drawing/2014/main" id="{26213AD6-68C7-4609-9A3A-E7222BEE2BB3}"/>
            </a:ext>
          </a:extLst>
        </xdr:cNvPr>
        <xdr:cNvCxnSpPr>
          <a:cxnSpLocks/>
          <a:stCxn id="6" idx="2"/>
        </xdr:cNvCxnSpPr>
      </xdr:nvCxnSpPr>
      <xdr:spPr>
        <a:xfrm>
          <a:off x="23508843" y="5789950"/>
          <a:ext cx="2486243" cy="19991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411388</xdr:colOff>
      <xdr:row>17</xdr:row>
      <xdr:rowOff>122466</xdr:rowOff>
    </xdr:from>
    <xdr:to>
      <xdr:col>21</xdr:col>
      <xdr:colOff>326571</xdr:colOff>
      <xdr:row>20</xdr:row>
      <xdr:rowOff>81643</xdr:rowOff>
    </xdr:to>
    <xdr:sp macro="" textlink="">
      <xdr:nvSpPr>
        <xdr:cNvPr id="5" name="TextBox 11">
          <a:extLst>
            <a:ext uri="{FF2B5EF4-FFF2-40B4-BE49-F238E27FC236}">
              <a16:creationId xmlns:a16="http://schemas.microsoft.com/office/drawing/2014/main" id="{D5D3221C-943F-4AFF-B023-6E8FFC71DE25}"/>
            </a:ext>
          </a:extLst>
        </xdr:cNvPr>
        <xdr:cNvSpPr txBox="1"/>
      </xdr:nvSpPr>
      <xdr:spPr>
        <a:xfrm>
          <a:off x="21182238" y="4545241"/>
          <a:ext cx="4404633" cy="5021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680358</xdr:colOff>
      <xdr:row>21</xdr:row>
      <xdr:rowOff>0</xdr:rowOff>
    </xdr:from>
    <xdr:to>
      <xdr:col>21</xdr:col>
      <xdr:colOff>761110</xdr:colOff>
      <xdr:row>24</xdr:row>
      <xdr:rowOff>103525</xdr:rowOff>
    </xdr:to>
    <xdr:sp macro="" textlink="">
      <xdr:nvSpPr>
        <xdr:cNvPr id="6" name="TextBox 27">
          <a:extLst>
            <a:ext uri="{FF2B5EF4-FFF2-40B4-BE49-F238E27FC236}">
              <a16:creationId xmlns:a16="http://schemas.microsoft.com/office/drawing/2014/main" id="{4049DEE9-1ED4-482E-BE4B-203459140F78}"/>
            </a:ext>
          </a:extLst>
        </xdr:cNvPr>
        <xdr:cNvSpPr txBox="1"/>
      </xdr:nvSpPr>
      <xdr:spPr>
        <a:xfrm>
          <a:off x="21451208" y="5143500"/>
          <a:ext cx="4570202" cy="6496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e/kg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7" name="TextBox 17">
          <a:extLst>
            <a:ext uri="{FF2B5EF4-FFF2-40B4-BE49-F238E27FC236}">
              <a16:creationId xmlns:a16="http://schemas.microsoft.com/office/drawing/2014/main" id="{0F6D8D36-89B4-4913-A5BA-67FAB53E4917}"/>
            </a:ext>
          </a:extLst>
        </xdr:cNvPr>
        <xdr:cNvSpPr txBox="1"/>
      </xdr:nvSpPr>
      <xdr:spPr>
        <a:xfrm>
          <a:off x="295275" y="1047750"/>
          <a:ext cx="4003517" cy="8313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8" name="Straight Arrow Connector 5">
          <a:extLst>
            <a:ext uri="{FF2B5EF4-FFF2-40B4-BE49-F238E27FC236}">
              <a16:creationId xmlns:a16="http://schemas.microsoft.com/office/drawing/2014/main" id="{FCCB4041-88A3-4CF2-AB78-0440CA97D517}"/>
            </a:ext>
          </a:extLst>
        </xdr:cNvPr>
        <xdr:cNvCxnSpPr>
          <a:stCxn id="12"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9" name="Straight Arrow Connector 8">
          <a:extLst>
            <a:ext uri="{FF2B5EF4-FFF2-40B4-BE49-F238E27FC236}">
              <a16:creationId xmlns:a16="http://schemas.microsoft.com/office/drawing/2014/main" id="{EBD3AB89-FEDA-461D-AAB6-DAE570EBF253}"/>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0" name="Straight Arrow Connector 9">
          <a:extLst>
            <a:ext uri="{FF2B5EF4-FFF2-40B4-BE49-F238E27FC236}">
              <a16:creationId xmlns:a16="http://schemas.microsoft.com/office/drawing/2014/main" id="{D7A30B75-F878-4194-B3E4-76554C1199B4}"/>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3BEFA1EF-C036-4EE4-9A89-742E315B7A08}"/>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2" name="TextBox 11">
          <a:extLst>
            <a:ext uri="{FF2B5EF4-FFF2-40B4-BE49-F238E27FC236}">
              <a16:creationId xmlns:a16="http://schemas.microsoft.com/office/drawing/2014/main" id="{0D9C9D6A-7EAB-478C-BC22-65A27DA7616C}"/>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495549</xdr:colOff>
      <xdr:row>2</xdr:row>
      <xdr:rowOff>86535</xdr:rowOff>
    </xdr:from>
    <xdr:to>
      <xdr:col>16</xdr:col>
      <xdr:colOff>495549</xdr:colOff>
      <xdr:row>4</xdr:row>
      <xdr:rowOff>376518</xdr:rowOff>
    </xdr:to>
    <xdr:cxnSp macro="">
      <xdr:nvCxnSpPr>
        <xdr:cNvPr id="13" name="Straight Arrow Connector 12">
          <a:extLst>
            <a:ext uri="{FF2B5EF4-FFF2-40B4-BE49-F238E27FC236}">
              <a16:creationId xmlns:a16="http://schemas.microsoft.com/office/drawing/2014/main" id="{887C2A68-015A-4429-891B-07522659D672}"/>
            </a:ext>
          </a:extLst>
        </xdr:cNvPr>
        <xdr:cNvCxnSpPr>
          <a:cxnSpLocks/>
        </xdr:cNvCxnSpPr>
      </xdr:nvCxnSpPr>
      <xdr:spPr>
        <a:xfrm>
          <a:off x="18726399" y="740585"/>
          <a:ext cx="0" cy="6805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465666</xdr:colOff>
      <xdr:row>0</xdr:row>
      <xdr:rowOff>116416</xdr:rowOff>
    </xdr:from>
    <xdr:to>
      <xdr:col>19</xdr:col>
      <xdr:colOff>396732</xdr:colOff>
      <xdr:row>2</xdr:row>
      <xdr:rowOff>117393</xdr:rowOff>
    </xdr:to>
    <xdr:sp macro="" textlink="">
      <xdr:nvSpPr>
        <xdr:cNvPr id="14" name="TextBox 13">
          <a:extLst>
            <a:ext uri="{FF2B5EF4-FFF2-40B4-BE49-F238E27FC236}">
              <a16:creationId xmlns:a16="http://schemas.microsoft.com/office/drawing/2014/main" id="{0C2809A1-BAE0-401A-BA02-3AE863EBD5A8}"/>
            </a:ext>
          </a:extLst>
        </xdr:cNvPr>
        <xdr:cNvSpPr txBox="1"/>
      </xdr:nvSpPr>
      <xdr:spPr>
        <a:xfrm>
          <a:off x="16708966" y="116416"/>
          <a:ext cx="5906416" cy="6582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0</xdr:colOff>
      <xdr:row>8</xdr:row>
      <xdr:rowOff>80909</xdr:rowOff>
    </xdr:from>
    <xdr:to>
      <xdr:col>18</xdr:col>
      <xdr:colOff>1017905</xdr:colOff>
      <xdr:row>9</xdr:row>
      <xdr:rowOff>128912</xdr:rowOff>
    </xdr:to>
    <xdr:cxnSp macro="">
      <xdr:nvCxnSpPr>
        <xdr:cNvPr id="2" name="Straight Arrow Connector 5">
          <a:extLst>
            <a:ext uri="{FF2B5EF4-FFF2-40B4-BE49-F238E27FC236}">
              <a16:creationId xmlns:a16="http://schemas.microsoft.com/office/drawing/2014/main" id="{8B3DC5C0-C4A1-440D-872C-B66CA8C50E7D}"/>
            </a:ext>
          </a:extLst>
        </xdr:cNvPr>
        <xdr:cNvCxnSpPr>
          <a:stCxn id="7" idx="1"/>
        </xdr:cNvCxnSpPr>
      </xdr:nvCxnSpPr>
      <xdr:spPr>
        <a:xfrm flipH="1" flipV="1">
          <a:off x="20754975" y="2874909"/>
          <a:ext cx="1021080" cy="22262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374287</xdr:colOff>
      <xdr:row>15</xdr:row>
      <xdr:rowOff>159099</xdr:rowOff>
    </xdr:from>
    <xdr:to>
      <xdr:col>22</xdr:col>
      <xdr:colOff>1270</xdr:colOff>
      <xdr:row>20</xdr:row>
      <xdr:rowOff>12651</xdr:rowOff>
    </xdr:to>
    <xdr:grpSp>
      <xdr:nvGrpSpPr>
        <xdr:cNvPr id="3" name="Group 2">
          <a:extLst>
            <a:ext uri="{FF2B5EF4-FFF2-40B4-BE49-F238E27FC236}">
              <a16:creationId xmlns:a16="http://schemas.microsoft.com/office/drawing/2014/main" id="{E3669E68-1211-497C-811F-6E5D5AC15CB1}"/>
            </a:ext>
          </a:extLst>
        </xdr:cNvPr>
        <xdr:cNvGrpSpPr/>
      </xdr:nvGrpSpPr>
      <xdr:grpSpPr>
        <a:xfrm>
          <a:off x="20186287" y="4207224"/>
          <a:ext cx="5256258" cy="967977"/>
          <a:chOff x="20261852" y="4142033"/>
          <a:chExt cx="5103844" cy="623037"/>
        </a:xfrm>
      </xdr:grpSpPr>
      <xdr:cxnSp macro="">
        <xdr:nvCxnSpPr>
          <xdr:cNvPr id="4" name="Straight Arrow Connector 5">
            <a:extLst>
              <a:ext uri="{FF2B5EF4-FFF2-40B4-BE49-F238E27FC236}">
                <a16:creationId xmlns:a16="http://schemas.microsoft.com/office/drawing/2014/main" id="{746ECC56-B7C3-93F5-47A4-90DFCF336EE7}"/>
              </a:ext>
            </a:extLst>
          </xdr:cNvPr>
          <xdr:cNvCxnSpPr/>
        </xdr:nvCxnSpPr>
        <xdr:spPr>
          <a:xfrm flipH="1">
            <a:off x="22028252" y="4361505"/>
            <a:ext cx="517304" cy="37813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 name="Straight Arrow Connector 5">
            <a:extLst>
              <a:ext uri="{FF2B5EF4-FFF2-40B4-BE49-F238E27FC236}">
                <a16:creationId xmlns:a16="http://schemas.microsoft.com/office/drawing/2014/main" id="{06CD9AC3-1E6C-3060-208B-638E69DA5DBB}"/>
              </a:ext>
            </a:extLst>
          </xdr:cNvPr>
          <xdr:cNvCxnSpPr/>
        </xdr:nvCxnSpPr>
        <xdr:spPr>
          <a:xfrm flipH="1">
            <a:off x="20261852" y="4365625"/>
            <a:ext cx="1934573" cy="39944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Straight Arrow Connector 5">
            <a:extLst>
              <a:ext uri="{FF2B5EF4-FFF2-40B4-BE49-F238E27FC236}">
                <a16:creationId xmlns:a16="http://schemas.microsoft.com/office/drawing/2014/main" id="{34E0E6ED-9EE6-4ECE-CC0E-C50229AC9F1C}"/>
              </a:ext>
            </a:extLst>
          </xdr:cNvPr>
          <xdr:cNvCxnSpPr>
            <a:stCxn id="8" idx="3"/>
          </xdr:cNvCxnSpPr>
        </xdr:nvCxnSpPr>
        <xdr:spPr>
          <a:xfrm>
            <a:off x="24758219" y="4142033"/>
            <a:ext cx="607477" cy="57747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1014726</xdr:colOff>
      <xdr:row>7</xdr:row>
      <xdr:rowOff>159177</xdr:rowOff>
    </xdr:from>
    <xdr:to>
      <xdr:col>20</xdr:col>
      <xdr:colOff>896634</xdr:colOff>
      <xdr:row>11</xdr:row>
      <xdr:rowOff>104979</xdr:rowOff>
    </xdr:to>
    <xdr:sp macro="" textlink="">
      <xdr:nvSpPr>
        <xdr:cNvPr id="7" name="TextBox 26">
          <a:extLst>
            <a:ext uri="{FF2B5EF4-FFF2-40B4-BE49-F238E27FC236}">
              <a16:creationId xmlns:a16="http://schemas.microsoft.com/office/drawing/2014/main" id="{E67E6E36-D327-4A84-A026-E533CA2B50BE}"/>
            </a:ext>
          </a:extLst>
        </xdr:cNvPr>
        <xdr:cNvSpPr txBox="1"/>
      </xdr:nvSpPr>
      <xdr:spPr>
        <a:xfrm>
          <a:off x="21772876" y="2772202"/>
          <a:ext cx="2774333" cy="66335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693255</xdr:colOff>
      <xdr:row>14</xdr:row>
      <xdr:rowOff>8248</xdr:rowOff>
    </xdr:from>
    <xdr:to>
      <xdr:col>21</xdr:col>
      <xdr:colOff>762000</xdr:colOff>
      <xdr:row>17</xdr:row>
      <xdr:rowOff>122620</xdr:rowOff>
    </xdr:to>
    <xdr:sp macro="" textlink="">
      <xdr:nvSpPr>
        <xdr:cNvPr id="8" name="TextBox 27">
          <a:extLst>
            <a:ext uri="{FF2B5EF4-FFF2-40B4-BE49-F238E27FC236}">
              <a16:creationId xmlns:a16="http://schemas.microsoft.com/office/drawing/2014/main" id="{9AB6E5EF-7D83-4401-94CA-9E0A833DC0AF}"/>
            </a:ext>
          </a:extLst>
        </xdr:cNvPr>
        <xdr:cNvSpPr txBox="1"/>
      </xdr:nvSpPr>
      <xdr:spPr>
        <a:xfrm>
          <a:off x="21451405" y="3888098"/>
          <a:ext cx="4551845" cy="6572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92076</xdr:colOff>
      <xdr:row>79</xdr:row>
      <xdr:rowOff>88890</xdr:rowOff>
    </xdr:from>
    <xdr:to>
      <xdr:col>7</xdr:col>
      <xdr:colOff>439271</xdr:colOff>
      <xdr:row>83</xdr:row>
      <xdr:rowOff>57150</xdr:rowOff>
    </xdr:to>
    <xdr:grpSp>
      <xdr:nvGrpSpPr>
        <xdr:cNvPr id="9" name="Group 8">
          <a:extLst>
            <a:ext uri="{FF2B5EF4-FFF2-40B4-BE49-F238E27FC236}">
              <a16:creationId xmlns:a16="http://schemas.microsoft.com/office/drawing/2014/main" id="{B824337D-8D08-432E-A772-EB50E23B45F1}"/>
            </a:ext>
          </a:extLst>
        </xdr:cNvPr>
        <xdr:cNvGrpSpPr/>
      </xdr:nvGrpSpPr>
      <xdr:grpSpPr>
        <a:xfrm>
          <a:off x="6388101" y="16281390"/>
          <a:ext cx="3061820" cy="692160"/>
          <a:chOff x="6432551" y="16522703"/>
          <a:chExt cx="4024423" cy="1008359"/>
        </a:xfrm>
      </xdr:grpSpPr>
      <xdr:sp macro="" textlink="">
        <xdr:nvSpPr>
          <xdr:cNvPr id="10" name="TextBox 7">
            <a:extLst>
              <a:ext uri="{FF2B5EF4-FFF2-40B4-BE49-F238E27FC236}">
                <a16:creationId xmlns:a16="http://schemas.microsoft.com/office/drawing/2014/main" id="{5E9BB5A6-A8A6-961C-000A-9C39EA8DA594}"/>
              </a:ext>
            </a:extLst>
          </xdr:cNvPr>
          <xdr:cNvSpPr txBox="1"/>
        </xdr:nvSpPr>
        <xdr:spPr>
          <a:xfrm>
            <a:off x="7137399" y="16573223"/>
            <a:ext cx="3319575" cy="95783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a:t>
            </a:r>
            <a:endParaRPr lang="en-GB" sz="1100"/>
          </a:p>
        </xdr:txBody>
      </xdr:sp>
      <xdr:cxnSp macro="">
        <xdr:nvCxnSpPr>
          <xdr:cNvPr id="11" name="Straight Arrow Connector 5">
            <a:extLst>
              <a:ext uri="{FF2B5EF4-FFF2-40B4-BE49-F238E27FC236}">
                <a16:creationId xmlns:a16="http://schemas.microsoft.com/office/drawing/2014/main" id="{68E36ACA-9F8D-2EE2-E59B-4FC8C072A1BD}"/>
              </a:ext>
            </a:extLst>
          </xdr:cNvPr>
          <xdr:cNvCxnSpPr>
            <a:stCxn id="10" idx="1"/>
          </xdr:cNvCxnSpPr>
        </xdr:nvCxnSpPr>
        <xdr:spPr>
          <a:xfrm flipH="1" flipV="1">
            <a:off x="6432551" y="16522703"/>
            <a:ext cx="704848" cy="52943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0</xdr:colOff>
      <xdr:row>4</xdr:row>
      <xdr:rowOff>0</xdr:rowOff>
    </xdr:from>
    <xdr:to>
      <xdr:col>2</xdr:col>
      <xdr:colOff>2371567</xdr:colOff>
      <xdr:row>4</xdr:row>
      <xdr:rowOff>828130</xdr:rowOff>
    </xdr:to>
    <xdr:sp macro="" textlink="">
      <xdr:nvSpPr>
        <xdr:cNvPr id="12" name="TextBox 17">
          <a:extLst>
            <a:ext uri="{FF2B5EF4-FFF2-40B4-BE49-F238E27FC236}">
              <a16:creationId xmlns:a16="http://schemas.microsoft.com/office/drawing/2014/main" id="{934F6CA7-EA04-4A19-84DC-E2BA2887482A}"/>
            </a:ext>
          </a:extLst>
        </xdr:cNvPr>
        <xdr:cNvSpPr txBox="1"/>
      </xdr:nvSpPr>
      <xdr:spPr>
        <a:xfrm>
          <a:off x="295275" y="1047750"/>
          <a:ext cx="4003517" cy="8313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800100</xdr:colOff>
      <xdr:row>9</xdr:row>
      <xdr:rowOff>28575</xdr:rowOff>
    </xdr:from>
    <xdr:to>
      <xdr:col>15</xdr:col>
      <xdr:colOff>479653</xdr:colOff>
      <xdr:row>14</xdr:row>
      <xdr:rowOff>0</xdr:rowOff>
    </xdr:to>
    <xdr:cxnSp macro="">
      <xdr:nvCxnSpPr>
        <xdr:cNvPr id="13" name="Straight Arrow Connector 5">
          <a:extLst>
            <a:ext uri="{FF2B5EF4-FFF2-40B4-BE49-F238E27FC236}">
              <a16:creationId xmlns:a16="http://schemas.microsoft.com/office/drawing/2014/main" id="{088E9287-D125-4580-A7AB-A42C6AF37C9C}"/>
            </a:ext>
          </a:extLst>
        </xdr:cNvPr>
        <xdr:cNvCxnSpPr>
          <a:stCxn id="17" idx="0"/>
        </xdr:cNvCxnSpPr>
      </xdr:nvCxnSpPr>
      <xdr:spPr>
        <a:xfrm flipH="1" flipV="1">
          <a:off x="17040225" y="2997200"/>
          <a:ext cx="940028" cy="879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14" name="Straight Arrow Connector 2">
          <a:extLst>
            <a:ext uri="{FF2B5EF4-FFF2-40B4-BE49-F238E27FC236}">
              <a16:creationId xmlns:a16="http://schemas.microsoft.com/office/drawing/2014/main" id="{BC048C9E-F29F-4495-82F2-5C0413EAF8CF}"/>
            </a:ext>
          </a:extLst>
        </xdr:cNvPr>
        <xdr:cNvCxnSpPr/>
      </xdr:nvCxnSpPr>
      <xdr:spPr>
        <a:xfrm>
          <a:off x="16267019" y="2717427"/>
          <a:ext cx="189006" cy="7339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15" name="Straight Arrow Connector 14">
          <a:extLst>
            <a:ext uri="{FF2B5EF4-FFF2-40B4-BE49-F238E27FC236}">
              <a16:creationId xmlns:a16="http://schemas.microsoft.com/office/drawing/2014/main" id="{21ED9BC8-0035-468B-8170-DEBF15F843F5}"/>
            </a:ext>
          </a:extLst>
        </xdr:cNvPr>
        <xdr:cNvCxnSpPr/>
      </xdr:nvCxnSpPr>
      <xdr:spPr>
        <a:xfrm flipV="1">
          <a:off x="16218620" y="2892425"/>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133350</xdr:rowOff>
    </xdr:from>
    <xdr:to>
      <xdr:col>14</xdr:col>
      <xdr:colOff>495300</xdr:colOff>
      <xdr:row>4</xdr:row>
      <xdr:rowOff>304800</xdr:rowOff>
    </xdr:to>
    <xdr:cxnSp macro="">
      <xdr:nvCxnSpPr>
        <xdr:cNvPr id="16" name="Straight Arrow Connector 20">
          <a:extLst>
            <a:ext uri="{FF2B5EF4-FFF2-40B4-BE49-F238E27FC236}">
              <a16:creationId xmlns:a16="http://schemas.microsoft.com/office/drawing/2014/main" id="{8F5F8CE9-4FCB-40A9-8E73-2E6E1CA4D19D}"/>
            </a:ext>
          </a:extLst>
        </xdr:cNvPr>
        <xdr:cNvCxnSpPr>
          <a:cxnSpLocks/>
        </xdr:cNvCxnSpPr>
      </xdr:nvCxnSpPr>
      <xdr:spPr>
        <a:xfrm flipH="1">
          <a:off x="15735300" y="533400"/>
          <a:ext cx="1000125" cy="8191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17" name="TextBox 7">
          <a:extLst>
            <a:ext uri="{FF2B5EF4-FFF2-40B4-BE49-F238E27FC236}">
              <a16:creationId xmlns:a16="http://schemas.microsoft.com/office/drawing/2014/main" id="{B8F2DAF2-ABED-4D59-AECD-C748D742CF2C}"/>
            </a:ext>
          </a:extLst>
        </xdr:cNvPr>
        <xdr:cNvSpPr txBox="1"/>
      </xdr:nvSpPr>
      <xdr:spPr>
        <a:xfrm>
          <a:off x="16866055" y="3876675"/>
          <a:ext cx="2222046" cy="66822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16</xdr:col>
      <xdr:colOff>552450</xdr:colOff>
      <xdr:row>2</xdr:row>
      <xdr:rowOff>161925</xdr:rowOff>
    </xdr:from>
    <xdr:to>
      <xdr:col>16</xdr:col>
      <xdr:colOff>563309</xdr:colOff>
      <xdr:row>4</xdr:row>
      <xdr:rowOff>314325</xdr:rowOff>
    </xdr:to>
    <xdr:cxnSp macro="">
      <xdr:nvCxnSpPr>
        <xdr:cNvPr id="18" name="Straight Arrow Connector 17">
          <a:extLst>
            <a:ext uri="{FF2B5EF4-FFF2-40B4-BE49-F238E27FC236}">
              <a16:creationId xmlns:a16="http://schemas.microsoft.com/office/drawing/2014/main" id="{B96A3948-FB2B-4F79-819C-9C31A0747AC4}"/>
            </a:ext>
          </a:extLst>
        </xdr:cNvPr>
        <xdr:cNvCxnSpPr>
          <a:cxnSpLocks/>
        </xdr:cNvCxnSpPr>
      </xdr:nvCxnSpPr>
      <xdr:spPr>
        <a:xfrm>
          <a:off x="18764250" y="815975"/>
          <a:ext cx="7684" cy="542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504825</xdr:colOff>
      <xdr:row>0</xdr:row>
      <xdr:rowOff>149225</xdr:rowOff>
    </xdr:from>
    <xdr:to>
      <xdr:col>19</xdr:col>
      <xdr:colOff>438150</xdr:colOff>
      <xdr:row>2</xdr:row>
      <xdr:rowOff>162559</xdr:rowOff>
    </xdr:to>
    <xdr:sp macro="" textlink="">
      <xdr:nvSpPr>
        <xdr:cNvPr id="22" name="TextBox 21">
          <a:extLst>
            <a:ext uri="{FF2B5EF4-FFF2-40B4-BE49-F238E27FC236}">
              <a16:creationId xmlns:a16="http://schemas.microsoft.com/office/drawing/2014/main" id="{5284BDA7-697C-4844-B26F-084372E30BC8}"/>
            </a:ext>
          </a:extLst>
        </xdr:cNvPr>
        <xdr:cNvSpPr txBox="1"/>
      </xdr:nvSpPr>
      <xdr:spPr>
        <a:xfrm>
          <a:off x="16741775" y="149225"/>
          <a:ext cx="589915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24</xdr:col>
      <xdr:colOff>169636</xdr:colOff>
      <xdr:row>33</xdr:row>
      <xdr:rowOff>105682</xdr:rowOff>
    </xdr:from>
    <xdr:to>
      <xdr:col>34</xdr:col>
      <xdr:colOff>40822</xdr:colOff>
      <xdr:row>36</xdr:row>
      <xdr:rowOff>54428</xdr:rowOff>
    </xdr:to>
    <xdr:sp macro="" textlink="">
      <xdr:nvSpPr>
        <xdr:cNvPr id="2" name="Rectangle 1">
          <a:extLst>
            <a:ext uri="{FF2B5EF4-FFF2-40B4-BE49-F238E27FC236}">
              <a16:creationId xmlns:a16="http://schemas.microsoft.com/office/drawing/2014/main" id="{4661FF24-10E8-4BD9-A986-2FB01A9E89A1}"/>
            </a:ext>
          </a:extLst>
        </xdr:cNvPr>
        <xdr:cNvSpPr/>
      </xdr:nvSpPr>
      <xdr:spPr>
        <a:xfrm>
          <a:off x="26404207" y="7072539"/>
          <a:ext cx="4905829" cy="479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GB" sz="1100">
              <a:solidFill>
                <a:schemeClr val="lt1"/>
              </a:solidFill>
              <a:effectLst/>
              <a:latin typeface="+mn-lt"/>
              <a:ea typeface="+mn-ea"/>
              <a:cs typeface="+mn-cs"/>
            </a:rPr>
            <a:t>If dLUC</a:t>
          </a:r>
          <a:r>
            <a:rPr lang="en-GB" sz="1100" baseline="0">
              <a:solidFill>
                <a:schemeClr val="lt1"/>
              </a:solidFill>
              <a:effectLst/>
              <a:latin typeface="+mn-lt"/>
              <a:ea typeface="+mn-ea"/>
              <a:cs typeface="+mn-cs"/>
            </a:rPr>
            <a:t> emissions </a:t>
          </a:r>
          <a:r>
            <a:rPr lang="en-GB" sz="1100">
              <a:solidFill>
                <a:schemeClr val="lt1"/>
              </a:solidFill>
              <a:effectLst/>
              <a:latin typeface="+mn-lt"/>
              <a:ea typeface="+mn-ea"/>
              <a:cs typeface="+mn-cs"/>
            </a:rPr>
            <a:t>are unknown, see the Guidance Feedstock dLUC</a:t>
          </a:r>
          <a:r>
            <a:rPr lang="en-GB" sz="1100" baseline="0">
              <a:solidFill>
                <a:schemeClr val="lt1"/>
              </a:solidFill>
              <a:effectLst/>
              <a:latin typeface="+mn-lt"/>
              <a:ea typeface="+mn-ea"/>
              <a:cs typeface="+mn-cs"/>
            </a:rPr>
            <a:t> worksheet</a:t>
          </a:r>
          <a:r>
            <a:rPr lang="en-GB" sz="1100">
              <a:solidFill>
                <a:schemeClr val="lt1"/>
              </a:solidFill>
              <a:effectLst/>
              <a:latin typeface="+mn-lt"/>
              <a:ea typeface="+mn-ea"/>
              <a:cs typeface="+mn-cs"/>
            </a:rPr>
            <a:t> for instructions on how to calculate this</a:t>
          </a:r>
          <a:endParaRPr lang="en-GB">
            <a:effectLst/>
          </a:endParaRPr>
        </a:p>
      </xdr:txBody>
    </xdr:sp>
    <xdr:clientData/>
  </xdr:twoCellAnchor>
  <xdr:twoCellAnchor>
    <xdr:from>
      <xdr:col>18</xdr:col>
      <xdr:colOff>920750</xdr:colOff>
      <xdr:row>23</xdr:row>
      <xdr:rowOff>152058</xdr:rowOff>
    </xdr:from>
    <xdr:to>
      <xdr:col>19</xdr:col>
      <xdr:colOff>1447572</xdr:colOff>
      <xdr:row>25</xdr:row>
      <xdr:rowOff>127000</xdr:rowOff>
    </xdr:to>
    <xdr:cxnSp macro="">
      <xdr:nvCxnSpPr>
        <xdr:cNvPr id="9" name="Straight Arrow Connector 5">
          <a:extLst>
            <a:ext uri="{FF2B5EF4-FFF2-40B4-BE49-F238E27FC236}">
              <a16:creationId xmlns:a16="http://schemas.microsoft.com/office/drawing/2014/main" id="{64A718E4-D326-4A95-8B12-24BDB37681E9}"/>
            </a:ext>
          </a:extLst>
        </xdr:cNvPr>
        <xdr:cNvCxnSpPr>
          <a:cxnSpLocks/>
        </xdr:cNvCxnSpPr>
      </xdr:nvCxnSpPr>
      <xdr:spPr>
        <a:xfrm flipH="1">
          <a:off x="19859625" y="5390808"/>
          <a:ext cx="1987322" cy="32419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1447572</xdr:colOff>
      <xdr:row>23</xdr:row>
      <xdr:rowOff>152058</xdr:rowOff>
    </xdr:from>
    <xdr:to>
      <xdr:col>21</xdr:col>
      <xdr:colOff>635000</xdr:colOff>
      <xdr:row>25</xdr:row>
      <xdr:rowOff>79375</xdr:rowOff>
    </xdr:to>
    <xdr:cxnSp macro="">
      <xdr:nvCxnSpPr>
        <xdr:cNvPr id="10" name="Straight Arrow Connector 5">
          <a:extLst>
            <a:ext uri="{FF2B5EF4-FFF2-40B4-BE49-F238E27FC236}">
              <a16:creationId xmlns:a16="http://schemas.microsoft.com/office/drawing/2014/main" id="{C7CB0161-BF1A-4A7F-847E-25E254A3EA48}"/>
            </a:ext>
          </a:extLst>
        </xdr:cNvPr>
        <xdr:cNvCxnSpPr>
          <a:cxnSpLocks/>
        </xdr:cNvCxnSpPr>
      </xdr:nvCxnSpPr>
      <xdr:spPr>
        <a:xfrm>
          <a:off x="21846947" y="5390808"/>
          <a:ext cx="1775053" cy="27656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880383</xdr:colOff>
      <xdr:row>20</xdr:row>
      <xdr:rowOff>185057</xdr:rowOff>
    </xdr:from>
    <xdr:to>
      <xdr:col>21</xdr:col>
      <xdr:colOff>964310</xdr:colOff>
      <xdr:row>24</xdr:row>
      <xdr:rowOff>98082</xdr:rowOff>
    </xdr:to>
    <xdr:sp macro="" textlink="">
      <xdr:nvSpPr>
        <xdr:cNvPr id="11" name="TextBox 27">
          <a:extLst>
            <a:ext uri="{FF2B5EF4-FFF2-40B4-BE49-F238E27FC236}">
              <a16:creationId xmlns:a16="http://schemas.microsoft.com/office/drawing/2014/main" id="{81FB6A88-C431-44E4-BE88-0CE508D5A1B7}"/>
            </a:ext>
          </a:extLst>
        </xdr:cNvPr>
        <xdr:cNvSpPr txBox="1"/>
      </xdr:nvSpPr>
      <xdr:spPr>
        <a:xfrm>
          <a:off x="20759058" y="5280932"/>
          <a:ext cx="4360652" cy="6750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4" name="TextBox 17">
          <a:extLst>
            <a:ext uri="{FF2B5EF4-FFF2-40B4-BE49-F238E27FC236}">
              <a16:creationId xmlns:a16="http://schemas.microsoft.com/office/drawing/2014/main" id="{09C3B9A6-81CC-40F4-9BEB-2DAD536B3B5C}"/>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420205</xdr:colOff>
      <xdr:row>1</xdr:row>
      <xdr:rowOff>161925</xdr:rowOff>
    </xdr:from>
    <xdr:to>
      <xdr:col>14</xdr:col>
      <xdr:colOff>295275</xdr:colOff>
      <xdr:row>4</xdr:row>
      <xdr:rowOff>436770</xdr:rowOff>
    </xdr:to>
    <xdr:cxnSp macro="">
      <xdr:nvCxnSpPr>
        <xdr:cNvPr id="3" name="Straight Arrow Connector 20">
          <a:extLst>
            <a:ext uri="{FF2B5EF4-FFF2-40B4-BE49-F238E27FC236}">
              <a16:creationId xmlns:a16="http://schemas.microsoft.com/office/drawing/2014/main" id="{D790EE1E-907F-42EC-95ED-E4FDA798EACE}"/>
            </a:ext>
          </a:extLst>
        </xdr:cNvPr>
        <xdr:cNvCxnSpPr>
          <a:cxnSpLocks/>
        </xdr:cNvCxnSpPr>
      </xdr:nvCxnSpPr>
      <xdr:spPr>
        <a:xfrm flipH="1">
          <a:off x="15945955" y="558800"/>
          <a:ext cx="872020" cy="9257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522034</xdr:colOff>
      <xdr:row>2</xdr:row>
      <xdr:rowOff>161925</xdr:rowOff>
    </xdr:from>
    <xdr:to>
      <xdr:col>16</xdr:col>
      <xdr:colOff>522034</xdr:colOff>
      <xdr:row>4</xdr:row>
      <xdr:rowOff>342900</xdr:rowOff>
    </xdr:to>
    <xdr:cxnSp macro="">
      <xdr:nvCxnSpPr>
        <xdr:cNvPr id="5" name="Straight Arrow Connector 4">
          <a:extLst>
            <a:ext uri="{FF2B5EF4-FFF2-40B4-BE49-F238E27FC236}">
              <a16:creationId xmlns:a16="http://schemas.microsoft.com/office/drawing/2014/main" id="{774B44D8-FE1F-468D-9F1D-C6C29E405633}"/>
            </a:ext>
          </a:extLst>
        </xdr:cNvPr>
        <xdr:cNvCxnSpPr>
          <a:cxnSpLocks/>
        </xdr:cNvCxnSpPr>
      </xdr:nvCxnSpPr>
      <xdr:spPr>
        <a:xfrm flipH="1">
          <a:off x="17971834" y="819150"/>
          <a:ext cx="0" cy="561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276225</xdr:colOff>
      <xdr:row>0</xdr:row>
      <xdr:rowOff>161925</xdr:rowOff>
    </xdr:from>
    <xdr:to>
      <xdr:col>19</xdr:col>
      <xdr:colOff>409575</xdr:colOff>
      <xdr:row>2</xdr:row>
      <xdr:rowOff>168909</xdr:rowOff>
    </xdr:to>
    <xdr:sp macro="" textlink="">
      <xdr:nvSpPr>
        <xdr:cNvPr id="7" name="TextBox 8">
          <a:extLst>
            <a:ext uri="{FF2B5EF4-FFF2-40B4-BE49-F238E27FC236}">
              <a16:creationId xmlns:a16="http://schemas.microsoft.com/office/drawing/2014/main" id="{F9DB4AD2-3E7E-4825-94F1-9050DB25EAAE}"/>
            </a:ext>
          </a:extLst>
        </xdr:cNvPr>
        <xdr:cNvSpPr txBox="1"/>
      </xdr:nvSpPr>
      <xdr:spPr>
        <a:xfrm>
          <a:off x="16783050" y="161925"/>
          <a:ext cx="58959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18</xdr:col>
      <xdr:colOff>423636</xdr:colOff>
      <xdr:row>17</xdr:row>
      <xdr:rowOff>118382</xdr:rowOff>
    </xdr:from>
    <xdr:to>
      <xdr:col>21</xdr:col>
      <xdr:colOff>335643</xdr:colOff>
      <xdr:row>20</xdr:row>
      <xdr:rowOff>77559</xdr:rowOff>
    </xdr:to>
    <xdr:sp macro="" textlink="">
      <xdr:nvSpPr>
        <xdr:cNvPr id="8" name="TextBox 10">
          <a:extLst>
            <a:ext uri="{FF2B5EF4-FFF2-40B4-BE49-F238E27FC236}">
              <a16:creationId xmlns:a16="http://schemas.microsoft.com/office/drawing/2014/main" id="{D188871A-C540-4C4C-8847-3A986651514F}"/>
            </a:ext>
          </a:extLst>
        </xdr:cNvPr>
        <xdr:cNvSpPr txBox="1"/>
      </xdr:nvSpPr>
      <xdr:spPr>
        <a:xfrm>
          <a:off x="20302311" y="4642757"/>
          <a:ext cx="4188732" cy="53067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17</xdr:col>
      <xdr:colOff>1156608</xdr:colOff>
      <xdr:row>19</xdr:row>
      <xdr:rowOff>7937</xdr:rowOff>
    </xdr:from>
    <xdr:to>
      <xdr:col>18</xdr:col>
      <xdr:colOff>426811</xdr:colOff>
      <xdr:row>19</xdr:row>
      <xdr:rowOff>87992</xdr:rowOff>
    </xdr:to>
    <xdr:cxnSp macro="">
      <xdr:nvCxnSpPr>
        <xdr:cNvPr id="12" name="Straight Arrow Connector 5">
          <a:extLst>
            <a:ext uri="{FF2B5EF4-FFF2-40B4-BE49-F238E27FC236}">
              <a16:creationId xmlns:a16="http://schemas.microsoft.com/office/drawing/2014/main" id="{D3FC92C3-63EF-4DF2-BB62-50AAB8616547}"/>
            </a:ext>
          </a:extLst>
        </xdr:cNvPr>
        <xdr:cNvCxnSpPr>
          <a:stCxn id="8" idx="1"/>
        </xdr:cNvCxnSpPr>
      </xdr:nvCxnSpPr>
      <xdr:spPr>
        <a:xfrm flipH="1">
          <a:off x="19863708" y="4913312"/>
          <a:ext cx="441778" cy="800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574676</xdr:colOff>
      <xdr:row>24</xdr:row>
      <xdr:rowOff>125639</xdr:rowOff>
    </xdr:from>
    <xdr:to>
      <xdr:col>19</xdr:col>
      <xdr:colOff>95250</xdr:colOff>
      <xdr:row>25</xdr:row>
      <xdr:rowOff>160111</xdr:rowOff>
    </xdr:to>
    <xdr:cxnSp macro="">
      <xdr:nvCxnSpPr>
        <xdr:cNvPr id="29" name="Straight Arrow Connector 5">
          <a:extLst>
            <a:ext uri="{FF2B5EF4-FFF2-40B4-BE49-F238E27FC236}">
              <a16:creationId xmlns:a16="http://schemas.microsoft.com/office/drawing/2014/main" id="{28D503BC-6B92-4763-8CF4-DAEA28A4E7A8}"/>
            </a:ext>
          </a:extLst>
        </xdr:cNvPr>
        <xdr:cNvCxnSpPr/>
      </xdr:nvCxnSpPr>
      <xdr:spPr>
        <a:xfrm flipH="1">
          <a:off x="18590533" y="5758996"/>
          <a:ext cx="97653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1331006</xdr:colOff>
      <xdr:row>24</xdr:row>
      <xdr:rowOff>125296</xdr:rowOff>
    </xdr:from>
    <xdr:to>
      <xdr:col>21</xdr:col>
      <xdr:colOff>272142</xdr:colOff>
      <xdr:row>25</xdr:row>
      <xdr:rowOff>163286</xdr:rowOff>
    </xdr:to>
    <xdr:cxnSp macro="">
      <xdr:nvCxnSpPr>
        <xdr:cNvPr id="2" name="Straight Arrow Connector 5">
          <a:extLst>
            <a:ext uri="{FF2B5EF4-FFF2-40B4-BE49-F238E27FC236}">
              <a16:creationId xmlns:a16="http://schemas.microsoft.com/office/drawing/2014/main" id="{FD3C2DD4-5B6B-45F6-8D37-FD11328601C7}"/>
            </a:ext>
          </a:extLst>
        </xdr:cNvPr>
        <xdr:cNvCxnSpPr>
          <a:cxnSpLocks/>
        </xdr:cNvCxnSpPr>
      </xdr:nvCxnSpPr>
      <xdr:spPr>
        <a:xfrm>
          <a:off x="20802827" y="5853903"/>
          <a:ext cx="1526494" cy="2148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465817</xdr:colOff>
      <xdr:row>17</xdr:row>
      <xdr:rowOff>112033</xdr:rowOff>
    </xdr:from>
    <xdr:to>
      <xdr:col>21</xdr:col>
      <xdr:colOff>377824</xdr:colOff>
      <xdr:row>20</xdr:row>
      <xdr:rowOff>71210</xdr:rowOff>
    </xdr:to>
    <xdr:sp macro="" textlink="">
      <xdr:nvSpPr>
        <xdr:cNvPr id="22" name="TextBox 10">
          <a:extLst>
            <a:ext uri="{FF2B5EF4-FFF2-40B4-BE49-F238E27FC236}">
              <a16:creationId xmlns:a16="http://schemas.microsoft.com/office/drawing/2014/main" id="{81554318-4A6D-4CF6-A861-119ED87EFD4A}"/>
            </a:ext>
          </a:extLst>
        </xdr:cNvPr>
        <xdr:cNvSpPr txBox="1"/>
      </xdr:nvSpPr>
      <xdr:spPr>
        <a:xfrm>
          <a:off x="18481674" y="4507140"/>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27214</xdr:colOff>
      <xdr:row>19</xdr:row>
      <xdr:rowOff>1588</xdr:rowOff>
    </xdr:from>
    <xdr:to>
      <xdr:col>18</xdr:col>
      <xdr:colOff>468992</xdr:colOff>
      <xdr:row>19</xdr:row>
      <xdr:rowOff>81643</xdr:rowOff>
    </xdr:to>
    <xdr:cxnSp macro="">
      <xdr:nvCxnSpPr>
        <xdr:cNvPr id="26" name="Straight Arrow Connector 5">
          <a:extLst>
            <a:ext uri="{FF2B5EF4-FFF2-40B4-BE49-F238E27FC236}">
              <a16:creationId xmlns:a16="http://schemas.microsoft.com/office/drawing/2014/main" id="{5A7284DD-54E2-49DB-B4E7-093171F4D0B3}"/>
            </a:ext>
          </a:extLst>
        </xdr:cNvPr>
        <xdr:cNvCxnSpPr>
          <a:stCxn id="22" idx="1"/>
        </xdr:cNvCxnSpPr>
      </xdr:nvCxnSpPr>
      <xdr:spPr>
        <a:xfrm flipH="1">
          <a:off x="18043071" y="4845731"/>
          <a:ext cx="441778" cy="800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557893</xdr:colOff>
      <xdr:row>21</xdr:row>
      <xdr:rowOff>0</xdr:rowOff>
    </xdr:from>
    <xdr:to>
      <xdr:col>21</xdr:col>
      <xdr:colOff>641820</xdr:colOff>
      <xdr:row>24</xdr:row>
      <xdr:rowOff>103525</xdr:rowOff>
    </xdr:to>
    <xdr:sp macro="" textlink="">
      <xdr:nvSpPr>
        <xdr:cNvPr id="4" name="TextBox 27">
          <a:extLst>
            <a:ext uri="{FF2B5EF4-FFF2-40B4-BE49-F238E27FC236}">
              <a16:creationId xmlns:a16="http://schemas.microsoft.com/office/drawing/2014/main" id="{A6F5C4C7-6F88-4A9C-B1F2-719DC780A9C9}"/>
            </a:ext>
          </a:extLst>
        </xdr:cNvPr>
        <xdr:cNvSpPr txBox="1"/>
      </xdr:nvSpPr>
      <xdr:spPr>
        <a:xfrm>
          <a:off x="18573750" y="5388429"/>
          <a:ext cx="412524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222A697B-8F2C-432C-8DB2-A881966F6C42}"/>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0</xdr:rowOff>
    </xdr:from>
    <xdr:to>
      <xdr:col>16</xdr:col>
      <xdr:colOff>2651</xdr:colOff>
      <xdr:row>23</xdr:row>
      <xdr:rowOff>125700</xdr:rowOff>
    </xdr:to>
    <xdr:cxnSp macro="">
      <xdr:nvCxnSpPr>
        <xdr:cNvPr id="3" name="Straight Arrow Connector 5">
          <a:extLst>
            <a:ext uri="{FF2B5EF4-FFF2-40B4-BE49-F238E27FC236}">
              <a16:creationId xmlns:a16="http://schemas.microsoft.com/office/drawing/2014/main" id="{F7D164AF-208C-4303-833D-74E09608177E}"/>
            </a:ext>
          </a:extLst>
        </xdr:cNvPr>
        <xdr:cNvCxnSpPr/>
      </xdr:nvCxnSpPr>
      <xdr:spPr>
        <a:xfrm flipH="1" flipV="1">
          <a:off x="16913225" y="4962525"/>
          <a:ext cx="1186926" cy="665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5" name="Straight Arrow Connector 4">
          <a:extLst>
            <a:ext uri="{FF2B5EF4-FFF2-40B4-BE49-F238E27FC236}">
              <a16:creationId xmlns:a16="http://schemas.microsoft.com/office/drawing/2014/main" id="{6322B08C-15AD-4868-A6BB-3B27FFDB92E3}"/>
            </a:ext>
          </a:extLst>
        </xdr:cNvPr>
        <xdr:cNvCxnSpPr/>
      </xdr:nvCxnSpPr>
      <xdr:spPr>
        <a:xfrm>
          <a:off x="16240125" y="2762250"/>
          <a:ext cx="124239" cy="204690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6" name="Straight Arrow Connector 3">
          <a:extLst>
            <a:ext uri="{FF2B5EF4-FFF2-40B4-BE49-F238E27FC236}">
              <a16:creationId xmlns:a16="http://schemas.microsoft.com/office/drawing/2014/main" id="{1C835DFB-6F88-4EE1-BE4F-9A6C369CA641}"/>
            </a:ext>
          </a:extLst>
        </xdr:cNvPr>
        <xdr:cNvCxnSpPr/>
      </xdr:nvCxnSpPr>
      <xdr:spPr>
        <a:xfrm>
          <a:off x="16240125" y="4864376"/>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9" name="TextBox 9">
          <a:extLst>
            <a:ext uri="{FF2B5EF4-FFF2-40B4-BE49-F238E27FC236}">
              <a16:creationId xmlns:a16="http://schemas.microsoft.com/office/drawing/2014/main" id="{759808CC-7ECE-4392-9165-16038890BE92}"/>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161925</xdr:rowOff>
    </xdr:from>
    <xdr:to>
      <xdr:col>16</xdr:col>
      <xdr:colOff>502984</xdr:colOff>
      <xdr:row>4</xdr:row>
      <xdr:rowOff>314325</xdr:rowOff>
    </xdr:to>
    <xdr:cxnSp macro="">
      <xdr:nvCxnSpPr>
        <xdr:cNvPr id="10" name="Straight Arrow Connector 9">
          <a:extLst>
            <a:ext uri="{FF2B5EF4-FFF2-40B4-BE49-F238E27FC236}">
              <a16:creationId xmlns:a16="http://schemas.microsoft.com/office/drawing/2014/main" id="{C02AAEAA-B82C-492B-845F-7C130950CB08}"/>
            </a:ext>
          </a:extLst>
        </xdr:cNvPr>
        <xdr:cNvCxnSpPr>
          <a:cxnSpLocks/>
        </xdr:cNvCxnSpPr>
      </xdr:nvCxnSpPr>
      <xdr:spPr>
        <a:xfrm>
          <a:off x="17770475"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523875</xdr:colOff>
      <xdr:row>1</xdr:row>
      <xdr:rowOff>57150</xdr:rowOff>
    </xdr:from>
    <xdr:to>
      <xdr:col>14</xdr:col>
      <xdr:colOff>552450</xdr:colOff>
      <xdr:row>4</xdr:row>
      <xdr:rowOff>504825</xdr:rowOff>
    </xdr:to>
    <xdr:cxnSp macro="">
      <xdr:nvCxnSpPr>
        <xdr:cNvPr id="11" name="Straight Arrow Connector 20">
          <a:extLst>
            <a:ext uri="{FF2B5EF4-FFF2-40B4-BE49-F238E27FC236}">
              <a16:creationId xmlns:a16="http://schemas.microsoft.com/office/drawing/2014/main" id="{1F7E172D-5959-4BB0-8350-7D9F2FD67F52}"/>
            </a:ext>
          </a:extLst>
        </xdr:cNvPr>
        <xdr:cNvCxnSpPr>
          <a:cxnSpLocks/>
        </xdr:cNvCxnSpPr>
      </xdr:nvCxnSpPr>
      <xdr:spPr>
        <a:xfrm flipH="1">
          <a:off x="15760700" y="457200"/>
          <a:ext cx="1031875" cy="1092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0</xdr:colOff>
      <xdr:row>37</xdr:row>
      <xdr:rowOff>0</xdr:rowOff>
    </xdr:from>
    <xdr:to>
      <xdr:col>21</xdr:col>
      <xdr:colOff>177800</xdr:colOff>
      <xdr:row>40</xdr:row>
      <xdr:rowOff>124459</xdr:rowOff>
    </xdr:to>
    <xdr:sp macro="" textlink="">
      <xdr:nvSpPr>
        <xdr:cNvPr id="13" name="TextBox 8">
          <a:extLst>
            <a:ext uri="{FF2B5EF4-FFF2-40B4-BE49-F238E27FC236}">
              <a16:creationId xmlns:a16="http://schemas.microsoft.com/office/drawing/2014/main" id="{B33BC6EF-EDE7-46BB-8B76-34140E589658}"/>
            </a:ext>
          </a:extLst>
        </xdr:cNvPr>
        <xdr:cNvSpPr txBox="1"/>
      </xdr:nvSpPr>
      <xdr:spPr>
        <a:xfrm>
          <a:off x="19411950" y="8039100"/>
          <a:ext cx="58928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17</xdr:col>
      <xdr:colOff>0</xdr:colOff>
      <xdr:row>37</xdr:row>
      <xdr:rowOff>0</xdr:rowOff>
    </xdr:from>
    <xdr:to>
      <xdr:col>21</xdr:col>
      <xdr:colOff>177800</xdr:colOff>
      <xdr:row>40</xdr:row>
      <xdr:rowOff>124459</xdr:rowOff>
    </xdr:to>
    <xdr:sp macro="" textlink="">
      <xdr:nvSpPr>
        <xdr:cNvPr id="14" name="TextBox 8">
          <a:extLst>
            <a:ext uri="{FF2B5EF4-FFF2-40B4-BE49-F238E27FC236}">
              <a16:creationId xmlns:a16="http://schemas.microsoft.com/office/drawing/2014/main" id="{C14FCE2D-BFEE-4B4F-947F-A6E43F7CDE65}"/>
            </a:ext>
          </a:extLst>
        </xdr:cNvPr>
        <xdr:cNvSpPr txBox="1"/>
      </xdr:nvSpPr>
      <xdr:spPr>
        <a:xfrm>
          <a:off x="19411950" y="8039100"/>
          <a:ext cx="5892800"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14</xdr:col>
      <xdr:colOff>533400</xdr:colOff>
      <xdr:row>0</xdr:row>
      <xdr:rowOff>152400</xdr:rowOff>
    </xdr:from>
    <xdr:to>
      <xdr:col>19</xdr:col>
      <xdr:colOff>577850</xdr:colOff>
      <xdr:row>2</xdr:row>
      <xdr:rowOff>159384</xdr:rowOff>
    </xdr:to>
    <xdr:sp macro="" textlink="">
      <xdr:nvSpPr>
        <xdr:cNvPr id="15" name="TextBox 8">
          <a:extLst>
            <a:ext uri="{FF2B5EF4-FFF2-40B4-BE49-F238E27FC236}">
              <a16:creationId xmlns:a16="http://schemas.microsoft.com/office/drawing/2014/main" id="{BAB18B68-4A78-40DF-BB36-D9ADBB64616B}"/>
            </a:ext>
          </a:extLst>
        </xdr:cNvPr>
        <xdr:cNvSpPr txBox="1"/>
      </xdr:nvSpPr>
      <xdr:spPr>
        <a:xfrm>
          <a:off x="16773525" y="152400"/>
          <a:ext cx="5892800"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1064535</xdr:colOff>
      <xdr:row>24</xdr:row>
      <xdr:rowOff>122464</xdr:rowOff>
    </xdr:from>
    <xdr:to>
      <xdr:col>19</xdr:col>
      <xdr:colOff>476250</xdr:colOff>
      <xdr:row>25</xdr:row>
      <xdr:rowOff>143329</xdr:rowOff>
    </xdr:to>
    <xdr:cxnSp macro="">
      <xdr:nvCxnSpPr>
        <xdr:cNvPr id="6" name="Straight Arrow Connector 5">
          <a:extLst>
            <a:ext uri="{FF2B5EF4-FFF2-40B4-BE49-F238E27FC236}">
              <a16:creationId xmlns:a16="http://schemas.microsoft.com/office/drawing/2014/main" id="{C03A98DB-33FB-4336-A85B-458EDB8A661A}"/>
            </a:ext>
          </a:extLst>
        </xdr:cNvPr>
        <xdr:cNvCxnSpPr/>
      </xdr:nvCxnSpPr>
      <xdr:spPr>
        <a:xfrm flipH="1">
          <a:off x="19270892" y="5946321"/>
          <a:ext cx="867679" cy="19775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280089</xdr:colOff>
      <xdr:row>24</xdr:row>
      <xdr:rowOff>106700</xdr:rowOff>
    </xdr:from>
    <xdr:to>
      <xdr:col>21</xdr:col>
      <xdr:colOff>506639</xdr:colOff>
      <xdr:row>25</xdr:row>
      <xdr:rowOff>149679</xdr:rowOff>
    </xdr:to>
    <xdr:cxnSp macro="">
      <xdr:nvCxnSpPr>
        <xdr:cNvPr id="9" name="Straight Arrow Connector 5">
          <a:extLst>
            <a:ext uri="{FF2B5EF4-FFF2-40B4-BE49-F238E27FC236}">
              <a16:creationId xmlns:a16="http://schemas.microsoft.com/office/drawing/2014/main" id="{F3894E8E-5D57-4487-973A-17136AC0BB89}"/>
            </a:ext>
          </a:extLst>
        </xdr:cNvPr>
        <xdr:cNvCxnSpPr>
          <a:cxnSpLocks/>
          <a:stCxn id="5" idx="2"/>
        </xdr:cNvCxnSpPr>
      </xdr:nvCxnSpPr>
      <xdr:spPr>
        <a:xfrm>
          <a:off x="21398375" y="5930557"/>
          <a:ext cx="1355943" cy="2198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452209</xdr:colOff>
      <xdr:row>17</xdr:row>
      <xdr:rowOff>166463</xdr:rowOff>
    </xdr:from>
    <xdr:to>
      <xdr:col>21</xdr:col>
      <xdr:colOff>364216</xdr:colOff>
      <xdr:row>20</xdr:row>
      <xdr:rowOff>125640</xdr:rowOff>
    </xdr:to>
    <xdr:sp macro="" textlink="">
      <xdr:nvSpPr>
        <xdr:cNvPr id="28" name="TextBox 10">
          <a:extLst>
            <a:ext uri="{FF2B5EF4-FFF2-40B4-BE49-F238E27FC236}">
              <a16:creationId xmlns:a16="http://schemas.microsoft.com/office/drawing/2014/main" id="{9997BBF7-B0D0-4DF8-B043-AA33A99EBEAC}"/>
            </a:ext>
          </a:extLst>
        </xdr:cNvPr>
        <xdr:cNvSpPr txBox="1"/>
      </xdr:nvSpPr>
      <xdr:spPr>
        <a:xfrm>
          <a:off x="18658566" y="4561570"/>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19</xdr:row>
      <xdr:rowOff>54430</xdr:rowOff>
    </xdr:from>
    <xdr:to>
      <xdr:col>18</xdr:col>
      <xdr:colOff>449034</xdr:colOff>
      <xdr:row>19</xdr:row>
      <xdr:rowOff>95250</xdr:rowOff>
    </xdr:to>
    <xdr:cxnSp macro="">
      <xdr:nvCxnSpPr>
        <xdr:cNvPr id="24" name="Straight Arrow Connector 5">
          <a:extLst>
            <a:ext uri="{FF2B5EF4-FFF2-40B4-BE49-F238E27FC236}">
              <a16:creationId xmlns:a16="http://schemas.microsoft.com/office/drawing/2014/main" id="{48C1F1C9-0AE3-4796-B7F1-B170D127D71D}"/>
            </a:ext>
          </a:extLst>
        </xdr:cNvPr>
        <xdr:cNvCxnSpPr>
          <a:stCxn id="28" idx="1"/>
        </xdr:cNvCxnSpPr>
      </xdr:nvCxnSpPr>
      <xdr:spPr>
        <a:xfrm flipH="1">
          <a:off x="18206357" y="4803323"/>
          <a:ext cx="449034" cy="408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1129393</xdr:colOff>
      <xdr:row>21</xdr:row>
      <xdr:rowOff>0</xdr:rowOff>
    </xdr:from>
    <xdr:to>
      <xdr:col>21</xdr:col>
      <xdr:colOff>1213320</xdr:colOff>
      <xdr:row>24</xdr:row>
      <xdr:rowOff>103525</xdr:rowOff>
    </xdr:to>
    <xdr:sp macro="" textlink="">
      <xdr:nvSpPr>
        <xdr:cNvPr id="5" name="TextBox 27">
          <a:extLst>
            <a:ext uri="{FF2B5EF4-FFF2-40B4-BE49-F238E27FC236}">
              <a16:creationId xmlns:a16="http://schemas.microsoft.com/office/drawing/2014/main" id="{8AD61A53-10F2-4D11-AF6B-CBE8663E6641}"/>
            </a:ext>
          </a:extLst>
        </xdr:cNvPr>
        <xdr:cNvSpPr txBox="1"/>
      </xdr:nvSpPr>
      <xdr:spPr>
        <a:xfrm>
          <a:off x="19335750" y="5293179"/>
          <a:ext cx="412524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C07338D1-77DF-4251-8457-BB42AEA5B5CB}"/>
            </a:ext>
          </a:extLst>
        </xdr:cNvPr>
        <xdr:cNvSpPr txBox="1"/>
      </xdr:nvSpPr>
      <xdr:spPr>
        <a:xfrm>
          <a:off x="286871" y="1066800"/>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0</xdr:rowOff>
    </xdr:from>
    <xdr:to>
      <xdr:col>16</xdr:col>
      <xdr:colOff>2651</xdr:colOff>
      <xdr:row>23</xdr:row>
      <xdr:rowOff>125700</xdr:rowOff>
    </xdr:to>
    <xdr:cxnSp macro="">
      <xdr:nvCxnSpPr>
        <xdr:cNvPr id="2" name="Straight Arrow Connector 5">
          <a:extLst>
            <a:ext uri="{FF2B5EF4-FFF2-40B4-BE49-F238E27FC236}">
              <a16:creationId xmlns:a16="http://schemas.microsoft.com/office/drawing/2014/main" id="{F1914785-8B89-4026-8598-1C89E85E9423}"/>
            </a:ext>
          </a:extLst>
        </xdr:cNvPr>
        <xdr:cNvCxnSpPr/>
      </xdr:nvCxnSpPr>
      <xdr:spPr>
        <a:xfrm flipH="1" flipV="1">
          <a:off x="16913225" y="4962525"/>
          <a:ext cx="1186926" cy="665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4" name="Straight Arrow Connector 2">
          <a:extLst>
            <a:ext uri="{FF2B5EF4-FFF2-40B4-BE49-F238E27FC236}">
              <a16:creationId xmlns:a16="http://schemas.microsoft.com/office/drawing/2014/main" id="{36316D45-6214-4707-8B25-14CA54433EFB}"/>
            </a:ext>
          </a:extLst>
        </xdr:cNvPr>
        <xdr:cNvCxnSpPr/>
      </xdr:nvCxnSpPr>
      <xdr:spPr>
        <a:xfrm>
          <a:off x="16240125" y="2762250"/>
          <a:ext cx="124239" cy="204690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7" name="Straight Arrow Connector 3">
          <a:extLst>
            <a:ext uri="{FF2B5EF4-FFF2-40B4-BE49-F238E27FC236}">
              <a16:creationId xmlns:a16="http://schemas.microsoft.com/office/drawing/2014/main" id="{9B1D4164-3BFE-41F1-B9E7-3126D9030DAD}"/>
            </a:ext>
          </a:extLst>
        </xdr:cNvPr>
        <xdr:cNvCxnSpPr/>
      </xdr:nvCxnSpPr>
      <xdr:spPr>
        <a:xfrm>
          <a:off x="16240125" y="4864376"/>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12" name="TextBox 9">
          <a:extLst>
            <a:ext uri="{FF2B5EF4-FFF2-40B4-BE49-F238E27FC236}">
              <a16:creationId xmlns:a16="http://schemas.microsoft.com/office/drawing/2014/main" id="{3DB9718B-AC5C-497B-AFC1-E91B374D993B}"/>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482600</xdr:colOff>
      <xdr:row>2</xdr:row>
      <xdr:rowOff>152400</xdr:rowOff>
    </xdr:from>
    <xdr:to>
      <xdr:col>16</xdr:col>
      <xdr:colOff>493459</xdr:colOff>
      <xdr:row>4</xdr:row>
      <xdr:rowOff>304800</xdr:rowOff>
    </xdr:to>
    <xdr:cxnSp macro="">
      <xdr:nvCxnSpPr>
        <xdr:cNvPr id="13" name="Straight Arrow Connector 12">
          <a:extLst>
            <a:ext uri="{FF2B5EF4-FFF2-40B4-BE49-F238E27FC236}">
              <a16:creationId xmlns:a16="http://schemas.microsoft.com/office/drawing/2014/main" id="{C6E71F59-4403-4BD5-93B5-09A86BBCE230}"/>
            </a:ext>
          </a:extLst>
        </xdr:cNvPr>
        <xdr:cNvCxnSpPr>
          <a:cxnSpLocks/>
        </xdr:cNvCxnSpPr>
      </xdr:nvCxnSpPr>
      <xdr:spPr>
        <a:xfrm>
          <a:off x="17760950"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523875</xdr:colOff>
      <xdr:row>1</xdr:row>
      <xdr:rowOff>57150</xdr:rowOff>
    </xdr:from>
    <xdr:to>
      <xdr:col>14</xdr:col>
      <xdr:colOff>552450</xdr:colOff>
      <xdr:row>4</xdr:row>
      <xdr:rowOff>504825</xdr:rowOff>
    </xdr:to>
    <xdr:cxnSp macro="">
      <xdr:nvCxnSpPr>
        <xdr:cNvPr id="14" name="Straight Arrow Connector 20">
          <a:extLst>
            <a:ext uri="{FF2B5EF4-FFF2-40B4-BE49-F238E27FC236}">
              <a16:creationId xmlns:a16="http://schemas.microsoft.com/office/drawing/2014/main" id="{95E1E2EE-1D7E-407F-851A-5354F96F1CB7}"/>
            </a:ext>
          </a:extLst>
        </xdr:cNvPr>
        <xdr:cNvCxnSpPr>
          <a:cxnSpLocks/>
        </xdr:cNvCxnSpPr>
      </xdr:nvCxnSpPr>
      <xdr:spPr>
        <a:xfrm flipH="1">
          <a:off x="15760700" y="457200"/>
          <a:ext cx="1031875" cy="1092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514350</xdr:colOff>
      <xdr:row>0</xdr:row>
      <xdr:rowOff>142875</xdr:rowOff>
    </xdr:from>
    <xdr:to>
      <xdr:col>19</xdr:col>
      <xdr:colOff>561975</xdr:colOff>
      <xdr:row>2</xdr:row>
      <xdr:rowOff>149859</xdr:rowOff>
    </xdr:to>
    <xdr:sp macro="" textlink="">
      <xdr:nvSpPr>
        <xdr:cNvPr id="15" name="TextBox 8">
          <a:extLst>
            <a:ext uri="{FF2B5EF4-FFF2-40B4-BE49-F238E27FC236}">
              <a16:creationId xmlns:a16="http://schemas.microsoft.com/office/drawing/2014/main" id="{C909F099-3F9A-4ADB-B183-472BF7EF8029}"/>
            </a:ext>
          </a:extLst>
        </xdr:cNvPr>
        <xdr:cNvSpPr txBox="1"/>
      </xdr:nvSpPr>
      <xdr:spPr>
        <a:xfrm>
          <a:off x="16754475" y="142875"/>
          <a:ext cx="58959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1037319</xdr:colOff>
      <xdr:row>24</xdr:row>
      <xdr:rowOff>68035</xdr:rowOff>
    </xdr:from>
    <xdr:to>
      <xdr:col>19</xdr:col>
      <xdr:colOff>299358</xdr:colOff>
      <xdr:row>25</xdr:row>
      <xdr:rowOff>105682</xdr:rowOff>
    </xdr:to>
    <xdr:cxnSp macro="">
      <xdr:nvCxnSpPr>
        <xdr:cNvPr id="7" name="Straight Arrow Connector 5">
          <a:extLst>
            <a:ext uri="{FF2B5EF4-FFF2-40B4-BE49-F238E27FC236}">
              <a16:creationId xmlns:a16="http://schemas.microsoft.com/office/drawing/2014/main" id="{60A67070-FED0-4062-9EB0-79DE3615838D}"/>
            </a:ext>
          </a:extLst>
        </xdr:cNvPr>
        <xdr:cNvCxnSpPr/>
      </xdr:nvCxnSpPr>
      <xdr:spPr>
        <a:xfrm flipH="1">
          <a:off x="19243676" y="5946321"/>
          <a:ext cx="718003"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184838</xdr:colOff>
      <xdr:row>24</xdr:row>
      <xdr:rowOff>69053</xdr:rowOff>
    </xdr:from>
    <xdr:to>
      <xdr:col>21</xdr:col>
      <xdr:colOff>541111</xdr:colOff>
      <xdr:row>25</xdr:row>
      <xdr:rowOff>149678</xdr:rowOff>
    </xdr:to>
    <xdr:cxnSp macro="">
      <xdr:nvCxnSpPr>
        <xdr:cNvPr id="8" name="Straight Arrow Connector 5">
          <a:extLst>
            <a:ext uri="{FF2B5EF4-FFF2-40B4-BE49-F238E27FC236}">
              <a16:creationId xmlns:a16="http://schemas.microsoft.com/office/drawing/2014/main" id="{108F948A-30B5-4517-8F06-FD7C91F8F981}"/>
            </a:ext>
          </a:extLst>
        </xdr:cNvPr>
        <xdr:cNvCxnSpPr>
          <a:cxnSpLocks/>
          <a:stCxn id="4" idx="2"/>
        </xdr:cNvCxnSpPr>
      </xdr:nvCxnSpPr>
      <xdr:spPr>
        <a:xfrm>
          <a:off x="21303124" y="5947339"/>
          <a:ext cx="1485666" cy="2575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460827</xdr:colOff>
      <xdr:row>17</xdr:row>
      <xdr:rowOff>97066</xdr:rowOff>
    </xdr:from>
    <xdr:to>
      <xdr:col>21</xdr:col>
      <xdr:colOff>369206</xdr:colOff>
      <xdr:row>20</xdr:row>
      <xdr:rowOff>43997</xdr:rowOff>
    </xdr:to>
    <xdr:sp macro="" textlink="">
      <xdr:nvSpPr>
        <xdr:cNvPr id="25" name="TextBox 10">
          <a:extLst>
            <a:ext uri="{FF2B5EF4-FFF2-40B4-BE49-F238E27FC236}">
              <a16:creationId xmlns:a16="http://schemas.microsoft.com/office/drawing/2014/main" id="{69B6CCE8-083D-411F-AD32-927D8254CD29}"/>
            </a:ext>
          </a:extLst>
        </xdr:cNvPr>
        <xdr:cNvSpPr txBox="1"/>
      </xdr:nvSpPr>
      <xdr:spPr>
        <a:xfrm>
          <a:off x="17973220" y="4546602"/>
          <a:ext cx="3949700" cy="477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40822</xdr:colOff>
      <xdr:row>18</xdr:row>
      <xdr:rowOff>160565</xdr:rowOff>
    </xdr:from>
    <xdr:to>
      <xdr:col>18</xdr:col>
      <xdr:colOff>464002</xdr:colOff>
      <xdr:row>19</xdr:row>
      <xdr:rowOff>54429</xdr:rowOff>
    </xdr:to>
    <xdr:cxnSp macro="">
      <xdr:nvCxnSpPr>
        <xdr:cNvPr id="19" name="Straight Arrow Connector 5">
          <a:extLst>
            <a:ext uri="{FF2B5EF4-FFF2-40B4-BE49-F238E27FC236}">
              <a16:creationId xmlns:a16="http://schemas.microsoft.com/office/drawing/2014/main" id="{A255F9DA-A314-4D6F-8C95-5F7561E73EC3}"/>
            </a:ext>
          </a:extLst>
        </xdr:cNvPr>
        <xdr:cNvCxnSpPr>
          <a:stCxn id="25" idx="1"/>
        </xdr:cNvCxnSpPr>
      </xdr:nvCxnSpPr>
      <xdr:spPr>
        <a:xfrm flipH="1">
          <a:off x="18247179" y="4786994"/>
          <a:ext cx="423180" cy="7075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1034142</xdr:colOff>
      <xdr:row>20</xdr:row>
      <xdr:rowOff>136072</xdr:rowOff>
    </xdr:from>
    <xdr:to>
      <xdr:col>21</xdr:col>
      <xdr:colOff>1118069</xdr:colOff>
      <xdr:row>24</xdr:row>
      <xdr:rowOff>65878</xdr:rowOff>
    </xdr:to>
    <xdr:sp macro="" textlink="">
      <xdr:nvSpPr>
        <xdr:cNvPr id="4" name="TextBox 27">
          <a:extLst>
            <a:ext uri="{FF2B5EF4-FFF2-40B4-BE49-F238E27FC236}">
              <a16:creationId xmlns:a16="http://schemas.microsoft.com/office/drawing/2014/main" id="{C8B36640-6A32-4129-9044-5C06CD9191E5}"/>
            </a:ext>
          </a:extLst>
        </xdr:cNvPr>
        <xdr:cNvSpPr txBox="1"/>
      </xdr:nvSpPr>
      <xdr:spPr>
        <a:xfrm>
          <a:off x="19240499" y="5306786"/>
          <a:ext cx="412524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D4DA468C-5A5A-4A8D-A010-60E02DC85CD1}"/>
            </a:ext>
          </a:extLst>
        </xdr:cNvPr>
        <xdr:cNvSpPr txBox="1"/>
      </xdr:nvSpPr>
      <xdr:spPr>
        <a:xfrm>
          <a:off x="286871" y="1129553"/>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480E58DE-06A4-4C62-8E31-8F88181B468C}"/>
            </a:ext>
          </a:extLst>
        </xdr:cNvPr>
        <xdr:cNvCxnSpPr>
          <a:stCxn id="13"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6" name="Straight Arrow Connector 5">
          <a:extLst>
            <a:ext uri="{FF2B5EF4-FFF2-40B4-BE49-F238E27FC236}">
              <a16:creationId xmlns:a16="http://schemas.microsoft.com/office/drawing/2014/main" id="{2DCF6692-A2C9-45F9-B875-9C9496F40810}"/>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0" name="Straight Arrow Connector 9">
          <a:extLst>
            <a:ext uri="{FF2B5EF4-FFF2-40B4-BE49-F238E27FC236}">
              <a16:creationId xmlns:a16="http://schemas.microsoft.com/office/drawing/2014/main" id="{FBE6A15B-10D3-44AC-9CDC-854E7A418786}"/>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11730AF0-8410-4B97-837C-9885CEAF8D30}"/>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3" name="TextBox 12">
          <a:extLst>
            <a:ext uri="{FF2B5EF4-FFF2-40B4-BE49-F238E27FC236}">
              <a16:creationId xmlns:a16="http://schemas.microsoft.com/office/drawing/2014/main" id="{A0771E1D-71ED-447A-9C34-C443782F02C6}"/>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171450</xdr:rowOff>
    </xdr:from>
    <xdr:to>
      <xdr:col>16</xdr:col>
      <xdr:colOff>502984</xdr:colOff>
      <xdr:row>4</xdr:row>
      <xdr:rowOff>323850</xdr:rowOff>
    </xdr:to>
    <xdr:cxnSp macro="">
      <xdr:nvCxnSpPr>
        <xdr:cNvPr id="15" name="Straight Arrow Connector 14">
          <a:extLst>
            <a:ext uri="{FF2B5EF4-FFF2-40B4-BE49-F238E27FC236}">
              <a16:creationId xmlns:a16="http://schemas.microsoft.com/office/drawing/2014/main" id="{5FED7A85-5365-4E54-8703-13E466296346}"/>
            </a:ext>
          </a:extLst>
        </xdr:cNvPr>
        <xdr:cNvCxnSpPr>
          <a:cxnSpLocks/>
        </xdr:cNvCxnSpPr>
      </xdr:nvCxnSpPr>
      <xdr:spPr>
        <a:xfrm>
          <a:off x="17894300"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444500</xdr:colOff>
      <xdr:row>0</xdr:row>
      <xdr:rowOff>149225</xdr:rowOff>
    </xdr:from>
    <xdr:to>
      <xdr:col>19</xdr:col>
      <xdr:colOff>361950</xdr:colOff>
      <xdr:row>2</xdr:row>
      <xdr:rowOff>162559</xdr:rowOff>
    </xdr:to>
    <xdr:sp macro="" textlink="">
      <xdr:nvSpPr>
        <xdr:cNvPr id="21" name="TextBox 8">
          <a:extLst>
            <a:ext uri="{FF2B5EF4-FFF2-40B4-BE49-F238E27FC236}">
              <a16:creationId xmlns:a16="http://schemas.microsoft.com/office/drawing/2014/main" id="{3F4B6433-AFB0-4465-BF83-04BE0AE954FE}"/>
            </a:ext>
          </a:extLst>
        </xdr:cNvPr>
        <xdr:cNvSpPr txBox="1"/>
      </xdr:nvSpPr>
      <xdr:spPr>
        <a:xfrm>
          <a:off x="16684625" y="149225"/>
          <a:ext cx="5899150" cy="67055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1040495</xdr:colOff>
      <xdr:row>24</xdr:row>
      <xdr:rowOff>149678</xdr:rowOff>
    </xdr:from>
    <xdr:to>
      <xdr:col>19</xdr:col>
      <xdr:colOff>353786</xdr:colOff>
      <xdr:row>25</xdr:row>
      <xdr:rowOff>143329</xdr:rowOff>
    </xdr:to>
    <xdr:cxnSp macro="">
      <xdr:nvCxnSpPr>
        <xdr:cNvPr id="10" name="Straight Arrow Connector 5">
          <a:extLst>
            <a:ext uri="{FF2B5EF4-FFF2-40B4-BE49-F238E27FC236}">
              <a16:creationId xmlns:a16="http://schemas.microsoft.com/office/drawing/2014/main" id="{A42B8C5C-6DDC-4B57-8852-285856F1786B}"/>
            </a:ext>
          </a:extLst>
        </xdr:cNvPr>
        <xdr:cNvCxnSpPr/>
      </xdr:nvCxnSpPr>
      <xdr:spPr>
        <a:xfrm flipH="1">
          <a:off x="19042745" y="6803571"/>
          <a:ext cx="769255" cy="17054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438603</xdr:colOff>
      <xdr:row>17</xdr:row>
      <xdr:rowOff>166462</xdr:rowOff>
    </xdr:from>
    <xdr:to>
      <xdr:col>21</xdr:col>
      <xdr:colOff>350610</xdr:colOff>
      <xdr:row>20</xdr:row>
      <xdr:rowOff>125640</xdr:rowOff>
    </xdr:to>
    <xdr:sp macro="" textlink="">
      <xdr:nvSpPr>
        <xdr:cNvPr id="25" name="TextBox 10">
          <a:extLst>
            <a:ext uri="{FF2B5EF4-FFF2-40B4-BE49-F238E27FC236}">
              <a16:creationId xmlns:a16="http://schemas.microsoft.com/office/drawing/2014/main" id="{5C94A5C9-D610-445E-8D8F-D79AEE221CB2}"/>
            </a:ext>
          </a:extLst>
        </xdr:cNvPr>
        <xdr:cNvSpPr txBox="1"/>
      </xdr:nvSpPr>
      <xdr:spPr>
        <a:xfrm>
          <a:off x="18454460" y="5010605"/>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27214</xdr:colOff>
      <xdr:row>19</xdr:row>
      <xdr:rowOff>54429</xdr:rowOff>
    </xdr:from>
    <xdr:to>
      <xdr:col>18</xdr:col>
      <xdr:colOff>438603</xdr:colOff>
      <xdr:row>19</xdr:row>
      <xdr:rowOff>68035</xdr:rowOff>
    </xdr:to>
    <xdr:cxnSp macro="">
      <xdr:nvCxnSpPr>
        <xdr:cNvPr id="35" name="Straight Arrow Connector 5">
          <a:extLst>
            <a:ext uri="{FF2B5EF4-FFF2-40B4-BE49-F238E27FC236}">
              <a16:creationId xmlns:a16="http://schemas.microsoft.com/office/drawing/2014/main" id="{93C4C63D-7232-419C-9BC9-89EFFD97F974}"/>
            </a:ext>
          </a:extLst>
        </xdr:cNvPr>
        <xdr:cNvCxnSpPr>
          <a:stCxn id="25" idx="1"/>
        </xdr:cNvCxnSpPr>
      </xdr:nvCxnSpPr>
      <xdr:spPr>
        <a:xfrm flipH="1">
          <a:off x="18029464" y="5252358"/>
          <a:ext cx="411389" cy="136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208878</xdr:colOff>
      <xdr:row>24</xdr:row>
      <xdr:rowOff>144345</xdr:rowOff>
    </xdr:from>
    <xdr:to>
      <xdr:col>21</xdr:col>
      <xdr:colOff>857250</xdr:colOff>
      <xdr:row>25</xdr:row>
      <xdr:rowOff>160110</xdr:rowOff>
    </xdr:to>
    <xdr:cxnSp macro="">
      <xdr:nvCxnSpPr>
        <xdr:cNvPr id="8" name="Straight Arrow Connector 5">
          <a:extLst>
            <a:ext uri="{FF2B5EF4-FFF2-40B4-BE49-F238E27FC236}">
              <a16:creationId xmlns:a16="http://schemas.microsoft.com/office/drawing/2014/main" id="{476BCF79-8559-4B71-8C90-CC36A77691ED}"/>
            </a:ext>
          </a:extLst>
        </xdr:cNvPr>
        <xdr:cNvCxnSpPr>
          <a:cxnSpLocks/>
          <a:stCxn id="7" idx="2"/>
        </xdr:cNvCxnSpPr>
      </xdr:nvCxnSpPr>
      <xdr:spPr>
        <a:xfrm>
          <a:off x="21123057" y="6798238"/>
          <a:ext cx="1777764" cy="19265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1058182</xdr:colOff>
      <xdr:row>21</xdr:row>
      <xdr:rowOff>40821</xdr:rowOff>
    </xdr:from>
    <xdr:to>
      <xdr:col>21</xdr:col>
      <xdr:colOff>1145285</xdr:colOff>
      <xdr:row>24</xdr:row>
      <xdr:rowOff>147520</xdr:rowOff>
    </xdr:to>
    <xdr:sp macro="" textlink="">
      <xdr:nvSpPr>
        <xdr:cNvPr id="7" name="TextBox 27">
          <a:extLst>
            <a:ext uri="{FF2B5EF4-FFF2-40B4-BE49-F238E27FC236}">
              <a16:creationId xmlns:a16="http://schemas.microsoft.com/office/drawing/2014/main" id="{F7504D8D-631A-458E-9C9B-EAD92548C5B5}"/>
            </a:ext>
          </a:extLst>
        </xdr:cNvPr>
        <xdr:cNvSpPr txBox="1"/>
      </xdr:nvSpPr>
      <xdr:spPr>
        <a:xfrm>
          <a:off x="19060432" y="6164035"/>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10D48774-C392-43B2-BA0E-6486B0E7172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638175</xdr:colOff>
      <xdr:row>20</xdr:row>
      <xdr:rowOff>28575</xdr:rowOff>
    </xdr:from>
    <xdr:to>
      <xdr:col>15</xdr:col>
      <xdr:colOff>81689</xdr:colOff>
      <xdr:row>23</xdr:row>
      <xdr:rowOff>158842</xdr:rowOff>
    </xdr:to>
    <xdr:cxnSp macro="">
      <xdr:nvCxnSpPr>
        <xdr:cNvPr id="2" name="Straight Arrow Connector 1">
          <a:extLst>
            <a:ext uri="{FF2B5EF4-FFF2-40B4-BE49-F238E27FC236}">
              <a16:creationId xmlns:a16="http://schemas.microsoft.com/office/drawing/2014/main" id="{63CFBD71-9565-4EED-8B98-DF2F2815FEF4}"/>
            </a:ext>
          </a:extLst>
        </xdr:cNvPr>
        <xdr:cNvCxnSpPr>
          <a:stCxn id="11" idx="0"/>
        </xdr:cNvCxnSpPr>
      </xdr:nvCxnSpPr>
      <xdr:spPr>
        <a:xfrm flipH="1" flipV="1">
          <a:off x="16875125" y="4987925"/>
          <a:ext cx="697639" cy="6795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123825</xdr:rowOff>
    </xdr:from>
    <xdr:to>
      <xdr:col>14</xdr:col>
      <xdr:colOff>210912</xdr:colOff>
      <xdr:row>19</xdr:row>
      <xdr:rowOff>36739</xdr:rowOff>
    </xdr:to>
    <xdr:cxnSp macro="">
      <xdr:nvCxnSpPr>
        <xdr:cNvPr id="4" name="Straight Arrow Connector 3">
          <a:extLst>
            <a:ext uri="{FF2B5EF4-FFF2-40B4-BE49-F238E27FC236}">
              <a16:creationId xmlns:a16="http://schemas.microsoft.com/office/drawing/2014/main" id="{ECE8BB64-8EA1-4C87-A88B-044D0F88239B}"/>
            </a:ext>
          </a:extLst>
        </xdr:cNvPr>
        <xdr:cNvCxnSpPr/>
      </xdr:nvCxnSpPr>
      <xdr:spPr>
        <a:xfrm>
          <a:off x="16240125" y="2730500"/>
          <a:ext cx="210912" cy="20877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19</xdr:row>
      <xdr:rowOff>84818</xdr:rowOff>
    </xdr:from>
    <xdr:to>
      <xdr:col>14</xdr:col>
      <xdr:colOff>152400</xdr:colOff>
      <xdr:row>19</xdr:row>
      <xdr:rowOff>84818</xdr:rowOff>
    </xdr:to>
    <xdr:cxnSp macro="">
      <xdr:nvCxnSpPr>
        <xdr:cNvPr id="5" name="Straight Arrow Connector 4">
          <a:extLst>
            <a:ext uri="{FF2B5EF4-FFF2-40B4-BE49-F238E27FC236}">
              <a16:creationId xmlns:a16="http://schemas.microsoft.com/office/drawing/2014/main" id="{4B3CE7FD-F316-4E3B-A272-527A8069F06C}"/>
            </a:ext>
          </a:extLst>
        </xdr:cNvPr>
        <xdr:cNvCxnSpPr/>
      </xdr:nvCxnSpPr>
      <xdr:spPr>
        <a:xfrm>
          <a:off x="16250557" y="4869543"/>
          <a:ext cx="14196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xdr:row>
      <xdr:rowOff>79694</xdr:rowOff>
    </xdr:from>
    <xdr:to>
      <xdr:col>14</xdr:col>
      <xdr:colOff>590550</xdr:colOff>
      <xdr:row>4</xdr:row>
      <xdr:rowOff>514350</xdr:rowOff>
    </xdr:to>
    <xdr:cxnSp macro="">
      <xdr:nvCxnSpPr>
        <xdr:cNvPr id="6" name="Straight Arrow Connector 20">
          <a:extLst>
            <a:ext uri="{FF2B5EF4-FFF2-40B4-BE49-F238E27FC236}">
              <a16:creationId xmlns:a16="http://schemas.microsoft.com/office/drawing/2014/main" id="{4A8F82B5-D725-42C1-9EF0-97EF9A39B992}"/>
            </a:ext>
          </a:extLst>
        </xdr:cNvPr>
        <xdr:cNvCxnSpPr>
          <a:cxnSpLocks/>
        </xdr:cNvCxnSpPr>
      </xdr:nvCxnSpPr>
      <xdr:spPr>
        <a:xfrm flipH="1">
          <a:off x="15722600" y="482919"/>
          <a:ext cx="1108075" cy="10791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239577</xdr:colOff>
      <xdr:row>23</xdr:row>
      <xdr:rowOff>158842</xdr:rowOff>
    </xdr:from>
    <xdr:to>
      <xdr:col>16</xdr:col>
      <xdr:colOff>523875</xdr:colOff>
      <xdr:row>27</xdr:row>
      <xdr:rowOff>87992</xdr:rowOff>
    </xdr:to>
    <xdr:sp macro="" textlink="">
      <xdr:nvSpPr>
        <xdr:cNvPr id="11" name="TextBox 9">
          <a:extLst>
            <a:ext uri="{FF2B5EF4-FFF2-40B4-BE49-F238E27FC236}">
              <a16:creationId xmlns:a16="http://schemas.microsoft.com/office/drawing/2014/main" id="{5C075DCA-271F-40EF-9F5C-18879263D695}"/>
            </a:ext>
          </a:extLst>
        </xdr:cNvPr>
        <xdr:cNvSpPr txBox="1"/>
      </xdr:nvSpPr>
      <xdr:spPr>
        <a:xfrm>
          <a:off x="16476527" y="5667467"/>
          <a:ext cx="2179773" cy="6467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511175</xdr:colOff>
      <xdr:row>2</xdr:row>
      <xdr:rowOff>171450</xdr:rowOff>
    </xdr:from>
    <xdr:to>
      <xdr:col>16</xdr:col>
      <xdr:colOff>522034</xdr:colOff>
      <xdr:row>4</xdr:row>
      <xdr:rowOff>323850</xdr:rowOff>
    </xdr:to>
    <xdr:cxnSp macro="">
      <xdr:nvCxnSpPr>
        <xdr:cNvPr id="13" name="Straight Arrow Connector 20">
          <a:extLst>
            <a:ext uri="{FF2B5EF4-FFF2-40B4-BE49-F238E27FC236}">
              <a16:creationId xmlns:a16="http://schemas.microsoft.com/office/drawing/2014/main" id="{095BDBB9-63F8-47BF-A626-2FE34EBA6207}"/>
            </a:ext>
          </a:extLst>
        </xdr:cNvPr>
        <xdr:cNvCxnSpPr>
          <a:cxnSpLocks/>
        </xdr:cNvCxnSpPr>
      </xdr:nvCxnSpPr>
      <xdr:spPr>
        <a:xfrm>
          <a:off x="1782762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533399</xdr:colOff>
      <xdr:row>0</xdr:row>
      <xdr:rowOff>152400</xdr:rowOff>
    </xdr:from>
    <xdr:to>
      <xdr:col>19</xdr:col>
      <xdr:colOff>542924</xdr:colOff>
      <xdr:row>2</xdr:row>
      <xdr:rowOff>162559</xdr:rowOff>
    </xdr:to>
    <xdr:sp macro="" textlink="">
      <xdr:nvSpPr>
        <xdr:cNvPr id="14" name="TextBox 8">
          <a:extLst>
            <a:ext uri="{FF2B5EF4-FFF2-40B4-BE49-F238E27FC236}">
              <a16:creationId xmlns:a16="http://schemas.microsoft.com/office/drawing/2014/main" id="{EA9B6294-18EC-4063-8BBA-837F105F9C33}"/>
            </a:ext>
          </a:extLst>
        </xdr:cNvPr>
        <xdr:cNvSpPr txBox="1"/>
      </xdr:nvSpPr>
      <xdr:spPr>
        <a:xfrm>
          <a:off x="16773524" y="152400"/>
          <a:ext cx="5895975"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18</xdr:col>
      <xdr:colOff>1006930</xdr:colOff>
      <xdr:row>24</xdr:row>
      <xdr:rowOff>112033</xdr:rowOff>
    </xdr:from>
    <xdr:to>
      <xdr:col>19</xdr:col>
      <xdr:colOff>530679</xdr:colOff>
      <xdr:row>25</xdr:row>
      <xdr:rowOff>146505</xdr:rowOff>
    </xdr:to>
    <xdr:cxnSp macro="">
      <xdr:nvCxnSpPr>
        <xdr:cNvPr id="23" name="Straight Arrow Connector 5">
          <a:extLst>
            <a:ext uri="{FF2B5EF4-FFF2-40B4-BE49-F238E27FC236}">
              <a16:creationId xmlns:a16="http://schemas.microsoft.com/office/drawing/2014/main" id="{B51FA11B-07F9-460F-8018-FDF6CBBC0BB1}"/>
            </a:ext>
          </a:extLst>
        </xdr:cNvPr>
        <xdr:cNvCxnSpPr/>
      </xdr:nvCxnSpPr>
      <xdr:spPr>
        <a:xfrm flipH="1">
          <a:off x="18913930" y="5772604"/>
          <a:ext cx="979713"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550645</xdr:colOff>
      <xdr:row>24</xdr:row>
      <xdr:rowOff>113957</xdr:rowOff>
    </xdr:from>
    <xdr:to>
      <xdr:col>21</xdr:col>
      <xdr:colOff>609600</xdr:colOff>
      <xdr:row>25</xdr:row>
      <xdr:rowOff>180975</xdr:rowOff>
    </xdr:to>
    <xdr:cxnSp macro="">
      <xdr:nvCxnSpPr>
        <xdr:cNvPr id="7" name="Straight Arrow Connector 5">
          <a:extLst>
            <a:ext uri="{FF2B5EF4-FFF2-40B4-BE49-F238E27FC236}">
              <a16:creationId xmlns:a16="http://schemas.microsoft.com/office/drawing/2014/main" id="{3361EDE0-9B41-49D7-9F40-16EBB2F7E66C}"/>
            </a:ext>
          </a:extLst>
        </xdr:cNvPr>
        <xdr:cNvCxnSpPr>
          <a:cxnSpLocks/>
          <a:stCxn id="5" idx="2"/>
        </xdr:cNvCxnSpPr>
      </xdr:nvCxnSpPr>
      <xdr:spPr>
        <a:xfrm>
          <a:off x="23143945" y="5971832"/>
          <a:ext cx="1573430" cy="2575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452209</xdr:colOff>
      <xdr:row>17</xdr:row>
      <xdr:rowOff>139249</xdr:rowOff>
    </xdr:from>
    <xdr:to>
      <xdr:col>21</xdr:col>
      <xdr:colOff>370567</xdr:colOff>
      <xdr:row>20</xdr:row>
      <xdr:rowOff>98426</xdr:rowOff>
    </xdr:to>
    <xdr:sp macro="" textlink="">
      <xdr:nvSpPr>
        <xdr:cNvPr id="24" name="TextBox 10">
          <a:extLst>
            <a:ext uri="{FF2B5EF4-FFF2-40B4-BE49-F238E27FC236}">
              <a16:creationId xmlns:a16="http://schemas.microsoft.com/office/drawing/2014/main" id="{1801ACB0-E066-4EFB-AAAE-16AAFB0B79BC}"/>
            </a:ext>
          </a:extLst>
        </xdr:cNvPr>
        <xdr:cNvSpPr txBox="1"/>
      </xdr:nvSpPr>
      <xdr:spPr>
        <a:xfrm>
          <a:off x="18359209" y="4561570"/>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19</xdr:row>
      <xdr:rowOff>33566</xdr:rowOff>
    </xdr:from>
    <xdr:to>
      <xdr:col>18</xdr:col>
      <xdr:colOff>449034</xdr:colOff>
      <xdr:row>19</xdr:row>
      <xdr:rowOff>95250</xdr:rowOff>
    </xdr:to>
    <xdr:cxnSp macro="">
      <xdr:nvCxnSpPr>
        <xdr:cNvPr id="27" name="Straight Arrow Connector 5">
          <a:extLst>
            <a:ext uri="{FF2B5EF4-FFF2-40B4-BE49-F238E27FC236}">
              <a16:creationId xmlns:a16="http://schemas.microsoft.com/office/drawing/2014/main" id="{8B181D14-312F-4789-9BA3-D328D51F14A2}"/>
            </a:ext>
          </a:extLst>
        </xdr:cNvPr>
        <xdr:cNvCxnSpPr>
          <a:stCxn id="24" idx="1"/>
        </xdr:cNvCxnSpPr>
      </xdr:nvCxnSpPr>
      <xdr:spPr>
        <a:xfrm flipH="1">
          <a:off x="17907000" y="4809673"/>
          <a:ext cx="449034" cy="616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1129393</xdr:colOff>
      <xdr:row>21</xdr:row>
      <xdr:rowOff>13607</xdr:rowOff>
    </xdr:from>
    <xdr:to>
      <xdr:col>21</xdr:col>
      <xdr:colOff>1219671</xdr:colOff>
      <xdr:row>24</xdr:row>
      <xdr:rowOff>113957</xdr:rowOff>
    </xdr:to>
    <xdr:sp macro="" textlink="">
      <xdr:nvSpPr>
        <xdr:cNvPr id="5" name="TextBox 27">
          <a:extLst>
            <a:ext uri="{FF2B5EF4-FFF2-40B4-BE49-F238E27FC236}">
              <a16:creationId xmlns:a16="http://schemas.microsoft.com/office/drawing/2014/main" id="{FCCC0763-C3C3-4C76-83BD-EADACC1189F7}"/>
            </a:ext>
          </a:extLst>
        </xdr:cNvPr>
        <xdr:cNvSpPr txBox="1"/>
      </xdr:nvSpPr>
      <xdr:spPr>
        <a:xfrm>
          <a:off x="19036393" y="5334000"/>
          <a:ext cx="4131599"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D110BD77-031C-44FD-89D8-B2B7D5816B9D}"/>
            </a:ext>
          </a:extLst>
        </xdr:cNvPr>
        <xdr:cNvSpPr txBox="1"/>
      </xdr:nvSpPr>
      <xdr:spPr>
        <a:xfrm>
          <a:off x="286871" y="1093694"/>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E31F5545-D417-406E-AE7C-479BAC53059D}"/>
            </a:ext>
          </a:extLst>
        </xdr:cNvPr>
        <xdr:cNvCxnSpPr>
          <a:stCxn id="13"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4" name="Straight Arrow Connector 3">
          <a:extLst>
            <a:ext uri="{FF2B5EF4-FFF2-40B4-BE49-F238E27FC236}">
              <a16:creationId xmlns:a16="http://schemas.microsoft.com/office/drawing/2014/main" id="{D6CA74F6-B52E-4E5E-9EA8-FF1528785B8B}"/>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8" name="Straight Arrow Connector 7">
          <a:extLst>
            <a:ext uri="{FF2B5EF4-FFF2-40B4-BE49-F238E27FC236}">
              <a16:creationId xmlns:a16="http://schemas.microsoft.com/office/drawing/2014/main" id="{76AFCC32-DF66-40AC-BEB7-BA66F1ACB277}"/>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0" name="Straight Arrow Connector 20">
          <a:extLst>
            <a:ext uri="{FF2B5EF4-FFF2-40B4-BE49-F238E27FC236}">
              <a16:creationId xmlns:a16="http://schemas.microsoft.com/office/drawing/2014/main" id="{B02D0442-7FD3-43C6-9021-D2F5D5642703}"/>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3" name="TextBox 12">
          <a:extLst>
            <a:ext uri="{FF2B5EF4-FFF2-40B4-BE49-F238E27FC236}">
              <a16:creationId xmlns:a16="http://schemas.microsoft.com/office/drawing/2014/main" id="{658FE69D-A80C-4A63-82EC-F633E68431B9}"/>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152400</xdr:rowOff>
    </xdr:from>
    <xdr:to>
      <xdr:col>16</xdr:col>
      <xdr:colOff>502984</xdr:colOff>
      <xdr:row>4</xdr:row>
      <xdr:rowOff>304800</xdr:rowOff>
    </xdr:to>
    <xdr:cxnSp macro="">
      <xdr:nvCxnSpPr>
        <xdr:cNvPr id="14" name="Straight Arrow Connector 13">
          <a:extLst>
            <a:ext uri="{FF2B5EF4-FFF2-40B4-BE49-F238E27FC236}">
              <a16:creationId xmlns:a16="http://schemas.microsoft.com/office/drawing/2014/main" id="{B6EB7EBF-38E0-44B6-A2D5-43AFDB82D192}"/>
            </a:ext>
          </a:extLst>
        </xdr:cNvPr>
        <xdr:cNvCxnSpPr>
          <a:cxnSpLocks/>
        </xdr:cNvCxnSpPr>
      </xdr:nvCxnSpPr>
      <xdr:spPr>
        <a:xfrm>
          <a:off x="17894300"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447675</xdr:colOff>
      <xdr:row>0</xdr:row>
      <xdr:rowOff>142875</xdr:rowOff>
    </xdr:from>
    <xdr:to>
      <xdr:col>18</xdr:col>
      <xdr:colOff>1358900</xdr:colOff>
      <xdr:row>2</xdr:row>
      <xdr:rowOff>149859</xdr:rowOff>
    </xdr:to>
    <xdr:sp macro="" textlink="">
      <xdr:nvSpPr>
        <xdr:cNvPr id="15" name="TextBox 8">
          <a:extLst>
            <a:ext uri="{FF2B5EF4-FFF2-40B4-BE49-F238E27FC236}">
              <a16:creationId xmlns:a16="http://schemas.microsoft.com/office/drawing/2014/main" id="{D6288D0A-A7D6-4384-80B5-16FCF310CEDE}"/>
            </a:ext>
          </a:extLst>
        </xdr:cNvPr>
        <xdr:cNvSpPr txBox="1"/>
      </xdr:nvSpPr>
      <xdr:spPr>
        <a:xfrm>
          <a:off x="16687800" y="142875"/>
          <a:ext cx="544512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800100</xdr:colOff>
      <xdr:row>9</xdr:row>
      <xdr:rowOff>28575</xdr:rowOff>
    </xdr:from>
    <xdr:to>
      <xdr:col>15</xdr:col>
      <xdr:colOff>479653</xdr:colOff>
      <xdr:row>14</xdr:row>
      <xdr:rowOff>0</xdr:rowOff>
    </xdr:to>
    <xdr:cxnSp macro="">
      <xdr:nvCxnSpPr>
        <xdr:cNvPr id="18" name="Straight Arrow Connector 5">
          <a:extLst>
            <a:ext uri="{FF2B5EF4-FFF2-40B4-BE49-F238E27FC236}">
              <a16:creationId xmlns:a16="http://schemas.microsoft.com/office/drawing/2014/main" id="{07FDAC49-1749-42D3-B32D-1A05A48FE9A1}"/>
            </a:ext>
          </a:extLst>
        </xdr:cNvPr>
        <xdr:cNvCxnSpPr>
          <a:stCxn id="17" idx="0"/>
        </xdr:cNvCxnSpPr>
      </xdr:nvCxnSpPr>
      <xdr:spPr>
        <a:xfrm flipH="1" flipV="1">
          <a:off x="17040225" y="3000375"/>
          <a:ext cx="936853" cy="8763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30069</xdr:colOff>
      <xdr:row>7</xdr:row>
      <xdr:rowOff>104402</xdr:rowOff>
    </xdr:from>
    <xdr:to>
      <xdr:col>14</xdr:col>
      <xdr:colOff>219075</xdr:colOff>
      <xdr:row>8</xdr:row>
      <xdr:rowOff>0</xdr:rowOff>
    </xdr:to>
    <xdr:cxnSp macro="">
      <xdr:nvCxnSpPr>
        <xdr:cNvPr id="52" name="Straight Arrow Connector 2">
          <a:extLst>
            <a:ext uri="{FF2B5EF4-FFF2-40B4-BE49-F238E27FC236}">
              <a16:creationId xmlns:a16="http://schemas.microsoft.com/office/drawing/2014/main" id="{0505E263-DBE2-40CE-B730-B5FCFA0489CB}"/>
            </a:ext>
          </a:extLst>
        </xdr:cNvPr>
        <xdr:cNvCxnSpPr/>
      </xdr:nvCxnSpPr>
      <xdr:spPr>
        <a:xfrm>
          <a:off x="16270194" y="2714252"/>
          <a:ext cx="189006" cy="7657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981795</xdr:colOff>
      <xdr:row>8</xdr:row>
      <xdr:rowOff>104775</xdr:rowOff>
    </xdr:from>
    <xdr:to>
      <xdr:col>14</xdr:col>
      <xdr:colOff>142875</xdr:colOff>
      <xdr:row>8</xdr:row>
      <xdr:rowOff>105363</xdr:rowOff>
    </xdr:to>
    <xdr:cxnSp macro="">
      <xdr:nvCxnSpPr>
        <xdr:cNvPr id="4" name="Straight Arrow Connector 3">
          <a:extLst>
            <a:ext uri="{FF2B5EF4-FFF2-40B4-BE49-F238E27FC236}">
              <a16:creationId xmlns:a16="http://schemas.microsoft.com/office/drawing/2014/main" id="{F69F2837-8C3D-4C40-834C-8B36B6F49555}"/>
            </a:ext>
          </a:extLst>
        </xdr:cNvPr>
        <xdr:cNvCxnSpPr/>
      </xdr:nvCxnSpPr>
      <xdr:spPr>
        <a:xfrm flipV="1">
          <a:off x="16221795" y="2895600"/>
          <a:ext cx="161205" cy="5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495300</xdr:colOff>
      <xdr:row>1</xdr:row>
      <xdr:rowOff>92710</xdr:rowOff>
    </xdr:from>
    <xdr:to>
      <xdr:col>14</xdr:col>
      <xdr:colOff>818243</xdr:colOff>
      <xdr:row>4</xdr:row>
      <xdr:rowOff>304800</xdr:rowOff>
    </xdr:to>
    <xdr:cxnSp macro="">
      <xdr:nvCxnSpPr>
        <xdr:cNvPr id="23" name="Straight Arrow Connector 20">
          <a:extLst>
            <a:ext uri="{FF2B5EF4-FFF2-40B4-BE49-F238E27FC236}">
              <a16:creationId xmlns:a16="http://schemas.microsoft.com/office/drawing/2014/main" id="{19757E8C-0B89-4888-9652-784353339AE2}"/>
            </a:ext>
          </a:extLst>
        </xdr:cNvPr>
        <xdr:cNvCxnSpPr>
          <a:cxnSpLocks/>
        </xdr:cNvCxnSpPr>
      </xdr:nvCxnSpPr>
      <xdr:spPr>
        <a:xfrm flipH="1">
          <a:off x="15735300" y="492760"/>
          <a:ext cx="1323068" cy="8597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27214</xdr:colOff>
      <xdr:row>8</xdr:row>
      <xdr:rowOff>163285</xdr:rowOff>
    </xdr:from>
    <xdr:to>
      <xdr:col>18</xdr:col>
      <xdr:colOff>752475</xdr:colOff>
      <xdr:row>10</xdr:row>
      <xdr:rowOff>57433</xdr:rowOff>
    </xdr:to>
    <xdr:cxnSp macro="">
      <xdr:nvCxnSpPr>
        <xdr:cNvPr id="27" name="Straight Arrow Connector 5">
          <a:extLst>
            <a:ext uri="{FF2B5EF4-FFF2-40B4-BE49-F238E27FC236}">
              <a16:creationId xmlns:a16="http://schemas.microsoft.com/office/drawing/2014/main" id="{C0AC9BDE-DDC7-4A77-AFF4-FBCD6D279DA0}"/>
            </a:ext>
          </a:extLst>
        </xdr:cNvPr>
        <xdr:cNvCxnSpPr>
          <a:stCxn id="26" idx="1"/>
        </xdr:cNvCxnSpPr>
      </xdr:nvCxnSpPr>
      <xdr:spPr>
        <a:xfrm flipH="1" flipV="1">
          <a:off x="17607643" y="2898321"/>
          <a:ext cx="725261" cy="2479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625930</xdr:colOff>
      <xdr:row>14</xdr:row>
      <xdr:rowOff>0</xdr:rowOff>
    </xdr:from>
    <xdr:to>
      <xdr:col>16</xdr:col>
      <xdr:colOff>876301</xdr:colOff>
      <xdr:row>17</xdr:row>
      <xdr:rowOff>122121</xdr:rowOff>
    </xdr:to>
    <xdr:sp macro="" textlink="">
      <xdr:nvSpPr>
        <xdr:cNvPr id="17" name="TextBox 7">
          <a:extLst>
            <a:ext uri="{FF2B5EF4-FFF2-40B4-BE49-F238E27FC236}">
              <a16:creationId xmlns:a16="http://schemas.microsoft.com/office/drawing/2014/main" id="{C9976646-2627-4D15-BA6D-E48CE95455A3}"/>
            </a:ext>
          </a:extLst>
        </xdr:cNvPr>
        <xdr:cNvSpPr txBox="1"/>
      </xdr:nvSpPr>
      <xdr:spPr>
        <a:xfrm>
          <a:off x="16866055" y="3876675"/>
          <a:ext cx="2222046" cy="66504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19</xdr:col>
      <xdr:colOff>1173390</xdr:colOff>
      <xdr:row>16</xdr:row>
      <xdr:rowOff>81642</xdr:rowOff>
    </xdr:from>
    <xdr:to>
      <xdr:col>19</xdr:col>
      <xdr:colOff>1224643</xdr:colOff>
      <xdr:row>19</xdr:row>
      <xdr:rowOff>95250</xdr:rowOff>
    </xdr:to>
    <xdr:cxnSp macro="">
      <xdr:nvCxnSpPr>
        <xdr:cNvPr id="21" name="Straight Arrow Connector 5">
          <a:extLst>
            <a:ext uri="{FF2B5EF4-FFF2-40B4-BE49-F238E27FC236}">
              <a16:creationId xmlns:a16="http://schemas.microsoft.com/office/drawing/2014/main" id="{4B6D7A75-61D7-4776-846B-405C09838AE4}"/>
            </a:ext>
          </a:extLst>
        </xdr:cNvPr>
        <xdr:cNvCxnSpPr>
          <a:cxnSpLocks/>
        </xdr:cNvCxnSpPr>
      </xdr:nvCxnSpPr>
      <xdr:spPr>
        <a:xfrm flipH="1">
          <a:off x="20209783" y="4231821"/>
          <a:ext cx="51253" cy="36739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1037318</xdr:colOff>
      <xdr:row>16</xdr:row>
      <xdr:rowOff>95250</xdr:rowOff>
    </xdr:from>
    <xdr:to>
      <xdr:col>19</xdr:col>
      <xdr:colOff>1265464</xdr:colOff>
      <xdr:row>19</xdr:row>
      <xdr:rowOff>84818</xdr:rowOff>
    </xdr:to>
    <xdr:cxnSp macro="">
      <xdr:nvCxnSpPr>
        <xdr:cNvPr id="20" name="Straight Arrow Connector 5">
          <a:extLst>
            <a:ext uri="{FF2B5EF4-FFF2-40B4-BE49-F238E27FC236}">
              <a16:creationId xmlns:a16="http://schemas.microsoft.com/office/drawing/2014/main" id="{6F19FA99-90EE-4503-82B4-4A4B5C830447}"/>
            </a:ext>
          </a:extLst>
        </xdr:cNvPr>
        <xdr:cNvCxnSpPr>
          <a:cxnSpLocks/>
        </xdr:cNvCxnSpPr>
      </xdr:nvCxnSpPr>
      <xdr:spPr>
        <a:xfrm flipH="1">
          <a:off x="18617747" y="4245429"/>
          <a:ext cx="1684110" cy="34335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549057</xdr:colOff>
      <xdr:row>16</xdr:row>
      <xdr:rowOff>93092</xdr:rowOff>
    </xdr:from>
    <xdr:to>
      <xdr:col>21</xdr:col>
      <xdr:colOff>914400</xdr:colOff>
      <xdr:row>19</xdr:row>
      <xdr:rowOff>28575</xdr:rowOff>
    </xdr:to>
    <xdr:cxnSp macro="">
      <xdr:nvCxnSpPr>
        <xdr:cNvPr id="19" name="Straight Arrow Connector 5">
          <a:extLst>
            <a:ext uri="{FF2B5EF4-FFF2-40B4-BE49-F238E27FC236}">
              <a16:creationId xmlns:a16="http://schemas.microsoft.com/office/drawing/2014/main" id="{668DC8BE-1065-4D7E-8CC4-EC84DF4E3D66}"/>
            </a:ext>
          </a:extLst>
        </xdr:cNvPr>
        <xdr:cNvCxnSpPr>
          <a:cxnSpLocks/>
          <a:stCxn id="15" idx="2"/>
        </xdr:cNvCxnSpPr>
      </xdr:nvCxnSpPr>
      <xdr:spPr>
        <a:xfrm>
          <a:off x="23123307" y="4426967"/>
          <a:ext cx="1879818" cy="7165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755650</xdr:colOff>
      <xdr:row>8</xdr:row>
      <xdr:rowOff>84818</xdr:rowOff>
    </xdr:from>
    <xdr:to>
      <xdr:col>20</xdr:col>
      <xdr:colOff>453118</xdr:colOff>
      <xdr:row>12</xdr:row>
      <xdr:rowOff>30046</xdr:rowOff>
    </xdr:to>
    <xdr:sp macro="" textlink="">
      <xdr:nvSpPr>
        <xdr:cNvPr id="26" name="TextBox 13">
          <a:extLst>
            <a:ext uri="{FF2B5EF4-FFF2-40B4-BE49-F238E27FC236}">
              <a16:creationId xmlns:a16="http://schemas.microsoft.com/office/drawing/2014/main" id="{CC559CFE-75F6-4C6B-ADF9-C65FA34C5889}"/>
            </a:ext>
          </a:extLst>
        </xdr:cNvPr>
        <xdr:cNvSpPr txBox="1"/>
      </xdr:nvSpPr>
      <xdr:spPr>
        <a:xfrm>
          <a:off x="18336079" y="2819854"/>
          <a:ext cx="2609396" cy="652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1129393</xdr:colOff>
      <xdr:row>12</xdr:row>
      <xdr:rowOff>163286</xdr:rowOff>
    </xdr:from>
    <xdr:to>
      <xdr:col>21</xdr:col>
      <xdr:colOff>1216496</xdr:colOff>
      <xdr:row>16</xdr:row>
      <xdr:rowOff>93092</xdr:rowOff>
    </xdr:to>
    <xdr:sp macro="" textlink="">
      <xdr:nvSpPr>
        <xdr:cNvPr id="15" name="TextBox 27">
          <a:extLst>
            <a:ext uri="{FF2B5EF4-FFF2-40B4-BE49-F238E27FC236}">
              <a16:creationId xmlns:a16="http://schemas.microsoft.com/office/drawing/2014/main" id="{93DFB5A5-654C-4942-90B4-7E2041EDCAB6}"/>
            </a:ext>
          </a:extLst>
        </xdr:cNvPr>
        <xdr:cNvSpPr txBox="1"/>
      </xdr:nvSpPr>
      <xdr:spPr>
        <a:xfrm>
          <a:off x="18709822" y="3605893"/>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803274</xdr:colOff>
      <xdr:row>78</xdr:row>
      <xdr:rowOff>168275</xdr:rowOff>
    </xdr:from>
    <xdr:to>
      <xdr:col>7</xdr:col>
      <xdr:colOff>692602</xdr:colOff>
      <xdr:row>81</xdr:row>
      <xdr:rowOff>102054</xdr:rowOff>
    </xdr:to>
    <xdr:sp macro="" textlink="">
      <xdr:nvSpPr>
        <xdr:cNvPr id="28" name="TextBox 7">
          <a:extLst>
            <a:ext uri="{FF2B5EF4-FFF2-40B4-BE49-F238E27FC236}">
              <a16:creationId xmlns:a16="http://schemas.microsoft.com/office/drawing/2014/main" id="{26E4BCA4-CEA2-4227-8BA4-78E96A04EA76}"/>
            </a:ext>
          </a:extLst>
        </xdr:cNvPr>
        <xdr:cNvSpPr txBox="1"/>
      </xdr:nvSpPr>
      <xdr:spPr>
        <a:xfrm>
          <a:off x="7156449" y="16951325"/>
          <a:ext cx="2984953" cy="4767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a:t>
          </a:r>
          <a:endParaRPr lang="en-GB" sz="1100"/>
        </a:p>
      </xdr:txBody>
    </xdr:sp>
    <xdr:clientData/>
  </xdr:twoCellAnchor>
  <xdr:twoCellAnchor>
    <xdr:from>
      <xdr:col>5</xdr:col>
      <xdr:colOff>95250</xdr:colOff>
      <xdr:row>78</xdr:row>
      <xdr:rowOff>133351</xdr:rowOff>
    </xdr:from>
    <xdr:to>
      <xdr:col>5</xdr:col>
      <xdr:colOff>803274</xdr:colOff>
      <xdr:row>80</xdr:row>
      <xdr:rowOff>46718</xdr:rowOff>
    </xdr:to>
    <xdr:cxnSp macro="">
      <xdr:nvCxnSpPr>
        <xdr:cNvPr id="22" name="Straight Arrow Connector 5">
          <a:extLst>
            <a:ext uri="{FF2B5EF4-FFF2-40B4-BE49-F238E27FC236}">
              <a16:creationId xmlns:a16="http://schemas.microsoft.com/office/drawing/2014/main" id="{7334CF8C-4D3F-4780-AF4E-8976FD202B5C}"/>
            </a:ext>
          </a:extLst>
        </xdr:cNvPr>
        <xdr:cNvCxnSpPr>
          <a:stCxn id="28" idx="1"/>
        </xdr:cNvCxnSpPr>
      </xdr:nvCxnSpPr>
      <xdr:spPr>
        <a:xfrm flipH="1" flipV="1">
          <a:off x="6354536" y="16638815"/>
          <a:ext cx="708024" cy="26715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24" name="TextBox 17">
          <a:extLst>
            <a:ext uri="{FF2B5EF4-FFF2-40B4-BE49-F238E27FC236}">
              <a16:creationId xmlns:a16="http://schemas.microsoft.com/office/drawing/2014/main" id="{B59DBD54-72C3-4C98-AB3C-D56D6A297801}"/>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828675</xdr:colOff>
      <xdr:row>0</xdr:row>
      <xdr:rowOff>152400</xdr:rowOff>
    </xdr:from>
    <xdr:to>
      <xdr:col>19</xdr:col>
      <xdr:colOff>304800</xdr:colOff>
      <xdr:row>2</xdr:row>
      <xdr:rowOff>159384</xdr:rowOff>
    </xdr:to>
    <xdr:sp macro="" textlink="">
      <xdr:nvSpPr>
        <xdr:cNvPr id="8" name="TextBox 8">
          <a:extLst>
            <a:ext uri="{FF2B5EF4-FFF2-40B4-BE49-F238E27FC236}">
              <a16:creationId xmlns:a16="http://schemas.microsoft.com/office/drawing/2014/main" id="{BD73216F-A3B8-4133-AF2C-161ED07A95D0}"/>
            </a:ext>
          </a:extLst>
        </xdr:cNvPr>
        <xdr:cNvSpPr txBox="1"/>
      </xdr:nvSpPr>
      <xdr:spPr>
        <a:xfrm>
          <a:off x="17068800" y="152400"/>
          <a:ext cx="5438775"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16</xdr:col>
      <xdr:colOff>539750</xdr:colOff>
      <xdr:row>2</xdr:row>
      <xdr:rowOff>171450</xdr:rowOff>
    </xdr:from>
    <xdr:to>
      <xdr:col>16</xdr:col>
      <xdr:colOff>550609</xdr:colOff>
      <xdr:row>4</xdr:row>
      <xdr:rowOff>323850</xdr:rowOff>
    </xdr:to>
    <xdr:cxnSp macro="">
      <xdr:nvCxnSpPr>
        <xdr:cNvPr id="2" name="Straight Arrow Connector 1">
          <a:extLst>
            <a:ext uri="{FF2B5EF4-FFF2-40B4-BE49-F238E27FC236}">
              <a16:creationId xmlns:a16="http://schemas.microsoft.com/office/drawing/2014/main" id="{530B4C49-6948-4312-A758-7B498DADC9FC}"/>
            </a:ext>
          </a:extLst>
        </xdr:cNvPr>
        <xdr:cNvCxnSpPr>
          <a:cxnSpLocks/>
        </xdr:cNvCxnSpPr>
      </xdr:nvCxnSpPr>
      <xdr:spPr>
        <a:xfrm>
          <a:off x="1792287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24</xdr:col>
      <xdr:colOff>215356</xdr:colOff>
      <xdr:row>34</xdr:row>
      <xdr:rowOff>47262</xdr:rowOff>
    </xdr:from>
    <xdr:to>
      <xdr:col>34</xdr:col>
      <xdr:colOff>92257</xdr:colOff>
      <xdr:row>37</xdr:row>
      <xdr:rowOff>13804</xdr:rowOff>
    </xdr:to>
    <xdr:sp macro="" textlink="">
      <xdr:nvSpPr>
        <xdr:cNvPr id="16" name="Rectangle 1">
          <a:extLst>
            <a:ext uri="{FF2B5EF4-FFF2-40B4-BE49-F238E27FC236}">
              <a16:creationId xmlns:a16="http://schemas.microsoft.com/office/drawing/2014/main" id="{C2F66BA8-3FB3-4932-8013-97BB37B713F0}"/>
            </a:ext>
          </a:extLst>
        </xdr:cNvPr>
        <xdr:cNvSpPr/>
      </xdr:nvSpPr>
      <xdr:spPr>
        <a:xfrm>
          <a:off x="24842313" y="7280740"/>
          <a:ext cx="4846466" cy="50491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n-GB" sz="1100">
              <a:solidFill>
                <a:schemeClr val="lt1"/>
              </a:solidFill>
              <a:effectLst/>
              <a:latin typeface="+mn-lt"/>
              <a:ea typeface="+mn-ea"/>
              <a:cs typeface="+mn-cs"/>
            </a:rPr>
            <a:t>If dLUC</a:t>
          </a:r>
          <a:r>
            <a:rPr lang="en-GB" sz="1100" baseline="0">
              <a:solidFill>
                <a:schemeClr val="lt1"/>
              </a:solidFill>
              <a:effectLst/>
              <a:latin typeface="+mn-lt"/>
              <a:ea typeface="+mn-ea"/>
              <a:cs typeface="+mn-cs"/>
            </a:rPr>
            <a:t> emissions </a:t>
          </a:r>
          <a:r>
            <a:rPr lang="en-GB" sz="1100">
              <a:solidFill>
                <a:schemeClr val="lt1"/>
              </a:solidFill>
              <a:effectLst/>
              <a:latin typeface="+mn-lt"/>
              <a:ea typeface="+mn-ea"/>
              <a:cs typeface="+mn-cs"/>
            </a:rPr>
            <a:t>are unknown, see the Guidance Feedstock dLUC</a:t>
          </a:r>
          <a:r>
            <a:rPr lang="en-GB" sz="1100" baseline="0">
              <a:solidFill>
                <a:schemeClr val="lt1"/>
              </a:solidFill>
              <a:effectLst/>
              <a:latin typeface="+mn-lt"/>
              <a:ea typeface="+mn-ea"/>
              <a:cs typeface="+mn-cs"/>
            </a:rPr>
            <a:t> worksheet</a:t>
          </a:r>
          <a:r>
            <a:rPr lang="en-GB" sz="1100">
              <a:solidFill>
                <a:schemeClr val="lt1"/>
              </a:solidFill>
              <a:effectLst/>
              <a:latin typeface="+mn-lt"/>
              <a:ea typeface="+mn-ea"/>
              <a:cs typeface="+mn-cs"/>
            </a:rPr>
            <a:t> for instructions on how to calculate this</a:t>
          </a:r>
          <a:endParaRPr lang="en-GB">
            <a:effectLst/>
          </a:endParaRPr>
        </a:p>
      </xdr:txBody>
    </xdr:sp>
    <xdr:clientData/>
  </xdr:twoCellAnchor>
  <xdr:twoCellAnchor>
    <xdr:from>
      <xdr:col>13</xdr:col>
      <xdr:colOff>420205</xdr:colOff>
      <xdr:row>1</xdr:row>
      <xdr:rowOff>161925</xdr:rowOff>
    </xdr:from>
    <xdr:to>
      <xdr:col>14</xdr:col>
      <xdr:colOff>295275</xdr:colOff>
      <xdr:row>4</xdr:row>
      <xdr:rowOff>436770</xdr:rowOff>
    </xdr:to>
    <xdr:cxnSp macro="">
      <xdr:nvCxnSpPr>
        <xdr:cNvPr id="15" name="Straight Arrow Connector 20">
          <a:extLst>
            <a:ext uri="{FF2B5EF4-FFF2-40B4-BE49-F238E27FC236}">
              <a16:creationId xmlns:a16="http://schemas.microsoft.com/office/drawing/2014/main" id="{1CCF9DE9-FA75-4636-A3B0-A83120C2C02A}"/>
            </a:ext>
          </a:extLst>
        </xdr:cNvPr>
        <xdr:cNvCxnSpPr>
          <a:cxnSpLocks/>
        </xdr:cNvCxnSpPr>
      </xdr:nvCxnSpPr>
      <xdr:spPr>
        <a:xfrm flipH="1">
          <a:off x="15945955" y="561975"/>
          <a:ext cx="875195" cy="92254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1219200</xdr:colOff>
      <xdr:row>18</xdr:row>
      <xdr:rowOff>9526</xdr:rowOff>
    </xdr:from>
    <xdr:to>
      <xdr:col>20</xdr:col>
      <xdr:colOff>261485</xdr:colOff>
      <xdr:row>19</xdr:row>
      <xdr:rowOff>76200</xdr:rowOff>
    </xdr:to>
    <xdr:cxnSp macro="">
      <xdr:nvCxnSpPr>
        <xdr:cNvPr id="17" name="Straight Arrow Connector 5">
          <a:extLst>
            <a:ext uri="{FF2B5EF4-FFF2-40B4-BE49-F238E27FC236}">
              <a16:creationId xmlns:a16="http://schemas.microsoft.com/office/drawing/2014/main" id="{C876CCB3-FC63-48F5-9BD4-0615D07155D2}"/>
            </a:ext>
          </a:extLst>
        </xdr:cNvPr>
        <xdr:cNvCxnSpPr>
          <a:stCxn id="10" idx="0"/>
        </xdr:cNvCxnSpPr>
      </xdr:nvCxnSpPr>
      <xdr:spPr>
        <a:xfrm flipH="1">
          <a:off x="20831175" y="4610101"/>
          <a:ext cx="3166610" cy="2476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736126</xdr:colOff>
      <xdr:row>23</xdr:row>
      <xdr:rowOff>6488</xdr:rowOff>
    </xdr:from>
    <xdr:to>
      <xdr:col>19</xdr:col>
      <xdr:colOff>562369</xdr:colOff>
      <xdr:row>25</xdr:row>
      <xdr:rowOff>147866</xdr:rowOff>
    </xdr:to>
    <xdr:cxnSp macro="">
      <xdr:nvCxnSpPr>
        <xdr:cNvPr id="19" name="Straight Arrow Connector 5">
          <a:extLst>
            <a:ext uri="{FF2B5EF4-FFF2-40B4-BE49-F238E27FC236}">
              <a16:creationId xmlns:a16="http://schemas.microsoft.com/office/drawing/2014/main" id="{B56F0A9E-B067-4423-A6C4-73E97C29D93F}"/>
            </a:ext>
          </a:extLst>
        </xdr:cNvPr>
        <xdr:cNvCxnSpPr/>
      </xdr:nvCxnSpPr>
      <xdr:spPr>
        <a:xfrm flipH="1">
          <a:off x="18750800" y="5417792"/>
          <a:ext cx="1289504"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547805</xdr:colOff>
      <xdr:row>25</xdr:row>
      <xdr:rowOff>19909</xdr:rowOff>
    </xdr:from>
    <xdr:to>
      <xdr:col>21</xdr:col>
      <xdr:colOff>228600</xdr:colOff>
      <xdr:row>26</xdr:row>
      <xdr:rowOff>0</xdr:rowOff>
    </xdr:to>
    <xdr:cxnSp macro="">
      <xdr:nvCxnSpPr>
        <xdr:cNvPr id="6" name="Straight Arrow Connector 5">
          <a:extLst>
            <a:ext uri="{FF2B5EF4-FFF2-40B4-BE49-F238E27FC236}">
              <a16:creationId xmlns:a16="http://schemas.microsoft.com/office/drawing/2014/main" id="{BDCD8772-E195-4A80-B534-68E098D863F6}"/>
            </a:ext>
          </a:extLst>
        </xdr:cNvPr>
        <xdr:cNvCxnSpPr>
          <a:stCxn id="3" idx="2"/>
        </xdr:cNvCxnSpPr>
      </xdr:nvCxnSpPr>
      <xdr:spPr>
        <a:xfrm>
          <a:off x="23207780" y="6068284"/>
          <a:ext cx="1195270" cy="17059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513444</xdr:colOff>
      <xdr:row>18</xdr:row>
      <xdr:rowOff>9526</xdr:rowOff>
    </xdr:from>
    <xdr:to>
      <xdr:col>21</xdr:col>
      <xdr:colOff>1314450</xdr:colOff>
      <xdr:row>20</xdr:row>
      <xdr:rowOff>85725</xdr:rowOff>
    </xdr:to>
    <xdr:sp macro="" textlink="">
      <xdr:nvSpPr>
        <xdr:cNvPr id="10" name="TextBox 9">
          <a:extLst>
            <a:ext uri="{FF2B5EF4-FFF2-40B4-BE49-F238E27FC236}">
              <a16:creationId xmlns:a16="http://schemas.microsoft.com/office/drawing/2014/main" id="{EF99538E-8A62-4665-9A15-5E4270030B72}"/>
            </a:ext>
          </a:extLst>
        </xdr:cNvPr>
        <xdr:cNvSpPr txBox="1"/>
      </xdr:nvSpPr>
      <xdr:spPr>
        <a:xfrm>
          <a:off x="21354144" y="4610101"/>
          <a:ext cx="5287281" cy="4381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1151007</xdr:colOff>
      <xdr:row>21</xdr:row>
      <xdr:rowOff>105051</xdr:rowOff>
    </xdr:from>
    <xdr:to>
      <xdr:col>21</xdr:col>
      <xdr:colOff>1192378</xdr:colOff>
      <xdr:row>25</xdr:row>
      <xdr:rowOff>19909</xdr:rowOff>
    </xdr:to>
    <xdr:sp macro="" textlink="">
      <xdr:nvSpPr>
        <xdr:cNvPr id="3" name="TextBox 27">
          <a:extLst>
            <a:ext uri="{FF2B5EF4-FFF2-40B4-BE49-F238E27FC236}">
              <a16:creationId xmlns:a16="http://schemas.microsoft.com/office/drawing/2014/main" id="{6E200BA0-FC70-493F-99C2-237EA9AE9588}"/>
            </a:ext>
          </a:extLst>
        </xdr:cNvPr>
        <xdr:cNvSpPr txBox="1"/>
      </xdr:nvSpPr>
      <xdr:spPr>
        <a:xfrm>
          <a:off x="21048732" y="5391426"/>
          <a:ext cx="4318096" cy="6768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4" name="TextBox 17">
          <a:extLst>
            <a:ext uri="{FF2B5EF4-FFF2-40B4-BE49-F238E27FC236}">
              <a16:creationId xmlns:a16="http://schemas.microsoft.com/office/drawing/2014/main" id="{F0C98D19-1B1A-4FEA-B585-98B222773186}"/>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502984</xdr:colOff>
      <xdr:row>2</xdr:row>
      <xdr:rowOff>161925</xdr:rowOff>
    </xdr:from>
    <xdr:to>
      <xdr:col>16</xdr:col>
      <xdr:colOff>514350</xdr:colOff>
      <xdr:row>4</xdr:row>
      <xdr:rowOff>342900</xdr:rowOff>
    </xdr:to>
    <xdr:cxnSp macro="">
      <xdr:nvCxnSpPr>
        <xdr:cNvPr id="26" name="Straight Arrow Connector 25">
          <a:extLst>
            <a:ext uri="{FF2B5EF4-FFF2-40B4-BE49-F238E27FC236}">
              <a16:creationId xmlns:a16="http://schemas.microsoft.com/office/drawing/2014/main" id="{19805964-6608-4CA6-BB1A-CEC7BE556274}"/>
            </a:ext>
          </a:extLst>
        </xdr:cNvPr>
        <xdr:cNvCxnSpPr>
          <a:cxnSpLocks/>
        </xdr:cNvCxnSpPr>
      </xdr:nvCxnSpPr>
      <xdr:spPr>
        <a:xfrm flipH="1">
          <a:off x="17971834" y="819150"/>
          <a:ext cx="11366" cy="561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276225</xdr:colOff>
      <xdr:row>0</xdr:row>
      <xdr:rowOff>152400</xdr:rowOff>
    </xdr:from>
    <xdr:to>
      <xdr:col>19</xdr:col>
      <xdr:colOff>406401</xdr:colOff>
      <xdr:row>2</xdr:row>
      <xdr:rowOff>162559</xdr:rowOff>
    </xdr:to>
    <xdr:sp macro="" textlink="">
      <xdr:nvSpPr>
        <xdr:cNvPr id="27" name="TextBox 8">
          <a:extLst>
            <a:ext uri="{FF2B5EF4-FFF2-40B4-BE49-F238E27FC236}">
              <a16:creationId xmlns:a16="http://schemas.microsoft.com/office/drawing/2014/main" id="{6DEB78E7-85A1-4461-8F0B-19B233ED4626}"/>
            </a:ext>
          </a:extLst>
        </xdr:cNvPr>
        <xdr:cNvSpPr txBox="1"/>
      </xdr:nvSpPr>
      <xdr:spPr>
        <a:xfrm>
          <a:off x="16802100" y="152400"/>
          <a:ext cx="5892801"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561975</xdr:colOff>
      <xdr:row>72</xdr:row>
      <xdr:rowOff>19050</xdr:rowOff>
    </xdr:from>
    <xdr:to>
      <xdr:col>27</xdr:col>
      <xdr:colOff>97482</xdr:colOff>
      <xdr:row>78</xdr:row>
      <xdr:rowOff>73186</xdr:rowOff>
    </xdr:to>
    <xdr:pic>
      <xdr:nvPicPr>
        <xdr:cNvPr id="12" name="Picture 11">
          <a:extLst>
            <a:ext uri="{FF2B5EF4-FFF2-40B4-BE49-F238E27FC236}">
              <a16:creationId xmlns:a16="http://schemas.microsoft.com/office/drawing/2014/main" id="{7C26136D-42FA-43D4-9E3F-8554B3970D11}"/>
            </a:ext>
          </a:extLst>
        </xdr:cNvPr>
        <xdr:cNvPicPr>
          <a:picLocks noChangeAspect="1"/>
        </xdr:cNvPicPr>
      </xdr:nvPicPr>
      <xdr:blipFill>
        <a:blip xmlns:r="http://schemas.openxmlformats.org/officeDocument/2006/relationships" r:embed="rId1"/>
        <a:stretch>
          <a:fillRect/>
        </a:stretch>
      </xdr:blipFill>
      <xdr:spPr>
        <a:xfrm>
          <a:off x="561975" y="14839950"/>
          <a:ext cx="15994707" cy="1149511"/>
        </a:xfrm>
        <a:prstGeom prst="rect">
          <a:avLst/>
        </a:prstGeom>
      </xdr:spPr>
    </xdr:pic>
    <xdr:clientData/>
  </xdr:twoCellAnchor>
  <xdr:twoCellAnchor editAs="oneCell">
    <xdr:from>
      <xdr:col>0</xdr:col>
      <xdr:colOff>542925</xdr:colOff>
      <xdr:row>78</xdr:row>
      <xdr:rowOff>53975</xdr:rowOff>
    </xdr:from>
    <xdr:to>
      <xdr:col>26</xdr:col>
      <xdr:colOff>590550</xdr:colOff>
      <xdr:row>92</xdr:row>
      <xdr:rowOff>1711</xdr:rowOff>
    </xdr:to>
    <xdr:pic>
      <xdr:nvPicPr>
        <xdr:cNvPr id="9" name="Picture 8">
          <a:extLst>
            <a:ext uri="{FF2B5EF4-FFF2-40B4-BE49-F238E27FC236}">
              <a16:creationId xmlns:a16="http://schemas.microsoft.com/office/drawing/2014/main" id="{6931842A-4387-4010-A446-177E8F615B57}"/>
            </a:ext>
          </a:extLst>
        </xdr:cNvPr>
        <xdr:cNvPicPr>
          <a:picLocks noChangeAspect="1"/>
        </xdr:cNvPicPr>
      </xdr:nvPicPr>
      <xdr:blipFill rotWithShape="1">
        <a:blip xmlns:r="http://schemas.openxmlformats.org/officeDocument/2006/relationships" r:embed="rId2"/>
        <a:srcRect t="2577" b="25586"/>
        <a:stretch/>
      </xdr:blipFill>
      <xdr:spPr>
        <a:xfrm>
          <a:off x="542925" y="15970250"/>
          <a:ext cx="15897225" cy="2478211"/>
        </a:xfrm>
        <a:prstGeom prst="rect">
          <a:avLst/>
        </a:prstGeom>
      </xdr:spPr>
    </xdr:pic>
    <xdr:clientData/>
  </xdr:twoCellAnchor>
  <xdr:twoCellAnchor editAs="oneCell">
    <xdr:from>
      <xdr:col>0</xdr:col>
      <xdr:colOff>600075</xdr:colOff>
      <xdr:row>91</xdr:row>
      <xdr:rowOff>103311</xdr:rowOff>
    </xdr:from>
    <xdr:to>
      <xdr:col>27</xdr:col>
      <xdr:colOff>19050</xdr:colOff>
      <xdr:row>96</xdr:row>
      <xdr:rowOff>65104</xdr:rowOff>
    </xdr:to>
    <xdr:pic>
      <xdr:nvPicPr>
        <xdr:cNvPr id="8" name="Picture 7">
          <a:extLst>
            <a:ext uri="{FF2B5EF4-FFF2-40B4-BE49-F238E27FC236}">
              <a16:creationId xmlns:a16="http://schemas.microsoft.com/office/drawing/2014/main" id="{DC8A8D68-0724-4A75-B688-B3C406409105}"/>
            </a:ext>
          </a:extLst>
        </xdr:cNvPr>
        <xdr:cNvPicPr>
          <a:picLocks noChangeAspect="1"/>
        </xdr:cNvPicPr>
      </xdr:nvPicPr>
      <xdr:blipFill>
        <a:blip xmlns:r="http://schemas.openxmlformats.org/officeDocument/2006/relationships" r:embed="rId3"/>
        <a:stretch>
          <a:fillRect/>
        </a:stretch>
      </xdr:blipFill>
      <xdr:spPr>
        <a:xfrm>
          <a:off x="600075" y="18372261"/>
          <a:ext cx="15878175" cy="866668"/>
        </a:xfrm>
        <a:prstGeom prst="rect">
          <a:avLst/>
        </a:prstGeom>
      </xdr:spPr>
    </xdr:pic>
    <xdr:clientData/>
  </xdr:twoCellAnchor>
  <xdr:twoCellAnchor editAs="oneCell">
    <xdr:from>
      <xdr:col>0</xdr:col>
      <xdr:colOff>606425</xdr:colOff>
      <xdr:row>44</xdr:row>
      <xdr:rowOff>49742</xdr:rowOff>
    </xdr:from>
    <xdr:to>
      <xdr:col>29</xdr:col>
      <xdr:colOff>66966</xdr:colOff>
      <xdr:row>53</xdr:row>
      <xdr:rowOff>113476</xdr:rowOff>
    </xdr:to>
    <xdr:pic>
      <xdr:nvPicPr>
        <xdr:cNvPr id="4" name="Picture 3">
          <a:extLst>
            <a:ext uri="{FF2B5EF4-FFF2-40B4-BE49-F238E27FC236}">
              <a16:creationId xmlns:a16="http://schemas.microsoft.com/office/drawing/2014/main" id="{F3EE73D0-D3A1-41D6-B85C-452322A28E4E}"/>
            </a:ext>
          </a:extLst>
        </xdr:cNvPr>
        <xdr:cNvPicPr>
          <a:picLocks noChangeAspect="1"/>
        </xdr:cNvPicPr>
      </xdr:nvPicPr>
      <xdr:blipFill>
        <a:blip xmlns:r="http://schemas.openxmlformats.org/officeDocument/2006/relationships" r:embed="rId4"/>
        <a:stretch>
          <a:fillRect/>
        </a:stretch>
      </xdr:blipFill>
      <xdr:spPr>
        <a:xfrm>
          <a:off x="606425" y="9585325"/>
          <a:ext cx="17258533" cy="1682984"/>
        </a:xfrm>
        <a:prstGeom prst="rect">
          <a:avLst/>
        </a:prstGeom>
      </xdr:spPr>
    </xdr:pic>
    <xdr:clientData/>
  </xdr:twoCellAnchor>
  <xdr:twoCellAnchor editAs="oneCell">
    <xdr:from>
      <xdr:col>0</xdr:col>
      <xdr:colOff>596900</xdr:colOff>
      <xdr:row>103</xdr:row>
      <xdr:rowOff>45508</xdr:rowOff>
    </xdr:from>
    <xdr:to>
      <xdr:col>29</xdr:col>
      <xdr:colOff>54266</xdr:colOff>
      <xdr:row>111</xdr:row>
      <xdr:rowOff>152888</xdr:rowOff>
    </xdr:to>
    <xdr:pic>
      <xdr:nvPicPr>
        <xdr:cNvPr id="5" name="Picture 4">
          <a:extLst>
            <a:ext uri="{FF2B5EF4-FFF2-40B4-BE49-F238E27FC236}">
              <a16:creationId xmlns:a16="http://schemas.microsoft.com/office/drawing/2014/main" id="{344BD088-A678-4AB8-8986-0D0A91CAB1D9}"/>
            </a:ext>
          </a:extLst>
        </xdr:cNvPr>
        <xdr:cNvPicPr>
          <a:picLocks noChangeAspect="1"/>
        </xdr:cNvPicPr>
      </xdr:nvPicPr>
      <xdr:blipFill rotWithShape="1">
        <a:blip xmlns:r="http://schemas.openxmlformats.org/officeDocument/2006/relationships" r:embed="rId5"/>
        <a:srcRect b="16592"/>
        <a:stretch/>
      </xdr:blipFill>
      <xdr:spPr>
        <a:xfrm>
          <a:off x="596900" y="20352808"/>
          <a:ext cx="17135766" cy="1564705"/>
        </a:xfrm>
        <a:prstGeom prst="rect">
          <a:avLst/>
        </a:prstGeom>
      </xdr:spPr>
    </xdr:pic>
    <xdr:clientData/>
  </xdr:twoCellAnchor>
  <xdr:twoCellAnchor>
    <xdr:from>
      <xdr:col>0</xdr:col>
      <xdr:colOff>587556</xdr:colOff>
      <xdr:row>12</xdr:row>
      <xdr:rowOff>25541</xdr:rowOff>
    </xdr:from>
    <xdr:to>
      <xdr:col>29</xdr:col>
      <xdr:colOff>210141</xdr:colOff>
      <xdr:row>36</xdr:row>
      <xdr:rowOff>19786</xdr:rowOff>
    </xdr:to>
    <xdr:grpSp>
      <xdr:nvGrpSpPr>
        <xdr:cNvPr id="19" name="Group 18">
          <a:extLst>
            <a:ext uri="{FF2B5EF4-FFF2-40B4-BE49-F238E27FC236}">
              <a16:creationId xmlns:a16="http://schemas.microsoft.com/office/drawing/2014/main" id="{9C7E8339-9ED1-4199-BB50-AC92BDFFBCE9}"/>
            </a:ext>
          </a:extLst>
        </xdr:cNvPr>
        <xdr:cNvGrpSpPr/>
      </xdr:nvGrpSpPr>
      <xdr:grpSpPr>
        <a:xfrm>
          <a:off x="587556" y="2435366"/>
          <a:ext cx="17300985" cy="4337645"/>
          <a:chOff x="447643" y="2146712"/>
          <a:chExt cx="17053518" cy="4320509"/>
        </a:xfrm>
      </xdr:grpSpPr>
      <xdr:pic>
        <xdr:nvPicPr>
          <xdr:cNvPr id="17" name="Picture 16">
            <a:extLst>
              <a:ext uri="{FF2B5EF4-FFF2-40B4-BE49-F238E27FC236}">
                <a16:creationId xmlns:a16="http://schemas.microsoft.com/office/drawing/2014/main" id="{5000EB93-7BC5-4D86-916D-2DA345B0243D}"/>
              </a:ext>
            </a:extLst>
          </xdr:cNvPr>
          <xdr:cNvPicPr>
            <a:picLocks noChangeAspect="1"/>
          </xdr:cNvPicPr>
        </xdr:nvPicPr>
        <xdr:blipFill>
          <a:blip xmlns:r="http://schemas.openxmlformats.org/officeDocument/2006/relationships" r:embed="rId6"/>
          <a:stretch>
            <a:fillRect/>
          </a:stretch>
        </xdr:blipFill>
        <xdr:spPr>
          <a:xfrm>
            <a:off x="447643" y="2696208"/>
            <a:ext cx="17053518" cy="2518182"/>
          </a:xfrm>
          <a:prstGeom prst="rect">
            <a:avLst/>
          </a:prstGeom>
        </xdr:spPr>
      </xdr:pic>
      <xdr:grpSp>
        <xdr:nvGrpSpPr>
          <xdr:cNvPr id="33" name="Group 32">
            <a:extLst>
              <a:ext uri="{FF2B5EF4-FFF2-40B4-BE49-F238E27FC236}">
                <a16:creationId xmlns:a16="http://schemas.microsoft.com/office/drawing/2014/main" id="{589BD959-076A-4FA9-B5FA-E4312661EA3E}"/>
              </a:ext>
            </a:extLst>
          </xdr:cNvPr>
          <xdr:cNvGrpSpPr/>
        </xdr:nvGrpSpPr>
        <xdr:grpSpPr>
          <a:xfrm>
            <a:off x="2364865" y="2146712"/>
            <a:ext cx="13734882" cy="4320509"/>
            <a:chOff x="2366704" y="1258244"/>
            <a:chExt cx="13779816" cy="3764790"/>
          </a:xfrm>
        </xdr:grpSpPr>
        <xdr:grpSp>
          <xdr:nvGrpSpPr>
            <xdr:cNvPr id="30" name="Group 29">
              <a:extLst>
                <a:ext uri="{FF2B5EF4-FFF2-40B4-BE49-F238E27FC236}">
                  <a16:creationId xmlns:a16="http://schemas.microsoft.com/office/drawing/2014/main" id="{36FCD793-45A4-440E-BE83-32C23190F606}"/>
                </a:ext>
              </a:extLst>
            </xdr:cNvPr>
            <xdr:cNvGrpSpPr/>
          </xdr:nvGrpSpPr>
          <xdr:grpSpPr>
            <a:xfrm>
              <a:off x="2366704" y="1322784"/>
              <a:ext cx="13779816" cy="3700250"/>
              <a:chOff x="2309889" y="992980"/>
              <a:chExt cx="13782532" cy="3693798"/>
            </a:xfrm>
          </xdr:grpSpPr>
          <xdr:cxnSp macro="">
            <xdr:nvCxnSpPr>
              <xdr:cNvPr id="10" name="Straight Arrow Connector 9">
                <a:extLst>
                  <a:ext uri="{FF2B5EF4-FFF2-40B4-BE49-F238E27FC236}">
                    <a16:creationId xmlns:a16="http://schemas.microsoft.com/office/drawing/2014/main" id="{22906A09-68D4-4C3D-9A75-FAEBFEC7FDBA}"/>
                  </a:ext>
                </a:extLst>
              </xdr:cNvPr>
              <xdr:cNvCxnSpPr>
                <a:cxnSpLocks/>
                <a:stCxn id="11" idx="1"/>
              </xdr:cNvCxnSpPr>
            </xdr:nvCxnSpPr>
            <xdr:spPr>
              <a:xfrm flipH="1">
                <a:off x="9176790" y="1226865"/>
                <a:ext cx="947013" cy="31161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a:extLst>
                  <a:ext uri="{FF2B5EF4-FFF2-40B4-BE49-F238E27FC236}">
                    <a16:creationId xmlns:a16="http://schemas.microsoft.com/office/drawing/2014/main" id="{EA213402-7C6F-44AD-9D2C-A410CDAB69DE}"/>
                  </a:ext>
                </a:extLst>
              </xdr:cNvPr>
              <xdr:cNvSpPr txBox="1"/>
            </xdr:nvSpPr>
            <xdr:spPr>
              <a:xfrm>
                <a:off x="10123803" y="992980"/>
                <a:ext cx="2933137" cy="46777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Links back to the Summary worksheet for</a:t>
                </a:r>
                <a:r>
                  <a:rPr lang="en-GB" sz="1100" baseline="0"/>
                  <a:t> this pathway to view the summary GHG result.</a:t>
                </a:r>
                <a:endParaRPr lang="en-GB" sz="1100"/>
              </a:p>
            </xdr:txBody>
          </xdr:sp>
          <xdr:sp macro="" textlink="">
            <xdr:nvSpPr>
              <xdr:cNvPr id="13" name="TextBox 12">
                <a:extLst>
                  <a:ext uri="{FF2B5EF4-FFF2-40B4-BE49-F238E27FC236}">
                    <a16:creationId xmlns:a16="http://schemas.microsoft.com/office/drawing/2014/main" id="{AE0D64BA-70B9-427F-91AF-1A7F7E4D5CFC}"/>
                  </a:ext>
                </a:extLst>
              </xdr:cNvPr>
              <xdr:cNvSpPr txBox="1"/>
            </xdr:nvSpPr>
            <xdr:spPr>
              <a:xfrm>
                <a:off x="8753178" y="4265876"/>
                <a:ext cx="3125220" cy="4209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efficiency is calculated here based on the main feedstock input and main product output.</a:t>
                </a:r>
                <a:endParaRPr lang="en-GB" sz="1100"/>
              </a:p>
            </xdr:txBody>
          </xdr:sp>
          <xdr:sp macro="" textlink="">
            <xdr:nvSpPr>
              <xdr:cNvPr id="14" name="TextBox 13">
                <a:extLst>
                  <a:ext uri="{FF2B5EF4-FFF2-40B4-BE49-F238E27FC236}">
                    <a16:creationId xmlns:a16="http://schemas.microsoft.com/office/drawing/2014/main" id="{B005D0A1-6862-4DF5-B924-38EC872D4B96}"/>
                  </a:ext>
                </a:extLst>
              </xdr:cNvPr>
              <xdr:cNvSpPr txBox="1"/>
            </xdr:nvSpPr>
            <xdr:spPr>
              <a:xfrm>
                <a:off x="12278117" y="4120941"/>
                <a:ext cx="3814304" cy="4146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module allocation factor is calculated here based on the LHV energy content of all products and co-products.</a:t>
                </a:r>
                <a:endParaRPr lang="en-GB" sz="1100"/>
              </a:p>
            </xdr:txBody>
          </xdr:sp>
          <xdr:cxnSp macro="">
            <xdr:nvCxnSpPr>
              <xdr:cNvPr id="15" name="Straight Arrow Connector 14">
                <a:extLst>
                  <a:ext uri="{FF2B5EF4-FFF2-40B4-BE49-F238E27FC236}">
                    <a16:creationId xmlns:a16="http://schemas.microsoft.com/office/drawing/2014/main" id="{15145A3E-8E9D-47C0-B1C2-E3FDDCB71A8F}"/>
                  </a:ext>
                </a:extLst>
              </xdr:cNvPr>
              <xdr:cNvCxnSpPr>
                <a:stCxn id="13" idx="0"/>
              </xdr:cNvCxnSpPr>
            </xdr:nvCxnSpPr>
            <xdr:spPr>
              <a:xfrm flipV="1">
                <a:off x="10315788" y="2863143"/>
                <a:ext cx="397648" cy="140273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8" name="Straight Arrow Connector 17">
                <a:extLst>
                  <a:ext uri="{FF2B5EF4-FFF2-40B4-BE49-F238E27FC236}">
                    <a16:creationId xmlns:a16="http://schemas.microsoft.com/office/drawing/2014/main" id="{C7B4B7B5-C136-4967-B5B0-6964054DD5FA}"/>
                  </a:ext>
                </a:extLst>
              </xdr:cNvPr>
              <xdr:cNvCxnSpPr>
                <a:stCxn id="14" idx="0"/>
              </xdr:cNvCxnSpPr>
            </xdr:nvCxnSpPr>
            <xdr:spPr>
              <a:xfrm flipH="1" flipV="1">
                <a:off x="12022354" y="2881480"/>
                <a:ext cx="2162915" cy="123946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TextBox 22">
                <a:extLst>
                  <a:ext uri="{FF2B5EF4-FFF2-40B4-BE49-F238E27FC236}">
                    <a16:creationId xmlns:a16="http://schemas.microsoft.com/office/drawing/2014/main" id="{C5F7AE44-F780-4B38-BA7F-7BE74E689D3F}"/>
                  </a:ext>
                </a:extLst>
              </xdr:cNvPr>
              <xdr:cNvSpPr txBox="1"/>
            </xdr:nvSpPr>
            <xdr:spPr>
              <a:xfrm>
                <a:off x="2309889" y="3938994"/>
                <a:ext cx="1943562" cy="4120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need</a:t>
                </a:r>
                <a:r>
                  <a:rPr lang="en-GB" sz="1100" b="1" baseline="0"/>
                  <a:t> to be provided in tonnes/yr or MWh/yr.</a:t>
                </a:r>
                <a:endParaRPr lang="en-GB" sz="1100" b="1"/>
              </a:p>
            </xdr:txBody>
          </xdr:sp>
          <xdr:cxnSp macro="">
            <xdr:nvCxnSpPr>
              <xdr:cNvPr id="24" name="Straight Arrow Connector 23">
                <a:extLst>
                  <a:ext uri="{FF2B5EF4-FFF2-40B4-BE49-F238E27FC236}">
                    <a16:creationId xmlns:a16="http://schemas.microsoft.com/office/drawing/2014/main" id="{E495C13A-6722-43C9-ACFE-CFF0894EF7C9}"/>
                  </a:ext>
                </a:extLst>
              </xdr:cNvPr>
              <xdr:cNvCxnSpPr>
                <a:stCxn id="23" idx="0"/>
              </xdr:cNvCxnSpPr>
            </xdr:nvCxnSpPr>
            <xdr:spPr>
              <a:xfrm flipH="1" flipV="1">
                <a:off x="3202080" y="3572292"/>
                <a:ext cx="79591" cy="3667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8" name="TextBox 27">
              <a:extLst>
                <a:ext uri="{FF2B5EF4-FFF2-40B4-BE49-F238E27FC236}">
                  <a16:creationId xmlns:a16="http://schemas.microsoft.com/office/drawing/2014/main" id="{3D591EC8-CEC1-47B2-9FA4-25389DF1AAD1}"/>
                </a:ext>
              </a:extLst>
            </xdr:cNvPr>
            <xdr:cNvSpPr txBox="1"/>
          </xdr:nvSpPr>
          <xdr:spPr>
            <a:xfrm>
              <a:off x="4079730" y="1258244"/>
              <a:ext cx="2293913" cy="65611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Provide as much detail on the values reported including any sources of evidence in these columns.</a:t>
              </a:r>
            </a:p>
          </xdr:txBody>
        </xdr:sp>
        <xdr:cxnSp macro="">
          <xdr:nvCxnSpPr>
            <xdr:cNvPr id="29" name="Straight Arrow Connector 28">
              <a:extLst>
                <a:ext uri="{FF2B5EF4-FFF2-40B4-BE49-F238E27FC236}">
                  <a16:creationId xmlns:a16="http://schemas.microsoft.com/office/drawing/2014/main" id="{CCC8DE4C-5DA6-4BB4-AA25-25C803D5D61B}"/>
                </a:ext>
              </a:extLst>
            </xdr:cNvPr>
            <xdr:cNvCxnSpPr>
              <a:stCxn id="28" idx="2"/>
            </xdr:cNvCxnSpPr>
          </xdr:nvCxnSpPr>
          <xdr:spPr>
            <a:xfrm>
              <a:off x="5226686" y="1914355"/>
              <a:ext cx="429637" cy="29216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8</xdr:col>
      <xdr:colOff>159883</xdr:colOff>
      <xdr:row>16</xdr:row>
      <xdr:rowOff>26055</xdr:rowOff>
    </xdr:from>
    <xdr:to>
      <xdr:col>8</xdr:col>
      <xdr:colOff>541447</xdr:colOff>
      <xdr:row>17</xdr:row>
      <xdr:rowOff>160337</xdr:rowOff>
    </xdr:to>
    <xdr:cxnSp macro="">
      <xdr:nvCxnSpPr>
        <xdr:cNvPr id="37" name="Straight Arrow Connector 36">
          <a:extLst>
            <a:ext uri="{FF2B5EF4-FFF2-40B4-BE49-F238E27FC236}">
              <a16:creationId xmlns:a16="http://schemas.microsoft.com/office/drawing/2014/main" id="{BC679702-A9FA-4EED-9391-39816D5AEB6C}"/>
            </a:ext>
          </a:extLst>
        </xdr:cNvPr>
        <xdr:cNvCxnSpPr>
          <a:stCxn id="28" idx="2"/>
        </xdr:cNvCxnSpPr>
      </xdr:nvCxnSpPr>
      <xdr:spPr>
        <a:xfrm flipH="1">
          <a:off x="5008974" y="2978805"/>
          <a:ext cx="381564" cy="31612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420380</xdr:colOff>
      <xdr:row>109</xdr:row>
      <xdr:rowOff>45400</xdr:rowOff>
    </xdr:from>
    <xdr:to>
      <xdr:col>25</xdr:col>
      <xdr:colOff>561924</xdr:colOff>
      <xdr:row>120</xdr:row>
      <xdr:rowOff>161930</xdr:rowOff>
    </xdr:to>
    <xdr:grpSp>
      <xdr:nvGrpSpPr>
        <xdr:cNvPr id="26" name="Group 25">
          <a:extLst>
            <a:ext uri="{FF2B5EF4-FFF2-40B4-BE49-F238E27FC236}">
              <a16:creationId xmlns:a16="http://schemas.microsoft.com/office/drawing/2014/main" id="{B39A01A0-820B-423C-B065-FC87A78AB698}"/>
            </a:ext>
          </a:extLst>
        </xdr:cNvPr>
        <xdr:cNvGrpSpPr/>
      </xdr:nvGrpSpPr>
      <xdr:grpSpPr>
        <a:xfrm>
          <a:off x="1029980" y="21400450"/>
          <a:ext cx="14771944" cy="2126305"/>
          <a:chOff x="1183580" y="19305422"/>
          <a:chExt cx="14605095" cy="2004668"/>
        </a:xfrm>
      </xdr:grpSpPr>
      <xdr:sp macro="" textlink="">
        <xdr:nvSpPr>
          <xdr:cNvPr id="634" name="TextBox 82">
            <a:extLst>
              <a:ext uri="{FF2B5EF4-FFF2-40B4-BE49-F238E27FC236}">
                <a16:creationId xmlns:a16="http://schemas.microsoft.com/office/drawing/2014/main" id="{7B9787A2-993A-4976-BB8F-80C45774F216}"/>
              </a:ext>
            </a:extLst>
          </xdr:cNvPr>
          <xdr:cNvSpPr txBox="1"/>
        </xdr:nvSpPr>
        <xdr:spPr>
          <a:xfrm>
            <a:off x="1183580" y="20889528"/>
            <a:ext cx="3294121" cy="42056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Other characteristics of the process that are not necessarily inputs or outputs </a:t>
            </a:r>
            <a:r>
              <a:rPr lang="en-GB" sz="1100" baseline="0"/>
              <a:t>should be provided here. </a:t>
            </a:r>
            <a:endParaRPr lang="en-GB" sz="1100"/>
          </a:p>
        </xdr:txBody>
      </xdr:sp>
      <xdr:cxnSp macro="">
        <xdr:nvCxnSpPr>
          <xdr:cNvPr id="791" name="Straight Arrow Connector 83">
            <a:extLst>
              <a:ext uri="{FF2B5EF4-FFF2-40B4-BE49-F238E27FC236}">
                <a16:creationId xmlns:a16="http://schemas.microsoft.com/office/drawing/2014/main" id="{AA3C0775-1138-4EE0-A183-0699967DF0F9}"/>
              </a:ext>
            </a:extLst>
          </xdr:cNvPr>
          <xdr:cNvCxnSpPr>
            <a:stCxn id="634" idx="0"/>
          </xdr:cNvCxnSpPr>
        </xdr:nvCxnSpPr>
        <xdr:spPr>
          <a:xfrm flipV="1">
            <a:off x="2830641" y="19920656"/>
            <a:ext cx="1050894" cy="96887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6" name="TextBox 86">
            <a:extLst>
              <a:ext uri="{FF2B5EF4-FFF2-40B4-BE49-F238E27FC236}">
                <a16:creationId xmlns:a16="http://schemas.microsoft.com/office/drawing/2014/main" id="{320F206C-2550-411F-ABD7-307FBE157B76}"/>
              </a:ext>
            </a:extLst>
          </xdr:cNvPr>
          <xdr:cNvSpPr txBox="1"/>
        </xdr:nvSpPr>
        <xdr:spPr>
          <a:xfrm>
            <a:off x="11679525" y="20201458"/>
            <a:ext cx="3235512" cy="65042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module total is calculated at the bottom of each processing worksheet and is linked to the relevant</a:t>
            </a:r>
            <a:r>
              <a:rPr lang="en-GB" sz="1100" baseline="0"/>
              <a:t> Sum</a:t>
            </a:r>
            <a:r>
              <a:rPr lang="en-GB" sz="1100"/>
              <a:t>mary worksheet to provide the result.</a:t>
            </a:r>
          </a:p>
        </xdr:txBody>
      </xdr:sp>
      <xdr:sp macro="" textlink="">
        <xdr:nvSpPr>
          <xdr:cNvPr id="799" name="Rectangle 92">
            <a:extLst>
              <a:ext uri="{FF2B5EF4-FFF2-40B4-BE49-F238E27FC236}">
                <a16:creationId xmlns:a16="http://schemas.microsoft.com/office/drawing/2014/main" id="{A76ADB7C-9270-4F8F-AD9D-CCB31706C4D7}"/>
              </a:ext>
            </a:extLst>
          </xdr:cNvPr>
          <xdr:cNvSpPr/>
        </xdr:nvSpPr>
        <xdr:spPr>
          <a:xfrm>
            <a:off x="14125534" y="19305422"/>
            <a:ext cx="1663141" cy="283017"/>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794" name="Straight Arrow Connector 88">
            <a:extLst>
              <a:ext uri="{FF2B5EF4-FFF2-40B4-BE49-F238E27FC236}">
                <a16:creationId xmlns:a16="http://schemas.microsoft.com/office/drawing/2014/main" id="{C12A26EC-85FF-45A0-BAA5-208C78741890}"/>
              </a:ext>
            </a:extLst>
          </xdr:cNvPr>
          <xdr:cNvCxnSpPr>
            <a:stCxn id="796" idx="0"/>
          </xdr:cNvCxnSpPr>
        </xdr:nvCxnSpPr>
        <xdr:spPr>
          <a:xfrm flipV="1">
            <a:off x="13297283" y="19521460"/>
            <a:ext cx="771342" cy="6799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301625</xdr:colOff>
      <xdr:row>117</xdr:row>
      <xdr:rowOff>57150</xdr:rowOff>
    </xdr:from>
    <xdr:to>
      <xdr:col>14</xdr:col>
      <xdr:colOff>139700</xdr:colOff>
      <xdr:row>121</xdr:row>
      <xdr:rowOff>114300</xdr:rowOff>
    </xdr:to>
    <xdr:sp macro="" textlink="">
      <xdr:nvSpPr>
        <xdr:cNvPr id="80" name="TextBox 7">
          <a:extLst>
            <a:ext uri="{FF2B5EF4-FFF2-40B4-BE49-F238E27FC236}">
              <a16:creationId xmlns:a16="http://schemas.microsoft.com/office/drawing/2014/main" id="{51A0F5C6-24F7-41A3-A6E1-EB7699041926}"/>
            </a:ext>
          </a:extLst>
        </xdr:cNvPr>
        <xdr:cNvSpPr txBox="1"/>
      </xdr:nvSpPr>
      <xdr:spPr>
        <a:xfrm>
          <a:off x="5178425" y="22917150"/>
          <a:ext cx="3495675" cy="7810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CO</a:t>
          </a:r>
          <a:r>
            <a:rPr lang="en-GB" sz="1100" baseline="-25000"/>
            <a:t>2</a:t>
          </a:r>
          <a:r>
            <a:rPr lang="en-GB" sz="1100" baseline="0"/>
            <a:t> capture rate is linked to the response given in the Initial questions worksheet. </a:t>
          </a:r>
          <a:r>
            <a:rPr lang="en-GB" sz="1100" baseline="0">
              <a:solidFill>
                <a:schemeClr val="dk1"/>
              </a:solidFill>
              <a:effectLst/>
              <a:latin typeface="+mn-lt"/>
              <a:ea typeface="+mn-ea"/>
              <a:cs typeface="+mn-cs"/>
            </a:rPr>
            <a:t>The capture rate is used to calculate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captured in the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sequestration category.</a:t>
          </a:r>
          <a:endParaRPr lang="en-GB" sz="1100"/>
        </a:p>
      </xdr:txBody>
    </xdr:sp>
    <xdr:clientData/>
  </xdr:twoCellAnchor>
  <xdr:twoCellAnchor>
    <xdr:from>
      <xdr:col>1</xdr:col>
      <xdr:colOff>0</xdr:colOff>
      <xdr:row>57</xdr:row>
      <xdr:rowOff>135163</xdr:rowOff>
    </xdr:from>
    <xdr:to>
      <xdr:col>29</xdr:col>
      <xdr:colOff>227489</xdr:colOff>
      <xdr:row>69</xdr:row>
      <xdr:rowOff>130368</xdr:rowOff>
    </xdr:to>
    <xdr:grpSp>
      <xdr:nvGrpSpPr>
        <xdr:cNvPr id="461" name="Group 460">
          <a:extLst>
            <a:ext uri="{FF2B5EF4-FFF2-40B4-BE49-F238E27FC236}">
              <a16:creationId xmlns:a16="http://schemas.microsoft.com/office/drawing/2014/main" id="{104FF39D-F59B-431B-8D36-5E751171A5DF}"/>
            </a:ext>
          </a:extLst>
        </xdr:cNvPr>
        <xdr:cNvGrpSpPr/>
      </xdr:nvGrpSpPr>
      <xdr:grpSpPr>
        <a:xfrm>
          <a:off x="609600" y="11993788"/>
          <a:ext cx="17296289" cy="2176430"/>
          <a:chOff x="612321" y="11660413"/>
          <a:chExt cx="17372489" cy="2131526"/>
        </a:xfrm>
      </xdr:grpSpPr>
      <xdr:pic>
        <xdr:nvPicPr>
          <xdr:cNvPr id="43" name="Picture 42">
            <a:extLst>
              <a:ext uri="{FF2B5EF4-FFF2-40B4-BE49-F238E27FC236}">
                <a16:creationId xmlns:a16="http://schemas.microsoft.com/office/drawing/2014/main" id="{54464ABD-03D6-453F-A6FF-5BBE5336C093}"/>
              </a:ext>
            </a:extLst>
          </xdr:cNvPr>
          <xdr:cNvPicPr>
            <a:picLocks noChangeAspect="1"/>
          </xdr:cNvPicPr>
        </xdr:nvPicPr>
        <xdr:blipFill>
          <a:blip xmlns:r="http://schemas.openxmlformats.org/officeDocument/2006/relationships" r:embed="rId7"/>
          <a:stretch>
            <a:fillRect/>
          </a:stretch>
        </xdr:blipFill>
        <xdr:spPr>
          <a:xfrm>
            <a:off x="619578" y="12420145"/>
            <a:ext cx="17356954" cy="1371794"/>
          </a:xfrm>
          <a:prstGeom prst="rect">
            <a:avLst/>
          </a:prstGeom>
        </xdr:spPr>
      </xdr:pic>
      <xdr:pic>
        <xdr:nvPicPr>
          <xdr:cNvPr id="67" name="Picture 66">
            <a:extLst>
              <a:ext uri="{FF2B5EF4-FFF2-40B4-BE49-F238E27FC236}">
                <a16:creationId xmlns:a16="http://schemas.microsoft.com/office/drawing/2014/main" id="{A11902EE-D9DD-43AA-AA32-3850E4C7245B}"/>
              </a:ext>
            </a:extLst>
          </xdr:cNvPr>
          <xdr:cNvPicPr>
            <a:picLocks noChangeAspect="1"/>
          </xdr:cNvPicPr>
        </xdr:nvPicPr>
        <xdr:blipFill rotWithShape="1">
          <a:blip xmlns:r="http://schemas.openxmlformats.org/officeDocument/2006/relationships" r:embed="rId6"/>
          <a:srcRect t="15398" b="50240"/>
          <a:stretch/>
        </xdr:blipFill>
        <xdr:spPr>
          <a:xfrm>
            <a:off x="612321" y="11660413"/>
            <a:ext cx="17372489" cy="860743"/>
          </a:xfrm>
          <a:prstGeom prst="rect">
            <a:avLst/>
          </a:prstGeom>
        </xdr:spPr>
      </xdr:pic>
    </xdr:grpSp>
    <xdr:clientData/>
  </xdr:twoCellAnchor>
  <xdr:twoCellAnchor>
    <xdr:from>
      <xdr:col>1</xdr:col>
      <xdr:colOff>0</xdr:colOff>
      <xdr:row>98</xdr:row>
      <xdr:rowOff>149677</xdr:rowOff>
    </xdr:from>
    <xdr:to>
      <xdr:col>29</xdr:col>
      <xdr:colOff>227489</xdr:colOff>
      <xdr:row>103</xdr:row>
      <xdr:rowOff>173595</xdr:rowOff>
    </xdr:to>
    <xdr:pic>
      <xdr:nvPicPr>
        <xdr:cNvPr id="70" name="Picture 69">
          <a:extLst>
            <a:ext uri="{FF2B5EF4-FFF2-40B4-BE49-F238E27FC236}">
              <a16:creationId xmlns:a16="http://schemas.microsoft.com/office/drawing/2014/main" id="{196800EA-F951-4E70-BDF9-33B24CDC092F}"/>
            </a:ext>
          </a:extLst>
        </xdr:cNvPr>
        <xdr:cNvPicPr>
          <a:picLocks noChangeAspect="1"/>
        </xdr:cNvPicPr>
      </xdr:nvPicPr>
      <xdr:blipFill rotWithShape="1">
        <a:blip xmlns:r="http://schemas.openxmlformats.org/officeDocument/2006/relationships" r:embed="rId6"/>
        <a:srcRect t="13198" b="50240"/>
        <a:stretch/>
      </xdr:blipFill>
      <xdr:spPr>
        <a:xfrm>
          <a:off x="613833" y="19877010"/>
          <a:ext cx="17414823" cy="934085"/>
        </a:xfrm>
        <a:prstGeom prst="rect">
          <a:avLst/>
        </a:prstGeom>
      </xdr:spPr>
    </xdr:pic>
    <xdr:clientData/>
  </xdr:twoCellAnchor>
  <xdr:twoCellAnchor>
    <xdr:from>
      <xdr:col>13</xdr:col>
      <xdr:colOff>523971</xdr:colOff>
      <xdr:row>80</xdr:row>
      <xdr:rowOff>47626</xdr:rowOff>
    </xdr:from>
    <xdr:to>
      <xdr:col>25</xdr:col>
      <xdr:colOff>65943</xdr:colOff>
      <xdr:row>98</xdr:row>
      <xdr:rowOff>143881</xdr:rowOff>
    </xdr:to>
    <xdr:grpSp>
      <xdr:nvGrpSpPr>
        <xdr:cNvPr id="25" name="Group 24">
          <a:extLst>
            <a:ext uri="{FF2B5EF4-FFF2-40B4-BE49-F238E27FC236}">
              <a16:creationId xmlns:a16="http://schemas.microsoft.com/office/drawing/2014/main" id="{54F9296A-171C-48E2-B9DA-E8F1EE187C30}"/>
            </a:ext>
          </a:extLst>
        </xdr:cNvPr>
        <xdr:cNvGrpSpPr/>
      </xdr:nvGrpSpPr>
      <xdr:grpSpPr>
        <a:xfrm>
          <a:off x="8448771" y="16116301"/>
          <a:ext cx="6857172" cy="3382380"/>
          <a:chOff x="8454508" y="15240994"/>
          <a:chExt cx="6778383" cy="3951436"/>
        </a:xfrm>
      </xdr:grpSpPr>
      <xdr:sp macro="" textlink="">
        <xdr:nvSpPr>
          <xdr:cNvPr id="802" name="TextBox 75">
            <a:extLst>
              <a:ext uri="{FF2B5EF4-FFF2-40B4-BE49-F238E27FC236}">
                <a16:creationId xmlns:a16="http://schemas.microsoft.com/office/drawing/2014/main" id="{C6F02EC7-9F47-42ED-9DEB-79132723F0C0}"/>
              </a:ext>
            </a:extLst>
          </xdr:cNvPr>
          <xdr:cNvSpPr txBox="1"/>
        </xdr:nvSpPr>
        <xdr:spPr>
          <a:xfrm>
            <a:off x="11767206" y="18494716"/>
            <a:ext cx="3465685" cy="677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emissions factor for sequestered</a:t>
            </a:r>
            <a:r>
              <a:rPr lang="en-GB" sz="1100" baseline="0"/>
              <a:t> CO</a:t>
            </a:r>
            <a:r>
              <a:rPr lang="en-GB" sz="1100" baseline="-25000"/>
              <a:t>2</a:t>
            </a:r>
            <a:r>
              <a:rPr lang="en-GB" sz="1100" baseline="0"/>
              <a:t> will be negative to result in an emissions credit for this category.</a:t>
            </a:r>
            <a:endParaRPr lang="en-GB" sz="1100"/>
          </a:p>
        </xdr:txBody>
      </xdr:sp>
      <xdr:cxnSp macro="">
        <xdr:nvCxnSpPr>
          <xdr:cNvPr id="220" name="Straight Arrow Connector 77">
            <a:extLst>
              <a:ext uri="{FF2B5EF4-FFF2-40B4-BE49-F238E27FC236}">
                <a16:creationId xmlns:a16="http://schemas.microsoft.com/office/drawing/2014/main" id="{04A937D4-AB36-4294-B3CC-25931D0CC6FF}"/>
              </a:ext>
            </a:extLst>
          </xdr:cNvPr>
          <xdr:cNvCxnSpPr>
            <a:stCxn id="802" idx="0"/>
          </xdr:cNvCxnSpPr>
        </xdr:nvCxnSpPr>
        <xdr:spPr>
          <a:xfrm flipV="1">
            <a:off x="13500049" y="17951817"/>
            <a:ext cx="686269" cy="54289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82" name="Straight Arrow Connector 80">
            <a:extLst>
              <a:ext uri="{FF2B5EF4-FFF2-40B4-BE49-F238E27FC236}">
                <a16:creationId xmlns:a16="http://schemas.microsoft.com/office/drawing/2014/main" id="{9B9B0303-6B67-43AE-B252-798FA47405D3}"/>
              </a:ext>
            </a:extLst>
          </xdr:cNvPr>
          <xdr:cNvCxnSpPr>
            <a:stCxn id="802" idx="0"/>
          </xdr:cNvCxnSpPr>
        </xdr:nvCxnSpPr>
        <xdr:spPr>
          <a:xfrm flipH="1" flipV="1">
            <a:off x="12418311" y="18103505"/>
            <a:ext cx="1081737" cy="39121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0" name="TextBox 75">
            <a:extLst>
              <a:ext uri="{FF2B5EF4-FFF2-40B4-BE49-F238E27FC236}">
                <a16:creationId xmlns:a16="http://schemas.microsoft.com/office/drawing/2014/main" id="{08756D53-79C4-49D2-88F0-5E53957C88B1}"/>
              </a:ext>
            </a:extLst>
          </xdr:cNvPr>
          <xdr:cNvSpPr txBox="1"/>
        </xdr:nvSpPr>
        <xdr:spPr>
          <a:xfrm>
            <a:off x="8454508" y="18405725"/>
            <a:ext cx="2528233" cy="78670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CO</a:t>
            </a:r>
            <a:r>
              <a:rPr lang="en-GB" sz="1100" baseline="-25000"/>
              <a:t>2</a:t>
            </a:r>
            <a:r>
              <a:rPr lang="en-GB" sz="1100"/>
              <a:t> generated will have a</a:t>
            </a:r>
            <a:r>
              <a:rPr lang="en-GB" sz="1100" baseline="0"/>
              <a:t> GHG intensity of</a:t>
            </a:r>
            <a:r>
              <a:rPr lang="en-GB" sz="1100"/>
              <a:t> 0</a:t>
            </a:r>
            <a:r>
              <a:rPr lang="en-GB" sz="1100" baseline="0"/>
              <a:t> gCO</a:t>
            </a:r>
            <a:r>
              <a:rPr lang="en-GB" sz="1100" baseline="-25000"/>
              <a:t>2</a:t>
            </a:r>
            <a:r>
              <a:rPr lang="en-GB" sz="1100" baseline="0"/>
              <a:t>/kg for biogenic, and 1,000 gCO</a:t>
            </a:r>
            <a:r>
              <a:rPr lang="en-GB" sz="1100" baseline="-25000"/>
              <a:t>2</a:t>
            </a:r>
            <a:r>
              <a:rPr lang="en-GB" sz="1100" baseline="0"/>
              <a:t>/kg for fossil.</a:t>
            </a:r>
            <a:endParaRPr lang="en-GB" sz="1100"/>
          </a:p>
        </xdr:txBody>
      </xdr:sp>
      <xdr:cxnSp macro="">
        <xdr:nvCxnSpPr>
          <xdr:cNvPr id="41" name="Straight Arrow Connector 80">
            <a:extLst>
              <a:ext uri="{FF2B5EF4-FFF2-40B4-BE49-F238E27FC236}">
                <a16:creationId xmlns:a16="http://schemas.microsoft.com/office/drawing/2014/main" id="{8704DA61-4D3A-4A32-AFE8-01E8EDA8A8D6}"/>
              </a:ext>
            </a:extLst>
          </xdr:cNvPr>
          <xdr:cNvCxnSpPr>
            <a:stCxn id="40" idx="0"/>
          </xdr:cNvCxnSpPr>
        </xdr:nvCxnSpPr>
        <xdr:spPr>
          <a:xfrm flipV="1">
            <a:off x="9718624" y="15240994"/>
            <a:ext cx="2313701" cy="31647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6846</xdr:colOff>
      <xdr:row>40</xdr:row>
      <xdr:rowOff>78009</xdr:rowOff>
    </xdr:from>
    <xdr:to>
      <xdr:col>29</xdr:col>
      <xdr:colOff>230737</xdr:colOff>
      <xdr:row>56</xdr:row>
      <xdr:rowOff>171702</xdr:rowOff>
    </xdr:to>
    <xdr:grpSp>
      <xdr:nvGrpSpPr>
        <xdr:cNvPr id="3" name="Group 2">
          <a:extLst>
            <a:ext uri="{FF2B5EF4-FFF2-40B4-BE49-F238E27FC236}">
              <a16:creationId xmlns:a16="http://schemas.microsoft.com/office/drawing/2014/main" id="{A9B27359-6CFB-4BEB-9ECF-125885D77F49}"/>
            </a:ext>
          </a:extLst>
        </xdr:cNvPr>
        <xdr:cNvGrpSpPr/>
      </xdr:nvGrpSpPr>
      <xdr:grpSpPr>
        <a:xfrm>
          <a:off x="616446" y="8841009"/>
          <a:ext cx="17292691" cy="2998818"/>
          <a:chOff x="617207" y="8841009"/>
          <a:chExt cx="17226484" cy="2962579"/>
        </a:xfrm>
      </xdr:grpSpPr>
      <xdr:grpSp>
        <xdr:nvGrpSpPr>
          <xdr:cNvPr id="31" name="Group 30">
            <a:extLst>
              <a:ext uri="{FF2B5EF4-FFF2-40B4-BE49-F238E27FC236}">
                <a16:creationId xmlns:a16="http://schemas.microsoft.com/office/drawing/2014/main" id="{FC4DCCCD-CF3B-4007-B065-528C31F4FB10}"/>
              </a:ext>
            </a:extLst>
          </xdr:cNvPr>
          <xdr:cNvGrpSpPr/>
        </xdr:nvGrpSpPr>
        <xdr:grpSpPr>
          <a:xfrm>
            <a:off x="617207" y="8841009"/>
            <a:ext cx="17226484" cy="2962579"/>
            <a:chOff x="623820" y="8705793"/>
            <a:chExt cx="17237020" cy="3807689"/>
          </a:xfrm>
        </xdr:grpSpPr>
        <xdr:grpSp>
          <xdr:nvGrpSpPr>
            <xdr:cNvPr id="36" name="Group 35">
              <a:extLst>
                <a:ext uri="{FF2B5EF4-FFF2-40B4-BE49-F238E27FC236}">
                  <a16:creationId xmlns:a16="http://schemas.microsoft.com/office/drawing/2014/main" id="{6B00DE6B-E9F2-45B6-9FA8-42D8E2A6D745}"/>
                </a:ext>
              </a:extLst>
            </xdr:cNvPr>
            <xdr:cNvGrpSpPr/>
          </xdr:nvGrpSpPr>
          <xdr:grpSpPr>
            <a:xfrm>
              <a:off x="9282678" y="11627525"/>
              <a:ext cx="8096221" cy="885957"/>
              <a:chOff x="9310102" y="11599744"/>
              <a:chExt cx="8120220" cy="835961"/>
            </a:xfrm>
          </xdr:grpSpPr>
          <xdr:sp macro="" textlink="">
            <xdr:nvSpPr>
              <xdr:cNvPr id="6" name="TextBox 64">
                <a:extLst>
                  <a:ext uri="{FF2B5EF4-FFF2-40B4-BE49-F238E27FC236}">
                    <a16:creationId xmlns:a16="http://schemas.microsoft.com/office/drawing/2014/main" id="{CC5B5F2A-5BE1-4BA6-9B6A-E926F9E72E90}"/>
                  </a:ext>
                </a:extLst>
              </xdr:cNvPr>
              <xdr:cNvSpPr txBox="1"/>
            </xdr:nvSpPr>
            <xdr:spPr>
              <a:xfrm>
                <a:off x="9310102" y="11599744"/>
                <a:ext cx="4151874" cy="74422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sp macro="" textlink="">
            <xdr:nvSpPr>
              <xdr:cNvPr id="801" name="TextBox 69">
                <a:extLst>
                  <a:ext uri="{FF2B5EF4-FFF2-40B4-BE49-F238E27FC236}">
                    <a16:creationId xmlns:a16="http://schemas.microsoft.com/office/drawing/2014/main" id="{C55747E7-F778-48B7-BED8-DA06F642957F}"/>
                  </a:ext>
                </a:extLst>
              </xdr:cNvPr>
              <xdr:cNvSpPr txBox="1"/>
            </xdr:nvSpPr>
            <xdr:spPr>
              <a:xfrm>
                <a:off x="15245081" y="11840410"/>
                <a:ext cx="2185241" cy="595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total emissions from each category is calculated here.</a:t>
                </a:r>
              </a:p>
            </xdr:txBody>
          </xdr:sp>
        </xdr:grpSp>
        <xdr:pic>
          <xdr:nvPicPr>
            <xdr:cNvPr id="59" name="Picture 58">
              <a:extLst>
                <a:ext uri="{FF2B5EF4-FFF2-40B4-BE49-F238E27FC236}">
                  <a16:creationId xmlns:a16="http://schemas.microsoft.com/office/drawing/2014/main" id="{66B9F30A-8B2F-4516-B753-874C737C48B9}"/>
                </a:ext>
              </a:extLst>
            </xdr:cNvPr>
            <xdr:cNvPicPr>
              <a:picLocks noChangeAspect="1"/>
            </xdr:cNvPicPr>
          </xdr:nvPicPr>
          <xdr:blipFill rotWithShape="1">
            <a:blip xmlns:r="http://schemas.openxmlformats.org/officeDocument/2006/relationships" r:embed="rId6"/>
            <a:srcRect t="14298" b="50239"/>
            <a:stretch/>
          </xdr:blipFill>
          <xdr:spPr>
            <a:xfrm>
              <a:off x="623820" y="8705793"/>
              <a:ext cx="17237020" cy="901896"/>
            </a:xfrm>
            <a:prstGeom prst="rect">
              <a:avLst/>
            </a:prstGeom>
          </xdr:spPr>
        </xdr:pic>
      </xdr:grpSp>
      <xdr:sp macro="" textlink="">
        <xdr:nvSpPr>
          <xdr:cNvPr id="54" name="Rectangle 92">
            <a:extLst>
              <a:ext uri="{FF2B5EF4-FFF2-40B4-BE49-F238E27FC236}">
                <a16:creationId xmlns:a16="http://schemas.microsoft.com/office/drawing/2014/main" id="{FE0E365D-BA33-4817-8A61-3364D6056831}"/>
              </a:ext>
            </a:extLst>
          </xdr:cNvPr>
          <xdr:cNvSpPr/>
        </xdr:nvSpPr>
        <xdr:spPr>
          <a:xfrm>
            <a:off x="14754955" y="9544652"/>
            <a:ext cx="994569" cy="18097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25</xdr:col>
      <xdr:colOff>582084</xdr:colOff>
      <xdr:row>45</xdr:row>
      <xdr:rowOff>158750</xdr:rowOff>
    </xdr:from>
    <xdr:to>
      <xdr:col>26</xdr:col>
      <xdr:colOff>485314</xdr:colOff>
      <xdr:row>54</xdr:row>
      <xdr:rowOff>37290</xdr:rowOff>
    </xdr:to>
    <xdr:cxnSp macro="">
      <xdr:nvCxnSpPr>
        <xdr:cNvPr id="71" name="Straight Arrow Connector 70">
          <a:extLst>
            <a:ext uri="{FF2B5EF4-FFF2-40B4-BE49-F238E27FC236}">
              <a16:creationId xmlns:a16="http://schemas.microsoft.com/office/drawing/2014/main" id="{3E47F028-2A30-46CF-B943-546F39C3CA41}"/>
            </a:ext>
          </a:extLst>
        </xdr:cNvPr>
        <xdr:cNvCxnSpPr>
          <a:stCxn id="801" idx="0"/>
        </xdr:cNvCxnSpPr>
      </xdr:nvCxnSpPr>
      <xdr:spPr>
        <a:xfrm flipH="1" flipV="1">
          <a:off x="15927917" y="9874250"/>
          <a:ext cx="517064" cy="14977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407818</xdr:colOff>
      <xdr:row>48</xdr:row>
      <xdr:rowOff>160113</xdr:rowOff>
    </xdr:from>
    <xdr:to>
      <xdr:col>22</xdr:col>
      <xdr:colOff>340179</xdr:colOff>
      <xdr:row>53</xdr:row>
      <xdr:rowOff>9208</xdr:rowOff>
    </xdr:to>
    <xdr:cxnSp macro="">
      <xdr:nvCxnSpPr>
        <xdr:cNvPr id="75" name="Straight Arrow Connector 74">
          <a:extLst>
            <a:ext uri="{FF2B5EF4-FFF2-40B4-BE49-F238E27FC236}">
              <a16:creationId xmlns:a16="http://schemas.microsoft.com/office/drawing/2014/main" id="{5F985EE3-E979-4672-8A79-BAF8A82DA014}"/>
            </a:ext>
          </a:extLst>
        </xdr:cNvPr>
        <xdr:cNvCxnSpPr>
          <a:stCxn id="6" idx="0"/>
        </xdr:cNvCxnSpPr>
      </xdr:nvCxnSpPr>
      <xdr:spPr>
        <a:xfrm flipV="1">
          <a:off x="11337756" y="10363769"/>
          <a:ext cx="2361236" cy="74206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407818</xdr:colOff>
      <xdr:row>49</xdr:row>
      <xdr:rowOff>105684</xdr:rowOff>
    </xdr:from>
    <xdr:to>
      <xdr:col>20</xdr:col>
      <xdr:colOff>435428</xdr:colOff>
      <xdr:row>53</xdr:row>
      <xdr:rowOff>9208</xdr:rowOff>
    </xdr:to>
    <xdr:cxnSp macro="">
      <xdr:nvCxnSpPr>
        <xdr:cNvPr id="78" name="Straight Arrow Connector 77">
          <a:extLst>
            <a:ext uri="{FF2B5EF4-FFF2-40B4-BE49-F238E27FC236}">
              <a16:creationId xmlns:a16="http://schemas.microsoft.com/office/drawing/2014/main" id="{0AA123F9-2C84-44EF-9FD9-3CB83CBD2C5F}"/>
            </a:ext>
          </a:extLst>
        </xdr:cNvPr>
        <xdr:cNvCxnSpPr>
          <a:stCxn id="6" idx="0"/>
        </xdr:cNvCxnSpPr>
      </xdr:nvCxnSpPr>
      <xdr:spPr>
        <a:xfrm flipV="1">
          <a:off x="11337756" y="10487934"/>
          <a:ext cx="1242047" cy="6178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40217</xdr:colOff>
      <xdr:row>110</xdr:row>
      <xdr:rowOff>178858</xdr:rowOff>
    </xdr:from>
    <xdr:to>
      <xdr:col>11</xdr:col>
      <xdr:colOff>168275</xdr:colOff>
      <xdr:row>117</xdr:row>
      <xdr:rowOff>38100</xdr:rowOff>
    </xdr:to>
    <xdr:cxnSp macro="">
      <xdr:nvCxnSpPr>
        <xdr:cNvPr id="81" name="Straight Arrow Connector 88">
          <a:extLst>
            <a:ext uri="{FF2B5EF4-FFF2-40B4-BE49-F238E27FC236}">
              <a16:creationId xmlns:a16="http://schemas.microsoft.com/office/drawing/2014/main" id="{311D39B3-3E54-45C1-BF6E-247178DDE866}"/>
            </a:ext>
          </a:extLst>
        </xdr:cNvPr>
        <xdr:cNvCxnSpPr/>
      </xdr:nvCxnSpPr>
      <xdr:spPr>
        <a:xfrm flipH="1" flipV="1">
          <a:off x="4307417" y="21752983"/>
          <a:ext cx="2566458" cy="114511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18</xdr:col>
      <xdr:colOff>904008</xdr:colOff>
      <xdr:row>24</xdr:row>
      <xdr:rowOff>165652</xdr:rowOff>
    </xdr:from>
    <xdr:to>
      <xdr:col>19</xdr:col>
      <xdr:colOff>496956</xdr:colOff>
      <xdr:row>25</xdr:row>
      <xdr:rowOff>122267</xdr:rowOff>
    </xdr:to>
    <xdr:cxnSp macro="">
      <xdr:nvCxnSpPr>
        <xdr:cNvPr id="33" name="Straight Arrow Connector 5">
          <a:extLst>
            <a:ext uri="{FF2B5EF4-FFF2-40B4-BE49-F238E27FC236}">
              <a16:creationId xmlns:a16="http://schemas.microsoft.com/office/drawing/2014/main" id="{632410FF-CAAE-4F70-BA22-58ECDF80BDC7}"/>
            </a:ext>
          </a:extLst>
        </xdr:cNvPr>
        <xdr:cNvCxnSpPr/>
      </xdr:nvCxnSpPr>
      <xdr:spPr>
        <a:xfrm flipH="1">
          <a:off x="19029117" y="5742609"/>
          <a:ext cx="1056209" cy="13607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229822</xdr:colOff>
      <xdr:row>24</xdr:row>
      <xdr:rowOff>143597</xdr:rowOff>
    </xdr:from>
    <xdr:to>
      <xdr:col>21</xdr:col>
      <xdr:colOff>769868</xdr:colOff>
      <xdr:row>26</xdr:row>
      <xdr:rowOff>0</xdr:rowOff>
    </xdr:to>
    <xdr:cxnSp macro="">
      <xdr:nvCxnSpPr>
        <xdr:cNvPr id="7" name="Straight Arrow Connector 5">
          <a:extLst>
            <a:ext uri="{FF2B5EF4-FFF2-40B4-BE49-F238E27FC236}">
              <a16:creationId xmlns:a16="http://schemas.microsoft.com/office/drawing/2014/main" id="{99029EF1-DF15-431E-96F1-616BCB3B5E17}"/>
            </a:ext>
          </a:extLst>
        </xdr:cNvPr>
        <xdr:cNvCxnSpPr>
          <a:cxnSpLocks/>
          <a:stCxn id="5" idx="2"/>
        </xdr:cNvCxnSpPr>
      </xdr:nvCxnSpPr>
      <xdr:spPr>
        <a:xfrm>
          <a:off x="21281452" y="6024249"/>
          <a:ext cx="1672003" cy="2153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21356</xdr:colOff>
      <xdr:row>17</xdr:row>
      <xdr:rowOff>112586</xdr:rowOff>
    </xdr:from>
    <xdr:to>
      <xdr:col>21</xdr:col>
      <xdr:colOff>1369943</xdr:colOff>
      <xdr:row>20</xdr:row>
      <xdr:rowOff>76773</xdr:rowOff>
    </xdr:to>
    <xdr:sp macro="" textlink="">
      <xdr:nvSpPr>
        <xdr:cNvPr id="28" name="TextBox 10">
          <a:extLst>
            <a:ext uri="{FF2B5EF4-FFF2-40B4-BE49-F238E27FC236}">
              <a16:creationId xmlns:a16="http://schemas.microsoft.com/office/drawing/2014/main" id="{8E3319DE-C717-42B7-B071-32C0F867921F}"/>
            </a:ext>
          </a:extLst>
        </xdr:cNvPr>
        <xdr:cNvSpPr txBox="1"/>
      </xdr:nvSpPr>
      <xdr:spPr>
        <a:xfrm>
          <a:off x="19609726" y="4433347"/>
          <a:ext cx="3943804"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13804</xdr:colOff>
      <xdr:row>19</xdr:row>
      <xdr:rowOff>4951</xdr:rowOff>
    </xdr:from>
    <xdr:to>
      <xdr:col>19</xdr:col>
      <xdr:colOff>21356</xdr:colOff>
      <xdr:row>19</xdr:row>
      <xdr:rowOff>110434</xdr:rowOff>
    </xdr:to>
    <xdr:cxnSp macro="">
      <xdr:nvCxnSpPr>
        <xdr:cNvPr id="11" name="Straight Arrow Connector 5">
          <a:extLst>
            <a:ext uri="{FF2B5EF4-FFF2-40B4-BE49-F238E27FC236}">
              <a16:creationId xmlns:a16="http://schemas.microsoft.com/office/drawing/2014/main" id="{2B998ACC-02A5-4053-BAA9-A8D72D492ADB}"/>
            </a:ext>
          </a:extLst>
        </xdr:cNvPr>
        <xdr:cNvCxnSpPr>
          <a:stCxn id="28" idx="1"/>
        </xdr:cNvCxnSpPr>
      </xdr:nvCxnSpPr>
      <xdr:spPr>
        <a:xfrm flipH="1">
          <a:off x="18138913" y="4795060"/>
          <a:ext cx="1470813" cy="1054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1090543</xdr:colOff>
      <xdr:row>21</xdr:row>
      <xdr:rowOff>41413</xdr:rowOff>
    </xdr:from>
    <xdr:to>
      <xdr:col>21</xdr:col>
      <xdr:colOff>1160489</xdr:colOff>
      <xdr:row>24</xdr:row>
      <xdr:rowOff>140422</xdr:rowOff>
    </xdr:to>
    <xdr:sp macro="" textlink="">
      <xdr:nvSpPr>
        <xdr:cNvPr id="5" name="TextBox 27">
          <a:extLst>
            <a:ext uri="{FF2B5EF4-FFF2-40B4-BE49-F238E27FC236}">
              <a16:creationId xmlns:a16="http://schemas.microsoft.com/office/drawing/2014/main" id="{35D66E7D-95B5-4057-A22F-57258889AE2A}"/>
            </a:ext>
          </a:extLst>
        </xdr:cNvPr>
        <xdr:cNvSpPr txBox="1"/>
      </xdr:nvSpPr>
      <xdr:spPr>
        <a:xfrm>
          <a:off x="19215652" y="5383696"/>
          <a:ext cx="412842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D72263BF-AC90-498C-81D6-DAFC2AB3238E}"/>
            </a:ext>
          </a:extLst>
        </xdr:cNvPr>
        <xdr:cNvSpPr txBox="1"/>
      </xdr:nvSpPr>
      <xdr:spPr>
        <a:xfrm>
          <a:off x="286871" y="1075765"/>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0</xdr:rowOff>
    </xdr:from>
    <xdr:to>
      <xdr:col>16</xdr:col>
      <xdr:colOff>2651</xdr:colOff>
      <xdr:row>23</xdr:row>
      <xdr:rowOff>125700</xdr:rowOff>
    </xdr:to>
    <xdr:cxnSp macro="">
      <xdr:nvCxnSpPr>
        <xdr:cNvPr id="2" name="Straight Arrow Connector 5">
          <a:extLst>
            <a:ext uri="{FF2B5EF4-FFF2-40B4-BE49-F238E27FC236}">
              <a16:creationId xmlns:a16="http://schemas.microsoft.com/office/drawing/2014/main" id="{14AF2CA3-8FE2-4E74-9790-2F3AA1DC50C3}"/>
            </a:ext>
          </a:extLst>
        </xdr:cNvPr>
        <xdr:cNvCxnSpPr/>
      </xdr:nvCxnSpPr>
      <xdr:spPr>
        <a:xfrm flipH="1" flipV="1">
          <a:off x="16913225" y="4962525"/>
          <a:ext cx="1186926" cy="665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3" name="Straight Arrow Connector 2">
          <a:extLst>
            <a:ext uri="{FF2B5EF4-FFF2-40B4-BE49-F238E27FC236}">
              <a16:creationId xmlns:a16="http://schemas.microsoft.com/office/drawing/2014/main" id="{2DDA082A-1638-4901-84D4-F5E12D599883}"/>
            </a:ext>
          </a:extLst>
        </xdr:cNvPr>
        <xdr:cNvCxnSpPr/>
      </xdr:nvCxnSpPr>
      <xdr:spPr>
        <a:xfrm>
          <a:off x="16240125" y="2762250"/>
          <a:ext cx="124239" cy="204690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8" name="Straight Arrow Connector 3">
          <a:extLst>
            <a:ext uri="{FF2B5EF4-FFF2-40B4-BE49-F238E27FC236}">
              <a16:creationId xmlns:a16="http://schemas.microsoft.com/office/drawing/2014/main" id="{340BBBA6-226A-42D8-BF81-C27CD25FD23E}"/>
            </a:ext>
          </a:extLst>
        </xdr:cNvPr>
        <xdr:cNvCxnSpPr/>
      </xdr:nvCxnSpPr>
      <xdr:spPr>
        <a:xfrm>
          <a:off x="16240125" y="4864376"/>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12" name="TextBox 9">
          <a:extLst>
            <a:ext uri="{FF2B5EF4-FFF2-40B4-BE49-F238E27FC236}">
              <a16:creationId xmlns:a16="http://schemas.microsoft.com/office/drawing/2014/main" id="{2BAB1DF8-F5B3-4D5C-8912-1CCABB8D387A}"/>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473075</xdr:colOff>
      <xdr:row>2</xdr:row>
      <xdr:rowOff>171450</xdr:rowOff>
    </xdr:from>
    <xdr:to>
      <xdr:col>16</xdr:col>
      <xdr:colOff>483934</xdr:colOff>
      <xdr:row>4</xdr:row>
      <xdr:rowOff>323850</xdr:rowOff>
    </xdr:to>
    <xdr:cxnSp macro="">
      <xdr:nvCxnSpPr>
        <xdr:cNvPr id="13" name="Straight Arrow Connector 12">
          <a:extLst>
            <a:ext uri="{FF2B5EF4-FFF2-40B4-BE49-F238E27FC236}">
              <a16:creationId xmlns:a16="http://schemas.microsoft.com/office/drawing/2014/main" id="{0C7F56E4-5BA5-42EA-A807-A83A596CB53B}"/>
            </a:ext>
          </a:extLst>
        </xdr:cNvPr>
        <xdr:cNvCxnSpPr>
          <a:cxnSpLocks/>
        </xdr:cNvCxnSpPr>
      </xdr:nvCxnSpPr>
      <xdr:spPr>
        <a:xfrm>
          <a:off x="17751425"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523875</xdr:colOff>
      <xdr:row>1</xdr:row>
      <xdr:rowOff>57150</xdr:rowOff>
    </xdr:from>
    <xdr:to>
      <xdr:col>14</xdr:col>
      <xdr:colOff>552450</xdr:colOff>
      <xdr:row>4</xdr:row>
      <xdr:rowOff>504825</xdr:rowOff>
    </xdr:to>
    <xdr:cxnSp macro="">
      <xdr:nvCxnSpPr>
        <xdr:cNvPr id="14" name="Straight Arrow Connector 20">
          <a:extLst>
            <a:ext uri="{FF2B5EF4-FFF2-40B4-BE49-F238E27FC236}">
              <a16:creationId xmlns:a16="http://schemas.microsoft.com/office/drawing/2014/main" id="{08CA1BE0-6300-4C90-857D-822EB425976F}"/>
            </a:ext>
          </a:extLst>
        </xdr:cNvPr>
        <xdr:cNvCxnSpPr>
          <a:cxnSpLocks/>
        </xdr:cNvCxnSpPr>
      </xdr:nvCxnSpPr>
      <xdr:spPr>
        <a:xfrm flipH="1">
          <a:off x="15760700" y="457200"/>
          <a:ext cx="1031875" cy="1092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561975</xdr:colOff>
      <xdr:row>0</xdr:row>
      <xdr:rowOff>152400</xdr:rowOff>
    </xdr:from>
    <xdr:to>
      <xdr:col>19</xdr:col>
      <xdr:colOff>596901</xdr:colOff>
      <xdr:row>2</xdr:row>
      <xdr:rowOff>162559</xdr:rowOff>
    </xdr:to>
    <xdr:sp macro="" textlink="">
      <xdr:nvSpPr>
        <xdr:cNvPr id="15" name="TextBox 8">
          <a:extLst>
            <a:ext uri="{FF2B5EF4-FFF2-40B4-BE49-F238E27FC236}">
              <a16:creationId xmlns:a16="http://schemas.microsoft.com/office/drawing/2014/main" id="{76840E8D-E8B9-4062-A279-509D41DF35BD}"/>
            </a:ext>
          </a:extLst>
        </xdr:cNvPr>
        <xdr:cNvSpPr txBox="1"/>
      </xdr:nvSpPr>
      <xdr:spPr>
        <a:xfrm>
          <a:off x="16802100" y="152400"/>
          <a:ext cx="5883276"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676275</xdr:colOff>
      <xdr:row>20</xdr:row>
      <xdr:rowOff>0</xdr:rowOff>
    </xdr:from>
    <xdr:to>
      <xdr:col>16</xdr:col>
      <xdr:colOff>2651</xdr:colOff>
      <xdr:row>23</xdr:row>
      <xdr:rowOff>125700</xdr:rowOff>
    </xdr:to>
    <xdr:cxnSp macro="">
      <xdr:nvCxnSpPr>
        <xdr:cNvPr id="29" name="Straight Arrow Connector 5">
          <a:extLst>
            <a:ext uri="{FF2B5EF4-FFF2-40B4-BE49-F238E27FC236}">
              <a16:creationId xmlns:a16="http://schemas.microsoft.com/office/drawing/2014/main" id="{DCB165BB-67B9-49F4-8173-B6D03B6F644B}"/>
            </a:ext>
          </a:extLst>
        </xdr:cNvPr>
        <xdr:cNvCxnSpPr/>
      </xdr:nvCxnSpPr>
      <xdr:spPr>
        <a:xfrm flipH="1" flipV="1">
          <a:off x="16916400" y="4962525"/>
          <a:ext cx="1183751" cy="6686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152400</xdr:rowOff>
    </xdr:from>
    <xdr:to>
      <xdr:col>14</xdr:col>
      <xdr:colOff>121064</xdr:colOff>
      <xdr:row>19</xdr:row>
      <xdr:rowOff>30784</xdr:rowOff>
    </xdr:to>
    <xdr:cxnSp macro="">
      <xdr:nvCxnSpPr>
        <xdr:cNvPr id="27" name="Straight Arrow Connector 2">
          <a:extLst>
            <a:ext uri="{FF2B5EF4-FFF2-40B4-BE49-F238E27FC236}">
              <a16:creationId xmlns:a16="http://schemas.microsoft.com/office/drawing/2014/main" id="{F31C1B31-2E07-4CC6-ABF7-9434DF0CA604}"/>
            </a:ext>
          </a:extLst>
        </xdr:cNvPr>
        <xdr:cNvCxnSpPr/>
      </xdr:nvCxnSpPr>
      <xdr:spPr>
        <a:xfrm>
          <a:off x="16240125" y="2762250"/>
          <a:ext cx="121064" cy="205008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19</xdr:row>
      <xdr:rowOff>86001</xdr:rowOff>
    </xdr:from>
    <xdr:to>
      <xdr:col>14</xdr:col>
      <xdr:colOff>152400</xdr:colOff>
      <xdr:row>19</xdr:row>
      <xdr:rowOff>86001</xdr:rowOff>
    </xdr:to>
    <xdr:cxnSp macro="">
      <xdr:nvCxnSpPr>
        <xdr:cNvPr id="14" name="Straight Arrow Connector 3">
          <a:extLst>
            <a:ext uri="{FF2B5EF4-FFF2-40B4-BE49-F238E27FC236}">
              <a16:creationId xmlns:a16="http://schemas.microsoft.com/office/drawing/2014/main" id="{8C16B1FA-F753-4E73-954B-B7CB7DCCDE82}"/>
            </a:ext>
          </a:extLst>
        </xdr:cNvPr>
        <xdr:cNvCxnSpPr/>
      </xdr:nvCxnSpPr>
      <xdr:spPr>
        <a:xfrm>
          <a:off x="16240125" y="4867551"/>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959226</xdr:colOff>
      <xdr:row>24</xdr:row>
      <xdr:rowOff>136050</xdr:rowOff>
    </xdr:from>
    <xdr:to>
      <xdr:col>19</xdr:col>
      <xdr:colOff>472503</xdr:colOff>
      <xdr:row>25</xdr:row>
      <xdr:rowOff>174309</xdr:rowOff>
    </xdr:to>
    <xdr:cxnSp macro="">
      <xdr:nvCxnSpPr>
        <xdr:cNvPr id="25" name="Straight Arrow Connector 5">
          <a:extLst>
            <a:ext uri="{FF2B5EF4-FFF2-40B4-BE49-F238E27FC236}">
              <a16:creationId xmlns:a16="http://schemas.microsoft.com/office/drawing/2014/main" id="{AFA4FE81-0FFD-43AA-AC54-42114CB9B7BB}"/>
            </a:ext>
          </a:extLst>
        </xdr:cNvPr>
        <xdr:cNvCxnSpPr/>
      </xdr:nvCxnSpPr>
      <xdr:spPr>
        <a:xfrm flipH="1">
          <a:off x="18891074" y="5713007"/>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240451</xdr:colOff>
      <xdr:row>24</xdr:row>
      <xdr:rowOff>126617</xdr:rowOff>
    </xdr:from>
    <xdr:to>
      <xdr:col>21</xdr:col>
      <xdr:colOff>466173</xdr:colOff>
      <xdr:row>25</xdr:row>
      <xdr:rowOff>121064</xdr:rowOff>
    </xdr:to>
    <xdr:cxnSp macro="">
      <xdr:nvCxnSpPr>
        <xdr:cNvPr id="9" name="Straight Arrow Connector 5">
          <a:extLst>
            <a:ext uri="{FF2B5EF4-FFF2-40B4-BE49-F238E27FC236}">
              <a16:creationId xmlns:a16="http://schemas.microsoft.com/office/drawing/2014/main" id="{609782C4-7697-4FAC-B5A5-F1FDA84EA48E}"/>
            </a:ext>
          </a:extLst>
        </xdr:cNvPr>
        <xdr:cNvCxnSpPr>
          <a:cxnSpLocks/>
          <a:stCxn id="5" idx="2"/>
        </xdr:cNvCxnSpPr>
      </xdr:nvCxnSpPr>
      <xdr:spPr>
        <a:xfrm>
          <a:off x="21098821" y="6090095"/>
          <a:ext cx="1357678" cy="17390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303774</xdr:colOff>
      <xdr:row>23</xdr:row>
      <xdr:rowOff>133153</xdr:rowOff>
    </xdr:from>
    <xdr:to>
      <xdr:col>16</xdr:col>
      <xdr:colOff>914401</xdr:colOff>
      <xdr:row>27</xdr:row>
      <xdr:rowOff>55426</xdr:rowOff>
    </xdr:to>
    <xdr:sp macro="" textlink="">
      <xdr:nvSpPr>
        <xdr:cNvPr id="26" name="TextBox 9">
          <a:extLst>
            <a:ext uri="{FF2B5EF4-FFF2-40B4-BE49-F238E27FC236}">
              <a16:creationId xmlns:a16="http://schemas.microsoft.com/office/drawing/2014/main" id="{93C006A5-76B0-44E1-AFDB-E91ACCFF7881}"/>
            </a:ext>
          </a:extLst>
        </xdr:cNvPr>
        <xdr:cNvSpPr txBox="1"/>
      </xdr:nvSpPr>
      <xdr:spPr>
        <a:xfrm>
          <a:off x="16543899" y="5638603"/>
          <a:ext cx="2468002" cy="6461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18</xdr:col>
      <xdr:colOff>459919</xdr:colOff>
      <xdr:row>17</xdr:row>
      <xdr:rowOff>112585</xdr:rowOff>
    </xdr:from>
    <xdr:to>
      <xdr:col>21</xdr:col>
      <xdr:colOff>354770</xdr:colOff>
      <xdr:row>20</xdr:row>
      <xdr:rowOff>76772</xdr:rowOff>
    </xdr:to>
    <xdr:sp macro="" textlink="">
      <xdr:nvSpPr>
        <xdr:cNvPr id="22" name="TextBox 10">
          <a:extLst>
            <a:ext uri="{FF2B5EF4-FFF2-40B4-BE49-F238E27FC236}">
              <a16:creationId xmlns:a16="http://schemas.microsoft.com/office/drawing/2014/main" id="{E3696431-E8C7-4616-B7F9-64584AD84BA8}"/>
            </a:ext>
          </a:extLst>
        </xdr:cNvPr>
        <xdr:cNvSpPr txBox="1"/>
      </xdr:nvSpPr>
      <xdr:spPr>
        <a:xfrm>
          <a:off x="18391767" y="4433346"/>
          <a:ext cx="3953329"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27609</xdr:colOff>
      <xdr:row>19</xdr:row>
      <xdr:rowOff>4950</xdr:rowOff>
    </xdr:from>
    <xdr:to>
      <xdr:col>18</xdr:col>
      <xdr:colOff>459919</xdr:colOff>
      <xdr:row>19</xdr:row>
      <xdr:rowOff>69022</xdr:rowOff>
    </xdr:to>
    <xdr:cxnSp macro="">
      <xdr:nvCxnSpPr>
        <xdr:cNvPr id="8" name="Straight Arrow Connector 5">
          <a:extLst>
            <a:ext uri="{FF2B5EF4-FFF2-40B4-BE49-F238E27FC236}">
              <a16:creationId xmlns:a16="http://schemas.microsoft.com/office/drawing/2014/main" id="{FC2CC573-FA54-4FEC-A4E2-44B0742F2BBB}"/>
            </a:ext>
          </a:extLst>
        </xdr:cNvPr>
        <xdr:cNvCxnSpPr>
          <a:stCxn id="22" idx="1"/>
        </xdr:cNvCxnSpPr>
      </xdr:nvCxnSpPr>
      <xdr:spPr>
        <a:xfrm flipH="1">
          <a:off x="17959457" y="4684624"/>
          <a:ext cx="432310" cy="6407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1104348</xdr:colOff>
      <xdr:row>21</xdr:row>
      <xdr:rowOff>27608</xdr:rowOff>
    </xdr:from>
    <xdr:to>
      <xdr:col>21</xdr:col>
      <xdr:colOff>1174294</xdr:colOff>
      <xdr:row>24</xdr:row>
      <xdr:rowOff>123442</xdr:rowOff>
    </xdr:to>
    <xdr:sp macro="" textlink="">
      <xdr:nvSpPr>
        <xdr:cNvPr id="5" name="TextBox 27">
          <a:extLst>
            <a:ext uri="{FF2B5EF4-FFF2-40B4-BE49-F238E27FC236}">
              <a16:creationId xmlns:a16="http://schemas.microsoft.com/office/drawing/2014/main" id="{9A04959F-062B-4318-947D-0468E1D4E367}"/>
            </a:ext>
          </a:extLst>
        </xdr:cNvPr>
        <xdr:cNvSpPr txBox="1"/>
      </xdr:nvSpPr>
      <xdr:spPr>
        <a:xfrm>
          <a:off x="19036196" y="5452717"/>
          <a:ext cx="412842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57B5C8B7-5A7A-4269-8B9D-BDE02F2FFFD2}"/>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463550</xdr:colOff>
      <xdr:row>2</xdr:row>
      <xdr:rowOff>152400</xdr:rowOff>
    </xdr:from>
    <xdr:to>
      <xdr:col>16</xdr:col>
      <xdr:colOff>474409</xdr:colOff>
      <xdr:row>4</xdr:row>
      <xdr:rowOff>304800</xdr:rowOff>
    </xdr:to>
    <xdr:cxnSp macro="">
      <xdr:nvCxnSpPr>
        <xdr:cNvPr id="10" name="Straight Arrow Connector 9">
          <a:extLst>
            <a:ext uri="{FF2B5EF4-FFF2-40B4-BE49-F238E27FC236}">
              <a16:creationId xmlns:a16="http://schemas.microsoft.com/office/drawing/2014/main" id="{494C107F-3B5B-420E-94E6-713246BFD222}"/>
            </a:ext>
          </a:extLst>
        </xdr:cNvPr>
        <xdr:cNvCxnSpPr>
          <a:cxnSpLocks/>
        </xdr:cNvCxnSpPr>
      </xdr:nvCxnSpPr>
      <xdr:spPr>
        <a:xfrm>
          <a:off x="17741900"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552450</xdr:colOff>
      <xdr:row>0</xdr:row>
      <xdr:rowOff>152400</xdr:rowOff>
    </xdr:from>
    <xdr:to>
      <xdr:col>19</xdr:col>
      <xdr:colOff>590551</xdr:colOff>
      <xdr:row>2</xdr:row>
      <xdr:rowOff>162559</xdr:rowOff>
    </xdr:to>
    <xdr:sp macro="" textlink="">
      <xdr:nvSpPr>
        <xdr:cNvPr id="11" name="TextBox 8">
          <a:extLst>
            <a:ext uri="{FF2B5EF4-FFF2-40B4-BE49-F238E27FC236}">
              <a16:creationId xmlns:a16="http://schemas.microsoft.com/office/drawing/2014/main" id="{5944C107-0329-4439-BF0B-665611CE972D}"/>
            </a:ext>
          </a:extLst>
        </xdr:cNvPr>
        <xdr:cNvSpPr txBox="1"/>
      </xdr:nvSpPr>
      <xdr:spPr>
        <a:xfrm>
          <a:off x="16792575" y="152400"/>
          <a:ext cx="5886451" cy="6673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13</xdr:col>
      <xdr:colOff>523875</xdr:colOff>
      <xdr:row>1</xdr:row>
      <xdr:rowOff>57150</xdr:rowOff>
    </xdr:from>
    <xdr:to>
      <xdr:col>14</xdr:col>
      <xdr:colOff>552450</xdr:colOff>
      <xdr:row>4</xdr:row>
      <xdr:rowOff>504825</xdr:rowOff>
    </xdr:to>
    <xdr:cxnSp macro="">
      <xdr:nvCxnSpPr>
        <xdr:cNvPr id="12" name="Straight Arrow Connector 20">
          <a:extLst>
            <a:ext uri="{FF2B5EF4-FFF2-40B4-BE49-F238E27FC236}">
              <a16:creationId xmlns:a16="http://schemas.microsoft.com/office/drawing/2014/main" id="{4B6B2EB8-E2A9-4563-8F33-AD3BA83E3EDD}"/>
            </a:ext>
          </a:extLst>
        </xdr:cNvPr>
        <xdr:cNvCxnSpPr>
          <a:cxnSpLocks/>
        </xdr:cNvCxnSpPr>
      </xdr:nvCxnSpPr>
      <xdr:spPr>
        <a:xfrm flipH="1">
          <a:off x="15763875" y="457200"/>
          <a:ext cx="1028700" cy="10953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18</xdr:col>
      <xdr:colOff>895186</xdr:colOff>
      <xdr:row>24</xdr:row>
      <xdr:rowOff>109146</xdr:rowOff>
    </xdr:from>
    <xdr:to>
      <xdr:col>19</xdr:col>
      <xdr:colOff>414111</xdr:colOff>
      <xdr:row>25</xdr:row>
      <xdr:rowOff>136072</xdr:rowOff>
    </xdr:to>
    <xdr:cxnSp macro="">
      <xdr:nvCxnSpPr>
        <xdr:cNvPr id="28" name="Straight Arrow Connector 5">
          <a:extLst>
            <a:ext uri="{FF2B5EF4-FFF2-40B4-BE49-F238E27FC236}">
              <a16:creationId xmlns:a16="http://schemas.microsoft.com/office/drawing/2014/main" id="{09220E2D-C487-4C39-B071-5D04488D7DE5}"/>
            </a:ext>
          </a:extLst>
        </xdr:cNvPr>
        <xdr:cNvCxnSpPr/>
      </xdr:nvCxnSpPr>
      <xdr:spPr>
        <a:xfrm flipH="1">
          <a:off x="18949391" y="5809714"/>
          <a:ext cx="976538"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175231</xdr:colOff>
      <xdr:row>24</xdr:row>
      <xdr:rowOff>85794</xdr:rowOff>
    </xdr:from>
    <xdr:to>
      <xdr:col>21</xdr:col>
      <xdr:colOff>545235</xdr:colOff>
      <xdr:row>25</xdr:row>
      <xdr:rowOff>141143</xdr:rowOff>
    </xdr:to>
    <xdr:cxnSp macro="">
      <xdr:nvCxnSpPr>
        <xdr:cNvPr id="7" name="Straight Arrow Connector 5">
          <a:extLst>
            <a:ext uri="{FF2B5EF4-FFF2-40B4-BE49-F238E27FC236}">
              <a16:creationId xmlns:a16="http://schemas.microsoft.com/office/drawing/2014/main" id="{E19AD6BA-F9FE-41D1-8401-D2A38F97446F}"/>
            </a:ext>
          </a:extLst>
        </xdr:cNvPr>
        <xdr:cNvCxnSpPr>
          <a:cxnSpLocks/>
          <a:stCxn id="4" idx="2"/>
        </xdr:cNvCxnSpPr>
      </xdr:nvCxnSpPr>
      <xdr:spPr>
        <a:xfrm>
          <a:off x="21390004" y="6176021"/>
          <a:ext cx="1510117" cy="24296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468000</xdr:colOff>
      <xdr:row>17</xdr:row>
      <xdr:rowOff>123291</xdr:rowOff>
    </xdr:from>
    <xdr:to>
      <xdr:col>21</xdr:col>
      <xdr:colOff>372339</xdr:colOff>
      <xdr:row>20</xdr:row>
      <xdr:rowOff>50306</xdr:rowOff>
    </xdr:to>
    <xdr:sp macro="" textlink="">
      <xdr:nvSpPr>
        <xdr:cNvPr id="25" name="TextBox 10">
          <a:extLst>
            <a:ext uri="{FF2B5EF4-FFF2-40B4-BE49-F238E27FC236}">
              <a16:creationId xmlns:a16="http://schemas.microsoft.com/office/drawing/2014/main" id="{F1E67844-AA88-40D2-B6D2-8B427549E073}"/>
            </a:ext>
          </a:extLst>
        </xdr:cNvPr>
        <xdr:cNvSpPr txBox="1"/>
      </xdr:nvSpPr>
      <xdr:spPr>
        <a:xfrm>
          <a:off x="18522205" y="4510564"/>
          <a:ext cx="395967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18</xdr:row>
      <xdr:rowOff>180606</xdr:rowOff>
    </xdr:from>
    <xdr:to>
      <xdr:col>18</xdr:col>
      <xdr:colOff>464825</xdr:colOff>
      <xdr:row>19</xdr:row>
      <xdr:rowOff>101023</xdr:rowOff>
    </xdr:to>
    <xdr:cxnSp macro="">
      <xdr:nvCxnSpPr>
        <xdr:cNvPr id="17" name="Straight Arrow Connector 5">
          <a:extLst>
            <a:ext uri="{FF2B5EF4-FFF2-40B4-BE49-F238E27FC236}">
              <a16:creationId xmlns:a16="http://schemas.microsoft.com/office/drawing/2014/main" id="{94DDD407-E865-4212-9DB5-65CD8B601FA2}"/>
            </a:ext>
          </a:extLst>
        </xdr:cNvPr>
        <xdr:cNvCxnSpPr>
          <a:stCxn id="25" idx="1"/>
        </xdr:cNvCxnSpPr>
      </xdr:nvCxnSpPr>
      <xdr:spPr>
        <a:xfrm flipH="1">
          <a:off x="18299545" y="4755492"/>
          <a:ext cx="464825" cy="10803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1024659</xdr:colOff>
      <xdr:row>21</xdr:row>
      <xdr:rowOff>14432</xdr:rowOff>
    </xdr:from>
    <xdr:to>
      <xdr:col>21</xdr:col>
      <xdr:colOff>1104092</xdr:colOff>
      <xdr:row>24</xdr:row>
      <xdr:rowOff>82619</xdr:rowOff>
    </xdr:to>
    <xdr:sp macro="" textlink="">
      <xdr:nvSpPr>
        <xdr:cNvPr id="4" name="TextBox 27">
          <a:extLst>
            <a:ext uri="{FF2B5EF4-FFF2-40B4-BE49-F238E27FC236}">
              <a16:creationId xmlns:a16="http://schemas.microsoft.com/office/drawing/2014/main" id="{B1137DE0-86D5-46CC-AB8C-F415D9212D78}"/>
            </a:ext>
          </a:extLst>
        </xdr:cNvPr>
        <xdr:cNvSpPr txBox="1"/>
      </xdr:nvSpPr>
      <xdr:spPr>
        <a:xfrm>
          <a:off x="19324204" y="5541818"/>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6CBDC8FC-A1E9-4BD5-83AF-BA34777A94E7}"/>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E798D46B-C318-4EB1-B257-BD57A6A3A857}"/>
            </a:ext>
          </a:extLst>
        </xdr:cNvPr>
        <xdr:cNvCxnSpPr>
          <a:stCxn id="13" idx="0"/>
        </xdr:cNvCxnSpPr>
      </xdr:nvCxnSpPr>
      <xdr:spPr>
        <a:xfrm flipH="1" flipV="1">
          <a:off x="17218025" y="4981575"/>
          <a:ext cx="735466"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3" name="Straight Arrow Connector 2">
          <a:extLst>
            <a:ext uri="{FF2B5EF4-FFF2-40B4-BE49-F238E27FC236}">
              <a16:creationId xmlns:a16="http://schemas.microsoft.com/office/drawing/2014/main" id="{3E8617E2-F99C-427D-AEA9-879A452D00CF}"/>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6" name="Straight Arrow Connector 5">
          <a:extLst>
            <a:ext uri="{FF2B5EF4-FFF2-40B4-BE49-F238E27FC236}">
              <a16:creationId xmlns:a16="http://schemas.microsoft.com/office/drawing/2014/main" id="{8AD1E813-94BC-49D4-9870-5034FBDEE981}"/>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11" name="Straight Arrow Connector 20">
          <a:extLst>
            <a:ext uri="{FF2B5EF4-FFF2-40B4-BE49-F238E27FC236}">
              <a16:creationId xmlns:a16="http://schemas.microsoft.com/office/drawing/2014/main" id="{1FB5FE72-62B0-4864-9EB5-263DE93C439F}"/>
            </a:ext>
          </a:extLst>
        </xdr:cNvPr>
        <xdr:cNvCxnSpPr>
          <a:cxnSpLocks/>
        </xdr:cNvCxnSpPr>
      </xdr:nvCxnSpPr>
      <xdr:spPr>
        <a:xfrm flipH="1">
          <a:off x="15678150" y="446407"/>
          <a:ext cx="1038225" cy="96329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3" name="TextBox 12">
          <a:extLst>
            <a:ext uri="{FF2B5EF4-FFF2-40B4-BE49-F238E27FC236}">
              <a16:creationId xmlns:a16="http://schemas.microsoft.com/office/drawing/2014/main" id="{B83EA363-F972-47AA-8408-EA1EAA525637}"/>
            </a:ext>
          </a:extLst>
        </xdr:cNvPr>
        <xdr:cNvSpPr txBox="1"/>
      </xdr:nvSpPr>
      <xdr:spPr>
        <a:xfrm>
          <a:off x="16850631" y="5506358"/>
          <a:ext cx="2205719" cy="6150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539750</xdr:colOff>
      <xdr:row>2</xdr:row>
      <xdr:rowOff>152400</xdr:rowOff>
    </xdr:from>
    <xdr:to>
      <xdr:col>16</xdr:col>
      <xdr:colOff>550609</xdr:colOff>
      <xdr:row>4</xdr:row>
      <xdr:rowOff>304800</xdr:rowOff>
    </xdr:to>
    <xdr:cxnSp macro="">
      <xdr:nvCxnSpPr>
        <xdr:cNvPr id="15" name="Straight Arrow Connector 14">
          <a:extLst>
            <a:ext uri="{FF2B5EF4-FFF2-40B4-BE49-F238E27FC236}">
              <a16:creationId xmlns:a16="http://schemas.microsoft.com/office/drawing/2014/main" id="{25A44571-08EF-4DCB-912F-01A4623D1707}"/>
            </a:ext>
          </a:extLst>
        </xdr:cNvPr>
        <xdr:cNvCxnSpPr>
          <a:cxnSpLocks/>
        </xdr:cNvCxnSpPr>
      </xdr:nvCxnSpPr>
      <xdr:spPr>
        <a:xfrm>
          <a:off x="17941925" y="8096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466725</xdr:colOff>
      <xdr:row>0</xdr:row>
      <xdr:rowOff>142875</xdr:rowOff>
    </xdr:from>
    <xdr:to>
      <xdr:col>19</xdr:col>
      <xdr:colOff>368301</xdr:colOff>
      <xdr:row>2</xdr:row>
      <xdr:rowOff>149859</xdr:rowOff>
    </xdr:to>
    <xdr:sp macro="" textlink="">
      <xdr:nvSpPr>
        <xdr:cNvPr id="19" name="TextBox 8">
          <a:extLst>
            <a:ext uri="{FF2B5EF4-FFF2-40B4-BE49-F238E27FC236}">
              <a16:creationId xmlns:a16="http://schemas.microsoft.com/office/drawing/2014/main" id="{6885D7B9-2BE3-418F-8ACA-B420E505B972}"/>
            </a:ext>
          </a:extLst>
        </xdr:cNvPr>
        <xdr:cNvSpPr txBox="1"/>
      </xdr:nvSpPr>
      <xdr:spPr>
        <a:xfrm>
          <a:off x="16706850" y="142875"/>
          <a:ext cx="5883276"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18</xdr:col>
      <xdr:colOff>1016000</xdr:colOff>
      <xdr:row>24</xdr:row>
      <xdr:rowOff>159657</xdr:rowOff>
    </xdr:from>
    <xdr:to>
      <xdr:col>19</xdr:col>
      <xdr:colOff>562502</xdr:colOff>
      <xdr:row>25</xdr:row>
      <xdr:rowOff>111125</xdr:rowOff>
    </xdr:to>
    <xdr:cxnSp macro="">
      <xdr:nvCxnSpPr>
        <xdr:cNvPr id="16" name="Straight Arrow Connector 5">
          <a:extLst>
            <a:ext uri="{FF2B5EF4-FFF2-40B4-BE49-F238E27FC236}">
              <a16:creationId xmlns:a16="http://schemas.microsoft.com/office/drawing/2014/main" id="{29F1560E-DFA8-40DB-BBD5-A2E0F0CC2A7C}"/>
            </a:ext>
          </a:extLst>
        </xdr:cNvPr>
        <xdr:cNvCxnSpPr/>
      </xdr:nvCxnSpPr>
      <xdr:spPr>
        <a:xfrm flipH="1">
          <a:off x="18224500" y="5636532"/>
          <a:ext cx="1007002" cy="12609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323728</xdr:colOff>
      <xdr:row>24</xdr:row>
      <xdr:rowOff>154778</xdr:rowOff>
    </xdr:from>
    <xdr:to>
      <xdr:col>21</xdr:col>
      <xdr:colOff>791052</xdr:colOff>
      <xdr:row>25</xdr:row>
      <xdr:rowOff>161089</xdr:rowOff>
    </xdr:to>
    <xdr:cxnSp macro="">
      <xdr:nvCxnSpPr>
        <xdr:cNvPr id="6" name="Straight Arrow Connector 5">
          <a:extLst>
            <a:ext uri="{FF2B5EF4-FFF2-40B4-BE49-F238E27FC236}">
              <a16:creationId xmlns:a16="http://schemas.microsoft.com/office/drawing/2014/main" id="{BA345911-4BB4-4CB2-9673-4F64EFA24609}"/>
            </a:ext>
          </a:extLst>
        </xdr:cNvPr>
        <xdr:cNvCxnSpPr>
          <a:cxnSpLocks/>
          <a:stCxn id="4" idx="2"/>
        </xdr:cNvCxnSpPr>
      </xdr:nvCxnSpPr>
      <xdr:spPr>
        <a:xfrm>
          <a:off x="21429123" y="6032706"/>
          <a:ext cx="1595284" cy="1817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465100</xdr:colOff>
      <xdr:row>17</xdr:row>
      <xdr:rowOff>146458</xdr:rowOff>
    </xdr:from>
    <xdr:to>
      <xdr:col>21</xdr:col>
      <xdr:colOff>386012</xdr:colOff>
      <xdr:row>20</xdr:row>
      <xdr:rowOff>116282</xdr:rowOff>
    </xdr:to>
    <xdr:sp macro="" textlink="">
      <xdr:nvSpPr>
        <xdr:cNvPr id="11" name="TextBox 10">
          <a:extLst>
            <a:ext uri="{FF2B5EF4-FFF2-40B4-BE49-F238E27FC236}">
              <a16:creationId xmlns:a16="http://schemas.microsoft.com/office/drawing/2014/main" id="{56654CE2-2892-4240-8EBC-83939A493F60}"/>
            </a:ext>
          </a:extLst>
        </xdr:cNvPr>
        <xdr:cNvSpPr txBox="1"/>
      </xdr:nvSpPr>
      <xdr:spPr>
        <a:xfrm>
          <a:off x="17647699" y="4395109"/>
          <a:ext cx="3956504" cy="49620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11983</xdr:colOff>
      <xdr:row>19</xdr:row>
      <xdr:rowOff>43640</xdr:rowOff>
    </xdr:from>
    <xdr:to>
      <xdr:col>18</xdr:col>
      <xdr:colOff>461925</xdr:colOff>
      <xdr:row>19</xdr:row>
      <xdr:rowOff>122106</xdr:rowOff>
    </xdr:to>
    <xdr:cxnSp macro="">
      <xdr:nvCxnSpPr>
        <xdr:cNvPr id="15" name="Straight Arrow Connector 5">
          <a:extLst>
            <a:ext uri="{FF2B5EF4-FFF2-40B4-BE49-F238E27FC236}">
              <a16:creationId xmlns:a16="http://schemas.microsoft.com/office/drawing/2014/main" id="{D2BCAF05-30DA-4139-A350-F6D1A78CDA1F}"/>
            </a:ext>
          </a:extLst>
        </xdr:cNvPr>
        <xdr:cNvCxnSpPr>
          <a:stCxn id="11" idx="1"/>
        </xdr:cNvCxnSpPr>
      </xdr:nvCxnSpPr>
      <xdr:spPr>
        <a:xfrm flipH="1">
          <a:off x="17194582" y="4643212"/>
          <a:ext cx="449942"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1165560</xdr:colOff>
      <xdr:row>21</xdr:row>
      <xdr:rowOff>50132</xdr:rowOff>
    </xdr:from>
    <xdr:to>
      <xdr:col>21</xdr:col>
      <xdr:colOff>1258392</xdr:colOff>
      <xdr:row>24</xdr:row>
      <xdr:rowOff>154778</xdr:rowOff>
    </xdr:to>
    <xdr:sp macro="" textlink="">
      <xdr:nvSpPr>
        <xdr:cNvPr id="4" name="TextBox 27">
          <a:extLst>
            <a:ext uri="{FF2B5EF4-FFF2-40B4-BE49-F238E27FC236}">
              <a16:creationId xmlns:a16="http://schemas.microsoft.com/office/drawing/2014/main" id="{44950183-F53D-4466-9E1E-52DAC81383FE}"/>
            </a:ext>
          </a:extLst>
        </xdr:cNvPr>
        <xdr:cNvSpPr txBox="1"/>
      </xdr:nvSpPr>
      <xdr:spPr>
        <a:xfrm>
          <a:off x="19363323" y="5401678"/>
          <a:ext cx="412842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73B8433E-F4DC-4605-91CF-180CC6E3056A}"/>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638175</xdr:colOff>
      <xdr:row>20</xdr:row>
      <xdr:rowOff>28575</xdr:rowOff>
    </xdr:from>
    <xdr:to>
      <xdr:col>15</xdr:col>
      <xdr:colOff>81689</xdr:colOff>
      <xdr:row>23</xdr:row>
      <xdr:rowOff>158842</xdr:rowOff>
    </xdr:to>
    <xdr:cxnSp macro="">
      <xdr:nvCxnSpPr>
        <xdr:cNvPr id="2" name="Straight Arrow Connector 1">
          <a:extLst>
            <a:ext uri="{FF2B5EF4-FFF2-40B4-BE49-F238E27FC236}">
              <a16:creationId xmlns:a16="http://schemas.microsoft.com/office/drawing/2014/main" id="{ACF552BC-3555-4D21-84B5-23B2C554D80F}"/>
            </a:ext>
          </a:extLst>
        </xdr:cNvPr>
        <xdr:cNvCxnSpPr>
          <a:stCxn id="12" idx="0"/>
        </xdr:cNvCxnSpPr>
      </xdr:nvCxnSpPr>
      <xdr:spPr>
        <a:xfrm flipH="1" flipV="1">
          <a:off x="16878300" y="4991100"/>
          <a:ext cx="691289" cy="67319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123825</xdr:rowOff>
    </xdr:from>
    <xdr:to>
      <xdr:col>14</xdr:col>
      <xdr:colOff>210912</xdr:colOff>
      <xdr:row>19</xdr:row>
      <xdr:rowOff>36739</xdr:rowOff>
    </xdr:to>
    <xdr:cxnSp macro="">
      <xdr:nvCxnSpPr>
        <xdr:cNvPr id="3" name="Straight Arrow Connector 2">
          <a:extLst>
            <a:ext uri="{FF2B5EF4-FFF2-40B4-BE49-F238E27FC236}">
              <a16:creationId xmlns:a16="http://schemas.microsoft.com/office/drawing/2014/main" id="{99C4E8E5-0D2E-41AE-AF64-B67F06010E85}"/>
            </a:ext>
          </a:extLst>
        </xdr:cNvPr>
        <xdr:cNvCxnSpPr/>
      </xdr:nvCxnSpPr>
      <xdr:spPr>
        <a:xfrm>
          <a:off x="16240125" y="2730500"/>
          <a:ext cx="210912" cy="20877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19</xdr:row>
      <xdr:rowOff>84818</xdr:rowOff>
    </xdr:from>
    <xdr:to>
      <xdr:col>14</xdr:col>
      <xdr:colOff>152400</xdr:colOff>
      <xdr:row>19</xdr:row>
      <xdr:rowOff>84818</xdr:rowOff>
    </xdr:to>
    <xdr:cxnSp macro="">
      <xdr:nvCxnSpPr>
        <xdr:cNvPr id="7" name="Straight Arrow Connector 6">
          <a:extLst>
            <a:ext uri="{FF2B5EF4-FFF2-40B4-BE49-F238E27FC236}">
              <a16:creationId xmlns:a16="http://schemas.microsoft.com/office/drawing/2014/main" id="{33ED3424-3342-4FA3-8FEB-D6D201D89761}"/>
            </a:ext>
          </a:extLst>
        </xdr:cNvPr>
        <xdr:cNvCxnSpPr/>
      </xdr:nvCxnSpPr>
      <xdr:spPr>
        <a:xfrm>
          <a:off x="16250557" y="4869543"/>
          <a:ext cx="14196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xdr:row>
      <xdr:rowOff>79694</xdr:rowOff>
    </xdr:from>
    <xdr:to>
      <xdr:col>14</xdr:col>
      <xdr:colOff>590550</xdr:colOff>
      <xdr:row>4</xdr:row>
      <xdr:rowOff>514350</xdr:rowOff>
    </xdr:to>
    <xdr:cxnSp macro="">
      <xdr:nvCxnSpPr>
        <xdr:cNvPr id="8" name="Straight Arrow Connector 20">
          <a:extLst>
            <a:ext uri="{FF2B5EF4-FFF2-40B4-BE49-F238E27FC236}">
              <a16:creationId xmlns:a16="http://schemas.microsoft.com/office/drawing/2014/main" id="{D79B0BF2-ED8B-4DEF-AEB0-92B94172A2D7}"/>
            </a:ext>
          </a:extLst>
        </xdr:cNvPr>
        <xdr:cNvCxnSpPr>
          <a:cxnSpLocks/>
        </xdr:cNvCxnSpPr>
      </xdr:nvCxnSpPr>
      <xdr:spPr>
        <a:xfrm flipH="1">
          <a:off x="15722600" y="482919"/>
          <a:ext cx="1108075" cy="10791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239577</xdr:colOff>
      <xdr:row>23</xdr:row>
      <xdr:rowOff>158842</xdr:rowOff>
    </xdr:from>
    <xdr:to>
      <xdr:col>16</xdr:col>
      <xdr:colOff>523875</xdr:colOff>
      <xdr:row>27</xdr:row>
      <xdr:rowOff>87992</xdr:rowOff>
    </xdr:to>
    <xdr:sp macro="" textlink="">
      <xdr:nvSpPr>
        <xdr:cNvPr id="12" name="TextBox 9">
          <a:extLst>
            <a:ext uri="{FF2B5EF4-FFF2-40B4-BE49-F238E27FC236}">
              <a16:creationId xmlns:a16="http://schemas.microsoft.com/office/drawing/2014/main" id="{2855A92D-85C7-4EC6-A9BF-9B5BA03D229D}"/>
            </a:ext>
          </a:extLst>
        </xdr:cNvPr>
        <xdr:cNvSpPr txBox="1"/>
      </xdr:nvSpPr>
      <xdr:spPr>
        <a:xfrm>
          <a:off x="16479702" y="5664292"/>
          <a:ext cx="2179773" cy="6530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511175</xdr:colOff>
      <xdr:row>2</xdr:row>
      <xdr:rowOff>161925</xdr:rowOff>
    </xdr:from>
    <xdr:to>
      <xdr:col>16</xdr:col>
      <xdr:colOff>522034</xdr:colOff>
      <xdr:row>4</xdr:row>
      <xdr:rowOff>314325</xdr:rowOff>
    </xdr:to>
    <xdr:cxnSp macro="">
      <xdr:nvCxnSpPr>
        <xdr:cNvPr id="13" name="Straight Arrow Connector 20">
          <a:extLst>
            <a:ext uri="{FF2B5EF4-FFF2-40B4-BE49-F238E27FC236}">
              <a16:creationId xmlns:a16="http://schemas.microsoft.com/office/drawing/2014/main" id="{DE43E722-0ED6-4DE8-B443-7A69AEACD420}"/>
            </a:ext>
          </a:extLst>
        </xdr:cNvPr>
        <xdr:cNvCxnSpPr>
          <a:cxnSpLocks/>
        </xdr:cNvCxnSpPr>
      </xdr:nvCxnSpPr>
      <xdr:spPr>
        <a:xfrm>
          <a:off x="17827625"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577850</xdr:colOff>
      <xdr:row>0</xdr:row>
      <xdr:rowOff>152400</xdr:rowOff>
    </xdr:from>
    <xdr:to>
      <xdr:col>19</xdr:col>
      <xdr:colOff>571501</xdr:colOff>
      <xdr:row>2</xdr:row>
      <xdr:rowOff>149859</xdr:rowOff>
    </xdr:to>
    <xdr:sp macro="" textlink="">
      <xdr:nvSpPr>
        <xdr:cNvPr id="19" name="TextBox 8">
          <a:extLst>
            <a:ext uri="{FF2B5EF4-FFF2-40B4-BE49-F238E27FC236}">
              <a16:creationId xmlns:a16="http://schemas.microsoft.com/office/drawing/2014/main" id="{D701208D-C037-43A5-8C20-7BB62AC43AB3}"/>
            </a:ext>
          </a:extLst>
        </xdr:cNvPr>
        <xdr:cNvSpPr txBox="1"/>
      </xdr:nvSpPr>
      <xdr:spPr>
        <a:xfrm>
          <a:off x="16817975" y="152400"/>
          <a:ext cx="5880101" cy="654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18</xdr:col>
      <xdr:colOff>898596</xdr:colOff>
      <xdr:row>24</xdr:row>
      <xdr:rowOff>127184</xdr:rowOff>
    </xdr:from>
    <xdr:to>
      <xdr:col>19</xdr:col>
      <xdr:colOff>413066</xdr:colOff>
      <xdr:row>25</xdr:row>
      <xdr:rowOff>164044</xdr:rowOff>
    </xdr:to>
    <xdr:cxnSp macro="">
      <xdr:nvCxnSpPr>
        <xdr:cNvPr id="22" name="Straight Arrow Connector 5">
          <a:extLst>
            <a:ext uri="{FF2B5EF4-FFF2-40B4-BE49-F238E27FC236}">
              <a16:creationId xmlns:a16="http://schemas.microsoft.com/office/drawing/2014/main" id="{9F0D0707-9363-4771-9308-A8C07A003DD9}"/>
            </a:ext>
          </a:extLst>
        </xdr:cNvPr>
        <xdr:cNvCxnSpPr/>
      </xdr:nvCxnSpPr>
      <xdr:spPr>
        <a:xfrm flipH="1">
          <a:off x="19202471" y="5604059"/>
          <a:ext cx="974970" cy="21148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293427</xdr:colOff>
      <xdr:row>24</xdr:row>
      <xdr:rowOff>103697</xdr:rowOff>
    </xdr:from>
    <xdr:to>
      <xdr:col>21</xdr:col>
      <xdr:colOff>678364</xdr:colOff>
      <xdr:row>25</xdr:row>
      <xdr:rowOff>168798</xdr:rowOff>
    </xdr:to>
    <xdr:cxnSp macro="">
      <xdr:nvCxnSpPr>
        <xdr:cNvPr id="12" name="Straight Arrow Connector 5">
          <a:extLst>
            <a:ext uri="{FF2B5EF4-FFF2-40B4-BE49-F238E27FC236}">
              <a16:creationId xmlns:a16="http://schemas.microsoft.com/office/drawing/2014/main" id="{33BADD3A-D49A-464E-9555-982CC7330F94}"/>
            </a:ext>
          </a:extLst>
        </xdr:cNvPr>
        <xdr:cNvCxnSpPr>
          <a:cxnSpLocks/>
          <a:stCxn id="7" idx="2"/>
        </xdr:cNvCxnSpPr>
      </xdr:nvCxnSpPr>
      <xdr:spPr>
        <a:xfrm>
          <a:off x="21513680" y="5891039"/>
          <a:ext cx="1518292" cy="24595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501718</xdr:colOff>
      <xdr:row>17</xdr:row>
      <xdr:rowOff>94592</xdr:rowOff>
    </xdr:from>
    <xdr:to>
      <xdr:col>21</xdr:col>
      <xdr:colOff>407082</xdr:colOff>
      <xdr:row>20</xdr:row>
      <xdr:rowOff>45059</xdr:rowOff>
    </xdr:to>
    <xdr:sp macro="" textlink="">
      <xdr:nvSpPr>
        <xdr:cNvPr id="20" name="TextBox 10">
          <a:extLst>
            <a:ext uri="{FF2B5EF4-FFF2-40B4-BE49-F238E27FC236}">
              <a16:creationId xmlns:a16="http://schemas.microsoft.com/office/drawing/2014/main" id="{F7B3E2AD-33DE-4380-A7B9-20BAFEA81FCF}"/>
            </a:ext>
          </a:extLst>
        </xdr:cNvPr>
        <xdr:cNvSpPr txBox="1"/>
      </xdr:nvSpPr>
      <xdr:spPr>
        <a:xfrm>
          <a:off x="18805593" y="4349092"/>
          <a:ext cx="3953489" cy="47434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36171</xdr:colOff>
      <xdr:row>18</xdr:row>
      <xdr:rowOff>161840</xdr:rowOff>
    </xdr:from>
    <xdr:to>
      <xdr:col>18</xdr:col>
      <xdr:colOff>504893</xdr:colOff>
      <xdr:row>19</xdr:row>
      <xdr:rowOff>96456</xdr:rowOff>
    </xdr:to>
    <xdr:cxnSp macro="">
      <xdr:nvCxnSpPr>
        <xdr:cNvPr id="24" name="Straight Arrow Connector 5">
          <a:extLst>
            <a:ext uri="{FF2B5EF4-FFF2-40B4-BE49-F238E27FC236}">
              <a16:creationId xmlns:a16="http://schemas.microsoft.com/office/drawing/2014/main" id="{F412573F-2985-4D6A-AD11-9C7208B11D81}"/>
            </a:ext>
          </a:extLst>
        </xdr:cNvPr>
        <xdr:cNvCxnSpPr>
          <a:stCxn id="20" idx="1"/>
        </xdr:cNvCxnSpPr>
      </xdr:nvCxnSpPr>
      <xdr:spPr>
        <a:xfrm flipH="1">
          <a:off x="18338639" y="4671144"/>
          <a:ext cx="468722" cy="11547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1145412</xdr:colOff>
      <xdr:row>21</xdr:row>
      <xdr:rowOff>12058</xdr:rowOff>
    </xdr:from>
    <xdr:to>
      <xdr:col>21</xdr:col>
      <xdr:colOff>1222696</xdr:colOff>
      <xdr:row>24</xdr:row>
      <xdr:rowOff>100522</xdr:rowOff>
    </xdr:to>
    <xdr:sp macro="" textlink="">
      <xdr:nvSpPr>
        <xdr:cNvPr id="7" name="TextBox 27">
          <a:extLst>
            <a:ext uri="{FF2B5EF4-FFF2-40B4-BE49-F238E27FC236}">
              <a16:creationId xmlns:a16="http://schemas.microsoft.com/office/drawing/2014/main" id="{8DC4546D-A646-4782-929B-6CFF74CCC2EA}"/>
            </a:ext>
          </a:extLst>
        </xdr:cNvPr>
        <xdr:cNvSpPr txBox="1"/>
      </xdr:nvSpPr>
      <xdr:spPr>
        <a:xfrm>
          <a:off x="19447880" y="5256836"/>
          <a:ext cx="412842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FAD466E3-EEAF-4D54-9BE0-C3070FB0E0BD}"/>
            </a:ext>
          </a:extLst>
        </xdr:cNvPr>
        <xdr:cNvSpPr txBox="1"/>
      </xdr:nvSpPr>
      <xdr:spPr>
        <a:xfrm>
          <a:off x="286871" y="959224"/>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1019175</xdr:colOff>
      <xdr:row>19</xdr:row>
      <xdr:rowOff>171450</xdr:rowOff>
    </xdr:from>
    <xdr:to>
      <xdr:col>15</xdr:col>
      <xdr:colOff>494166</xdr:colOff>
      <xdr:row>23</xdr:row>
      <xdr:rowOff>10433</xdr:rowOff>
    </xdr:to>
    <xdr:cxnSp macro="">
      <xdr:nvCxnSpPr>
        <xdr:cNvPr id="3" name="Straight Arrow Connector 5">
          <a:extLst>
            <a:ext uri="{FF2B5EF4-FFF2-40B4-BE49-F238E27FC236}">
              <a16:creationId xmlns:a16="http://schemas.microsoft.com/office/drawing/2014/main" id="{0AD80A28-B283-472E-AD0D-2E8981A3FD44}"/>
            </a:ext>
          </a:extLst>
        </xdr:cNvPr>
        <xdr:cNvCxnSpPr>
          <a:stCxn id="15" idx="0"/>
        </xdr:cNvCxnSpPr>
      </xdr:nvCxnSpPr>
      <xdr:spPr>
        <a:xfrm flipH="1" flipV="1">
          <a:off x="17256125" y="4953000"/>
          <a:ext cx="906916" cy="55970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4" name="Straight Arrow Connector 3">
          <a:extLst>
            <a:ext uri="{FF2B5EF4-FFF2-40B4-BE49-F238E27FC236}">
              <a16:creationId xmlns:a16="http://schemas.microsoft.com/office/drawing/2014/main" id="{354421DA-19C3-435E-8123-F46B69C0E978}"/>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11" name="Straight Arrow Connector 10">
          <a:extLst>
            <a:ext uri="{FF2B5EF4-FFF2-40B4-BE49-F238E27FC236}">
              <a16:creationId xmlns:a16="http://schemas.microsoft.com/office/drawing/2014/main" id="{462712F0-5327-481A-AA3B-A7F36CBA637C}"/>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196850</xdr:rowOff>
    </xdr:from>
    <xdr:to>
      <xdr:col>14</xdr:col>
      <xdr:colOff>234950</xdr:colOff>
      <xdr:row>4</xdr:row>
      <xdr:rowOff>361950</xdr:rowOff>
    </xdr:to>
    <xdr:cxnSp macro="">
      <xdr:nvCxnSpPr>
        <xdr:cNvPr id="13" name="Straight Arrow Connector 20">
          <a:extLst>
            <a:ext uri="{FF2B5EF4-FFF2-40B4-BE49-F238E27FC236}">
              <a16:creationId xmlns:a16="http://schemas.microsoft.com/office/drawing/2014/main" id="{23179191-C2CD-442A-9187-BC3B8FD1631B}"/>
            </a:ext>
          </a:extLst>
        </xdr:cNvPr>
        <xdr:cNvCxnSpPr>
          <a:cxnSpLocks/>
        </xdr:cNvCxnSpPr>
      </xdr:nvCxnSpPr>
      <xdr:spPr>
        <a:xfrm flipH="1">
          <a:off x="15678150" y="600075"/>
          <a:ext cx="800100" cy="8096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820056</xdr:colOff>
      <xdr:row>23</xdr:row>
      <xdr:rowOff>7258</xdr:rowOff>
    </xdr:from>
    <xdr:to>
      <xdr:col>16</xdr:col>
      <xdr:colOff>1038225</xdr:colOff>
      <xdr:row>26</xdr:row>
      <xdr:rowOff>82550</xdr:rowOff>
    </xdr:to>
    <xdr:sp macro="" textlink="">
      <xdr:nvSpPr>
        <xdr:cNvPr id="15" name="TextBox 9">
          <a:extLst>
            <a:ext uri="{FF2B5EF4-FFF2-40B4-BE49-F238E27FC236}">
              <a16:creationId xmlns:a16="http://schemas.microsoft.com/office/drawing/2014/main" id="{8208F481-2F0B-41AD-94B1-ECBB9B2511B1}"/>
            </a:ext>
          </a:extLst>
        </xdr:cNvPr>
        <xdr:cNvSpPr txBox="1"/>
      </xdr:nvSpPr>
      <xdr:spPr>
        <a:xfrm>
          <a:off x="17060181" y="5515883"/>
          <a:ext cx="2205719" cy="618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539750</xdr:colOff>
      <xdr:row>2</xdr:row>
      <xdr:rowOff>133350</xdr:rowOff>
    </xdr:from>
    <xdr:to>
      <xdr:col>16</xdr:col>
      <xdr:colOff>550609</xdr:colOff>
      <xdr:row>4</xdr:row>
      <xdr:rowOff>285750</xdr:rowOff>
    </xdr:to>
    <xdr:cxnSp macro="">
      <xdr:nvCxnSpPr>
        <xdr:cNvPr id="17" name="Straight Arrow Connector 20">
          <a:extLst>
            <a:ext uri="{FF2B5EF4-FFF2-40B4-BE49-F238E27FC236}">
              <a16:creationId xmlns:a16="http://schemas.microsoft.com/office/drawing/2014/main" id="{CB94965E-39DD-44BA-8893-31E028CF4788}"/>
            </a:ext>
          </a:extLst>
        </xdr:cNvPr>
        <xdr:cNvCxnSpPr>
          <a:cxnSpLocks/>
        </xdr:cNvCxnSpPr>
      </xdr:nvCxnSpPr>
      <xdr:spPr>
        <a:xfrm>
          <a:off x="17941925" y="7905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257174</xdr:colOff>
      <xdr:row>0</xdr:row>
      <xdr:rowOff>133350</xdr:rowOff>
    </xdr:from>
    <xdr:to>
      <xdr:col>19</xdr:col>
      <xdr:colOff>152400</xdr:colOff>
      <xdr:row>2</xdr:row>
      <xdr:rowOff>130809</xdr:rowOff>
    </xdr:to>
    <xdr:sp macro="" textlink="">
      <xdr:nvSpPr>
        <xdr:cNvPr id="18" name="TextBox 8">
          <a:extLst>
            <a:ext uri="{FF2B5EF4-FFF2-40B4-BE49-F238E27FC236}">
              <a16:creationId xmlns:a16="http://schemas.microsoft.com/office/drawing/2014/main" id="{F953D4C4-3F68-4109-A6D0-2B9828B6BA43}"/>
            </a:ext>
          </a:extLst>
        </xdr:cNvPr>
        <xdr:cNvSpPr txBox="1"/>
      </xdr:nvSpPr>
      <xdr:spPr>
        <a:xfrm>
          <a:off x="16497299" y="133350"/>
          <a:ext cx="5876926" cy="654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14</xdr:col>
      <xdr:colOff>752475</xdr:colOff>
      <xdr:row>9</xdr:row>
      <xdr:rowOff>19050</xdr:rowOff>
    </xdr:from>
    <xdr:to>
      <xdr:col>15</xdr:col>
      <xdr:colOff>433162</xdr:colOff>
      <xdr:row>14</xdr:row>
      <xdr:rowOff>124279</xdr:rowOff>
    </xdr:to>
    <xdr:cxnSp macro="">
      <xdr:nvCxnSpPr>
        <xdr:cNvPr id="22" name="Straight Arrow Connector 5">
          <a:extLst>
            <a:ext uri="{FF2B5EF4-FFF2-40B4-BE49-F238E27FC236}">
              <a16:creationId xmlns:a16="http://schemas.microsoft.com/office/drawing/2014/main" id="{0D0FD76A-1984-430E-AC05-D85880D67F78}"/>
            </a:ext>
          </a:extLst>
        </xdr:cNvPr>
        <xdr:cNvCxnSpPr>
          <a:stCxn id="21" idx="0"/>
        </xdr:cNvCxnSpPr>
      </xdr:nvCxnSpPr>
      <xdr:spPr>
        <a:xfrm flipH="1" flipV="1">
          <a:off x="16992600" y="2990850"/>
          <a:ext cx="995137" cy="101010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7</xdr:row>
      <xdr:rowOff>68037</xdr:rowOff>
    </xdr:from>
    <xdr:to>
      <xdr:col>14</xdr:col>
      <xdr:colOff>247650</xdr:colOff>
      <xdr:row>7</xdr:row>
      <xdr:rowOff>161925</xdr:rowOff>
    </xdr:to>
    <xdr:cxnSp macro="">
      <xdr:nvCxnSpPr>
        <xdr:cNvPr id="12" name="Straight Arrow Connector 2">
          <a:extLst>
            <a:ext uri="{FF2B5EF4-FFF2-40B4-BE49-F238E27FC236}">
              <a16:creationId xmlns:a16="http://schemas.microsoft.com/office/drawing/2014/main" id="{BD7BCCA1-D3BC-439C-8550-0E6DFECBE154}"/>
            </a:ext>
          </a:extLst>
        </xdr:cNvPr>
        <xdr:cNvCxnSpPr/>
      </xdr:nvCxnSpPr>
      <xdr:spPr>
        <a:xfrm>
          <a:off x="16247382" y="2677887"/>
          <a:ext cx="240393" cy="9388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8</xdr:row>
      <xdr:rowOff>95250</xdr:rowOff>
    </xdr:from>
    <xdr:to>
      <xdr:col>14</xdr:col>
      <xdr:colOff>152400</xdr:colOff>
      <xdr:row>8</xdr:row>
      <xdr:rowOff>95250</xdr:rowOff>
    </xdr:to>
    <xdr:cxnSp macro="">
      <xdr:nvCxnSpPr>
        <xdr:cNvPr id="7" name="Straight Arrow Connector 3">
          <a:extLst>
            <a:ext uri="{FF2B5EF4-FFF2-40B4-BE49-F238E27FC236}">
              <a16:creationId xmlns:a16="http://schemas.microsoft.com/office/drawing/2014/main" id="{CAE7A2C5-CEF3-4CD1-B0D5-B1E4B7490B6C}"/>
            </a:ext>
          </a:extLst>
        </xdr:cNvPr>
        <xdr:cNvCxnSpPr/>
      </xdr:nvCxnSpPr>
      <xdr:spPr>
        <a:xfrm>
          <a:off x="16240125" y="2886075"/>
          <a:ext cx="1524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514350</xdr:colOff>
      <xdr:row>1</xdr:row>
      <xdr:rowOff>70167</xdr:rowOff>
    </xdr:from>
    <xdr:to>
      <xdr:col>14</xdr:col>
      <xdr:colOff>695325</xdr:colOff>
      <xdr:row>4</xdr:row>
      <xdr:rowOff>381000</xdr:rowOff>
    </xdr:to>
    <xdr:cxnSp macro="">
      <xdr:nvCxnSpPr>
        <xdr:cNvPr id="31" name="Straight Arrow Connector 20">
          <a:extLst>
            <a:ext uri="{FF2B5EF4-FFF2-40B4-BE49-F238E27FC236}">
              <a16:creationId xmlns:a16="http://schemas.microsoft.com/office/drawing/2014/main" id="{70B11AB3-4EF1-4E36-9378-DB28937C0668}"/>
            </a:ext>
          </a:extLst>
        </xdr:cNvPr>
        <xdr:cNvCxnSpPr>
          <a:cxnSpLocks/>
          <a:stCxn id="27" idx="1"/>
        </xdr:cNvCxnSpPr>
      </xdr:nvCxnSpPr>
      <xdr:spPr>
        <a:xfrm flipH="1">
          <a:off x="15754350" y="470217"/>
          <a:ext cx="1181100" cy="95853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40821</xdr:colOff>
      <xdr:row>8</xdr:row>
      <xdr:rowOff>81643</xdr:rowOff>
    </xdr:from>
    <xdr:to>
      <xdr:col>18</xdr:col>
      <xdr:colOff>850899</xdr:colOff>
      <xdr:row>9</xdr:row>
      <xdr:rowOff>74215</xdr:rowOff>
    </xdr:to>
    <xdr:cxnSp macro="">
      <xdr:nvCxnSpPr>
        <xdr:cNvPr id="20" name="Straight Arrow Connector 5">
          <a:extLst>
            <a:ext uri="{FF2B5EF4-FFF2-40B4-BE49-F238E27FC236}">
              <a16:creationId xmlns:a16="http://schemas.microsoft.com/office/drawing/2014/main" id="{74355F68-FBA3-4EFA-8225-58C296315F26}"/>
            </a:ext>
          </a:extLst>
        </xdr:cNvPr>
        <xdr:cNvCxnSpPr>
          <a:stCxn id="19" idx="1"/>
        </xdr:cNvCxnSpPr>
      </xdr:nvCxnSpPr>
      <xdr:spPr>
        <a:xfrm flipH="1" flipV="1">
          <a:off x="17621250" y="2816679"/>
          <a:ext cx="810078" cy="1694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628198</xdr:colOff>
      <xdr:row>14</xdr:row>
      <xdr:rowOff>121104</xdr:rowOff>
    </xdr:from>
    <xdr:to>
      <xdr:col>16</xdr:col>
      <xdr:colOff>1047751</xdr:colOff>
      <xdr:row>18</xdr:row>
      <xdr:rowOff>69507</xdr:rowOff>
    </xdr:to>
    <xdr:sp macro="" textlink="">
      <xdr:nvSpPr>
        <xdr:cNvPr id="21" name="TextBox 7">
          <a:extLst>
            <a:ext uri="{FF2B5EF4-FFF2-40B4-BE49-F238E27FC236}">
              <a16:creationId xmlns:a16="http://schemas.microsoft.com/office/drawing/2014/main" id="{AF8F49AE-151F-4B62-A670-6C53BEE2E21F}"/>
            </a:ext>
          </a:extLst>
        </xdr:cNvPr>
        <xdr:cNvSpPr txBox="1"/>
      </xdr:nvSpPr>
      <xdr:spPr>
        <a:xfrm>
          <a:off x="16868323" y="3997779"/>
          <a:ext cx="2238828" cy="6723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19</xdr:col>
      <xdr:colOff>976539</xdr:colOff>
      <xdr:row>16</xdr:row>
      <xdr:rowOff>74043</xdr:rowOff>
    </xdr:from>
    <xdr:to>
      <xdr:col>19</xdr:col>
      <xdr:colOff>1171801</xdr:colOff>
      <xdr:row>19</xdr:row>
      <xdr:rowOff>40822</xdr:rowOff>
    </xdr:to>
    <xdr:cxnSp macro="">
      <xdr:nvCxnSpPr>
        <xdr:cNvPr id="14" name="Straight Arrow Connector 5">
          <a:extLst>
            <a:ext uri="{FF2B5EF4-FFF2-40B4-BE49-F238E27FC236}">
              <a16:creationId xmlns:a16="http://schemas.microsoft.com/office/drawing/2014/main" id="{3E4E9F43-10DB-4D69-A7A7-464F6BB3BCB9}"/>
            </a:ext>
          </a:extLst>
        </xdr:cNvPr>
        <xdr:cNvCxnSpPr>
          <a:cxnSpLocks/>
        </xdr:cNvCxnSpPr>
      </xdr:nvCxnSpPr>
      <xdr:spPr>
        <a:xfrm flipH="1">
          <a:off x="20012932" y="4224222"/>
          <a:ext cx="195262" cy="32056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765174</xdr:colOff>
      <xdr:row>16</xdr:row>
      <xdr:rowOff>74043</xdr:rowOff>
    </xdr:from>
    <xdr:to>
      <xdr:col>19</xdr:col>
      <xdr:colOff>1171801</xdr:colOff>
      <xdr:row>19</xdr:row>
      <xdr:rowOff>136072</xdr:rowOff>
    </xdr:to>
    <xdr:cxnSp macro="">
      <xdr:nvCxnSpPr>
        <xdr:cNvPr id="13" name="Straight Arrow Connector 5">
          <a:extLst>
            <a:ext uri="{FF2B5EF4-FFF2-40B4-BE49-F238E27FC236}">
              <a16:creationId xmlns:a16="http://schemas.microsoft.com/office/drawing/2014/main" id="{DD19A4E8-28D4-40F8-B4EA-F68B0BC4E759}"/>
            </a:ext>
          </a:extLst>
        </xdr:cNvPr>
        <xdr:cNvCxnSpPr>
          <a:cxnSpLocks/>
        </xdr:cNvCxnSpPr>
      </xdr:nvCxnSpPr>
      <xdr:spPr>
        <a:xfrm flipH="1">
          <a:off x="18345603" y="4224222"/>
          <a:ext cx="1862591" cy="41581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499390</xdr:colOff>
      <xdr:row>16</xdr:row>
      <xdr:rowOff>69052</xdr:rowOff>
    </xdr:from>
    <xdr:to>
      <xdr:col>21</xdr:col>
      <xdr:colOff>1006929</xdr:colOff>
      <xdr:row>17</xdr:row>
      <xdr:rowOff>125640</xdr:rowOff>
    </xdr:to>
    <xdr:cxnSp macro="">
      <xdr:nvCxnSpPr>
        <xdr:cNvPr id="24" name="Straight Arrow Connector 5">
          <a:extLst>
            <a:ext uri="{FF2B5EF4-FFF2-40B4-BE49-F238E27FC236}">
              <a16:creationId xmlns:a16="http://schemas.microsoft.com/office/drawing/2014/main" id="{8AC5EA3E-AF6F-4477-AA20-56CBA32B7A03}"/>
            </a:ext>
          </a:extLst>
        </xdr:cNvPr>
        <xdr:cNvCxnSpPr>
          <a:cxnSpLocks/>
          <a:stCxn id="15" idx="2"/>
        </xdr:cNvCxnSpPr>
      </xdr:nvCxnSpPr>
      <xdr:spPr>
        <a:xfrm>
          <a:off x="20991747" y="4219231"/>
          <a:ext cx="1636932" cy="23348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854074</xdr:colOff>
      <xdr:row>7</xdr:row>
      <xdr:rowOff>98426</xdr:rowOff>
    </xdr:from>
    <xdr:to>
      <xdr:col>20</xdr:col>
      <xdr:colOff>551542</xdr:colOff>
      <xdr:row>11</xdr:row>
      <xdr:rowOff>43654</xdr:rowOff>
    </xdr:to>
    <xdr:sp macro="" textlink="">
      <xdr:nvSpPr>
        <xdr:cNvPr id="19" name="TextBox 13">
          <a:extLst>
            <a:ext uri="{FF2B5EF4-FFF2-40B4-BE49-F238E27FC236}">
              <a16:creationId xmlns:a16="http://schemas.microsoft.com/office/drawing/2014/main" id="{15CE515F-EBB5-420A-9F25-CB86467BCF83}"/>
            </a:ext>
          </a:extLst>
        </xdr:cNvPr>
        <xdr:cNvSpPr txBox="1"/>
      </xdr:nvSpPr>
      <xdr:spPr>
        <a:xfrm>
          <a:off x="18434503" y="2656569"/>
          <a:ext cx="2609396" cy="6527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1347106</xdr:colOff>
      <xdr:row>12</xdr:row>
      <xdr:rowOff>136071</xdr:rowOff>
    </xdr:from>
    <xdr:to>
      <xdr:col>21</xdr:col>
      <xdr:colOff>1440559</xdr:colOff>
      <xdr:row>16</xdr:row>
      <xdr:rowOff>65877</xdr:rowOff>
    </xdr:to>
    <xdr:sp macro="" textlink="">
      <xdr:nvSpPr>
        <xdr:cNvPr id="15" name="TextBox 27">
          <a:extLst>
            <a:ext uri="{FF2B5EF4-FFF2-40B4-BE49-F238E27FC236}">
              <a16:creationId xmlns:a16="http://schemas.microsoft.com/office/drawing/2014/main" id="{4B3515C0-8D7E-4DC3-A07B-5ABE12F3D387}"/>
            </a:ext>
          </a:extLst>
        </xdr:cNvPr>
        <xdr:cNvSpPr txBox="1"/>
      </xdr:nvSpPr>
      <xdr:spPr>
        <a:xfrm>
          <a:off x="18927535" y="3578678"/>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755649</xdr:colOff>
      <xdr:row>79</xdr:row>
      <xdr:rowOff>139700</xdr:rowOff>
    </xdr:from>
    <xdr:to>
      <xdr:col>7</xdr:col>
      <xdr:colOff>644977</xdr:colOff>
      <xdr:row>82</xdr:row>
      <xdr:rowOff>73479</xdr:rowOff>
    </xdr:to>
    <xdr:sp macro="" textlink="">
      <xdr:nvSpPr>
        <xdr:cNvPr id="2" name="TextBox 7">
          <a:extLst>
            <a:ext uri="{FF2B5EF4-FFF2-40B4-BE49-F238E27FC236}">
              <a16:creationId xmlns:a16="http://schemas.microsoft.com/office/drawing/2014/main" id="{6FA6D547-FD74-47AF-92DA-6D09F38FBF6C}"/>
            </a:ext>
          </a:extLst>
        </xdr:cNvPr>
        <xdr:cNvSpPr txBox="1"/>
      </xdr:nvSpPr>
      <xdr:spPr>
        <a:xfrm>
          <a:off x="7108824" y="16722725"/>
          <a:ext cx="2984953" cy="4767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is linked to the response given in the Initial questions worksheet.</a:t>
          </a:r>
          <a:endParaRPr lang="en-GB">
            <a:effectLst/>
          </a:endParaRPr>
        </a:p>
      </xdr:txBody>
    </xdr:sp>
    <xdr:clientData/>
  </xdr:twoCellAnchor>
  <xdr:twoCellAnchor>
    <xdr:from>
      <xdr:col>5</xdr:col>
      <xdr:colOff>38100</xdr:colOff>
      <xdr:row>79</xdr:row>
      <xdr:rowOff>91441</xdr:rowOff>
    </xdr:from>
    <xdr:to>
      <xdr:col>5</xdr:col>
      <xdr:colOff>753744</xdr:colOff>
      <xdr:row>81</xdr:row>
      <xdr:rowOff>16238</xdr:rowOff>
    </xdr:to>
    <xdr:cxnSp macro="">
      <xdr:nvCxnSpPr>
        <xdr:cNvPr id="17" name="Straight Arrow Connector 5">
          <a:extLst>
            <a:ext uri="{FF2B5EF4-FFF2-40B4-BE49-F238E27FC236}">
              <a16:creationId xmlns:a16="http://schemas.microsoft.com/office/drawing/2014/main" id="{C8252406-8A1F-4D19-A169-9ABCF12003B6}"/>
            </a:ext>
          </a:extLst>
        </xdr:cNvPr>
        <xdr:cNvCxnSpPr>
          <a:stCxn id="2" idx="1"/>
        </xdr:cNvCxnSpPr>
      </xdr:nvCxnSpPr>
      <xdr:spPr>
        <a:xfrm flipH="1" flipV="1">
          <a:off x="6297386" y="16392798"/>
          <a:ext cx="715644" cy="2785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24BECDBC-B988-4221-9B33-3DF67F6B9F52}"/>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695325</xdr:colOff>
      <xdr:row>0</xdr:row>
      <xdr:rowOff>139700</xdr:rowOff>
    </xdr:from>
    <xdr:to>
      <xdr:col>19</xdr:col>
      <xdr:colOff>1000125</xdr:colOff>
      <xdr:row>2</xdr:row>
      <xdr:rowOff>143509</xdr:rowOff>
    </xdr:to>
    <xdr:sp macro="" textlink="">
      <xdr:nvSpPr>
        <xdr:cNvPr id="27" name="TextBox 8">
          <a:extLst>
            <a:ext uri="{FF2B5EF4-FFF2-40B4-BE49-F238E27FC236}">
              <a16:creationId xmlns:a16="http://schemas.microsoft.com/office/drawing/2014/main" id="{1E2F1CFC-155A-48C8-A47B-E970F775F2E1}"/>
            </a:ext>
          </a:extLst>
        </xdr:cNvPr>
        <xdr:cNvSpPr txBox="1"/>
      </xdr:nvSpPr>
      <xdr:spPr>
        <a:xfrm>
          <a:off x="16935450" y="139700"/>
          <a:ext cx="5943600" cy="6610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16</xdr:col>
      <xdr:colOff>473075</xdr:colOff>
      <xdr:row>2</xdr:row>
      <xdr:rowOff>142875</xdr:rowOff>
    </xdr:from>
    <xdr:to>
      <xdr:col>16</xdr:col>
      <xdr:colOff>483934</xdr:colOff>
      <xdr:row>4</xdr:row>
      <xdr:rowOff>295275</xdr:rowOff>
    </xdr:to>
    <xdr:cxnSp macro="">
      <xdr:nvCxnSpPr>
        <xdr:cNvPr id="4" name="Straight Arrow Connector 3">
          <a:extLst>
            <a:ext uri="{FF2B5EF4-FFF2-40B4-BE49-F238E27FC236}">
              <a16:creationId xmlns:a16="http://schemas.microsoft.com/office/drawing/2014/main" id="{3D190BAC-3842-418F-B99A-FEA9044B54F9}"/>
            </a:ext>
          </a:extLst>
        </xdr:cNvPr>
        <xdr:cNvCxnSpPr>
          <a:cxnSpLocks/>
        </xdr:cNvCxnSpPr>
      </xdr:nvCxnSpPr>
      <xdr:spPr>
        <a:xfrm>
          <a:off x="17694275" y="80010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6.xml><?xml version="1.0" encoding="utf-8"?>
<xdr:wsDr xmlns:xdr="http://schemas.openxmlformats.org/drawingml/2006/spreadsheetDrawing" xmlns:a="http://schemas.openxmlformats.org/drawingml/2006/main">
  <xdr:twoCellAnchor>
    <xdr:from>
      <xdr:col>18</xdr:col>
      <xdr:colOff>867682</xdr:colOff>
      <xdr:row>22</xdr:row>
      <xdr:rowOff>149678</xdr:rowOff>
    </xdr:from>
    <xdr:to>
      <xdr:col>19</xdr:col>
      <xdr:colOff>694872</xdr:colOff>
      <xdr:row>25</xdr:row>
      <xdr:rowOff>119291</xdr:rowOff>
    </xdr:to>
    <xdr:cxnSp macro="">
      <xdr:nvCxnSpPr>
        <xdr:cNvPr id="14" name="Straight Arrow Connector 5">
          <a:extLst>
            <a:ext uri="{FF2B5EF4-FFF2-40B4-BE49-F238E27FC236}">
              <a16:creationId xmlns:a16="http://schemas.microsoft.com/office/drawing/2014/main" id="{1AB6D7EE-859A-4F73-817D-8F7412A39AA2}"/>
            </a:ext>
          </a:extLst>
        </xdr:cNvPr>
        <xdr:cNvCxnSpPr/>
      </xdr:nvCxnSpPr>
      <xdr:spPr>
        <a:xfrm flipH="1">
          <a:off x="18924361" y="5347607"/>
          <a:ext cx="1283154"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461064</xdr:colOff>
      <xdr:row>24</xdr:row>
      <xdr:rowOff>126203</xdr:rowOff>
    </xdr:from>
    <xdr:to>
      <xdr:col>21</xdr:col>
      <xdr:colOff>552450</xdr:colOff>
      <xdr:row>25</xdr:row>
      <xdr:rowOff>152400</xdr:rowOff>
    </xdr:to>
    <xdr:cxnSp macro="">
      <xdr:nvCxnSpPr>
        <xdr:cNvPr id="6" name="Straight Arrow Connector 5">
          <a:extLst>
            <a:ext uri="{FF2B5EF4-FFF2-40B4-BE49-F238E27FC236}">
              <a16:creationId xmlns:a16="http://schemas.microsoft.com/office/drawing/2014/main" id="{92009B3E-3720-4597-B7E9-790F63C81679}"/>
            </a:ext>
          </a:extLst>
        </xdr:cNvPr>
        <xdr:cNvCxnSpPr>
          <a:cxnSpLocks/>
          <a:stCxn id="5" idx="2"/>
        </xdr:cNvCxnSpPr>
      </xdr:nvCxnSpPr>
      <xdr:spPr>
        <a:xfrm>
          <a:off x="23054364" y="5984078"/>
          <a:ext cx="1605861" cy="21669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1038225</xdr:colOff>
      <xdr:row>21</xdr:row>
      <xdr:rowOff>25854</xdr:rowOff>
    </xdr:from>
    <xdr:to>
      <xdr:col>21</xdr:col>
      <xdr:colOff>1131678</xdr:colOff>
      <xdr:row>24</xdr:row>
      <xdr:rowOff>126203</xdr:rowOff>
    </xdr:to>
    <xdr:sp macro="" textlink="">
      <xdr:nvSpPr>
        <xdr:cNvPr id="5" name="TextBox 27">
          <a:extLst>
            <a:ext uri="{FF2B5EF4-FFF2-40B4-BE49-F238E27FC236}">
              <a16:creationId xmlns:a16="http://schemas.microsoft.com/office/drawing/2014/main" id="{711A298F-710F-4043-9E4D-250390F28464}"/>
            </a:ext>
          </a:extLst>
        </xdr:cNvPr>
        <xdr:cNvSpPr txBox="1"/>
      </xdr:nvSpPr>
      <xdr:spPr>
        <a:xfrm>
          <a:off x="20869275" y="5312229"/>
          <a:ext cx="4370178" cy="67184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2" name="TextBox 17">
          <a:extLst>
            <a:ext uri="{FF2B5EF4-FFF2-40B4-BE49-F238E27FC236}">
              <a16:creationId xmlns:a16="http://schemas.microsoft.com/office/drawing/2014/main" id="{550630D7-731F-4F34-877D-55E994FEBCE7}"/>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438150</xdr:colOff>
      <xdr:row>1</xdr:row>
      <xdr:rowOff>52707</xdr:rowOff>
    </xdr:from>
    <xdr:to>
      <xdr:col>14</xdr:col>
      <xdr:colOff>263525</xdr:colOff>
      <xdr:row>4</xdr:row>
      <xdr:rowOff>361950</xdr:rowOff>
    </xdr:to>
    <xdr:cxnSp macro="">
      <xdr:nvCxnSpPr>
        <xdr:cNvPr id="9" name="Straight Arrow Connector 20">
          <a:extLst>
            <a:ext uri="{FF2B5EF4-FFF2-40B4-BE49-F238E27FC236}">
              <a16:creationId xmlns:a16="http://schemas.microsoft.com/office/drawing/2014/main" id="{EBF7E48D-DEB6-4B46-A57D-F7F170E61AB8}"/>
            </a:ext>
          </a:extLst>
        </xdr:cNvPr>
        <xdr:cNvCxnSpPr>
          <a:cxnSpLocks/>
          <a:stCxn id="15" idx="1"/>
        </xdr:cNvCxnSpPr>
      </xdr:nvCxnSpPr>
      <xdr:spPr>
        <a:xfrm flipH="1">
          <a:off x="15678150" y="452757"/>
          <a:ext cx="825500" cy="95694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542925</xdr:colOff>
      <xdr:row>2</xdr:row>
      <xdr:rowOff>142875</xdr:rowOff>
    </xdr:from>
    <xdr:to>
      <xdr:col>16</xdr:col>
      <xdr:colOff>550609</xdr:colOff>
      <xdr:row>4</xdr:row>
      <xdr:rowOff>333375</xdr:rowOff>
    </xdr:to>
    <xdr:cxnSp macro="">
      <xdr:nvCxnSpPr>
        <xdr:cNvPr id="13" name="Straight Arrow Connector 12">
          <a:extLst>
            <a:ext uri="{FF2B5EF4-FFF2-40B4-BE49-F238E27FC236}">
              <a16:creationId xmlns:a16="http://schemas.microsoft.com/office/drawing/2014/main" id="{28B64C13-FC6D-46FF-B0B3-80CA0E2F9907}"/>
            </a:ext>
          </a:extLst>
        </xdr:cNvPr>
        <xdr:cNvCxnSpPr>
          <a:cxnSpLocks/>
        </xdr:cNvCxnSpPr>
      </xdr:nvCxnSpPr>
      <xdr:spPr>
        <a:xfrm>
          <a:off x="17945100" y="800100"/>
          <a:ext cx="7684" cy="571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263525</xdr:colOff>
      <xdr:row>0</xdr:row>
      <xdr:rowOff>101600</xdr:rowOff>
    </xdr:from>
    <xdr:to>
      <xdr:col>19</xdr:col>
      <xdr:colOff>225425</xdr:colOff>
      <xdr:row>2</xdr:row>
      <xdr:rowOff>140338</xdr:rowOff>
    </xdr:to>
    <xdr:sp macro="" textlink="">
      <xdr:nvSpPr>
        <xdr:cNvPr id="15" name="TextBox 13">
          <a:extLst>
            <a:ext uri="{FF2B5EF4-FFF2-40B4-BE49-F238E27FC236}">
              <a16:creationId xmlns:a16="http://schemas.microsoft.com/office/drawing/2014/main" id="{31468C97-BC9D-4387-A728-E17032C78969}"/>
            </a:ext>
          </a:extLst>
        </xdr:cNvPr>
        <xdr:cNvSpPr txBox="1"/>
      </xdr:nvSpPr>
      <xdr:spPr>
        <a:xfrm>
          <a:off x="16503650" y="101600"/>
          <a:ext cx="5943600" cy="6959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17</xdr:col>
      <xdr:colOff>1085850</xdr:colOff>
      <xdr:row>18</xdr:row>
      <xdr:rowOff>0</xdr:rowOff>
    </xdr:from>
    <xdr:to>
      <xdr:col>20</xdr:col>
      <xdr:colOff>175760</xdr:colOff>
      <xdr:row>19</xdr:row>
      <xdr:rowOff>66674</xdr:rowOff>
    </xdr:to>
    <xdr:cxnSp macro="">
      <xdr:nvCxnSpPr>
        <xdr:cNvPr id="7" name="Straight Arrow Connector 5">
          <a:extLst>
            <a:ext uri="{FF2B5EF4-FFF2-40B4-BE49-F238E27FC236}">
              <a16:creationId xmlns:a16="http://schemas.microsoft.com/office/drawing/2014/main" id="{58AC77BE-CA0F-4A1D-B627-2F9C40E97E05}"/>
            </a:ext>
          </a:extLst>
        </xdr:cNvPr>
        <xdr:cNvCxnSpPr>
          <a:stCxn id="8" idx="0"/>
        </xdr:cNvCxnSpPr>
      </xdr:nvCxnSpPr>
      <xdr:spPr>
        <a:xfrm flipH="1">
          <a:off x="19745325" y="4714875"/>
          <a:ext cx="3023735" cy="25717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427719</xdr:colOff>
      <xdr:row>18</xdr:row>
      <xdr:rowOff>0</xdr:rowOff>
    </xdr:from>
    <xdr:to>
      <xdr:col>21</xdr:col>
      <xdr:colOff>1228725</xdr:colOff>
      <xdr:row>20</xdr:row>
      <xdr:rowOff>76199</xdr:rowOff>
    </xdr:to>
    <xdr:sp macro="" textlink="">
      <xdr:nvSpPr>
        <xdr:cNvPr id="8" name="TextBox 7">
          <a:extLst>
            <a:ext uri="{FF2B5EF4-FFF2-40B4-BE49-F238E27FC236}">
              <a16:creationId xmlns:a16="http://schemas.microsoft.com/office/drawing/2014/main" id="{4836C611-05DD-4636-94D2-670A97BFFFB1}"/>
            </a:ext>
          </a:extLst>
        </xdr:cNvPr>
        <xdr:cNvSpPr txBox="1"/>
      </xdr:nvSpPr>
      <xdr:spPr>
        <a:xfrm>
          <a:off x="20258769" y="4714875"/>
          <a:ext cx="5077731" cy="45719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18</xdr:col>
      <xdr:colOff>1044123</xdr:colOff>
      <xdr:row>24</xdr:row>
      <xdr:rowOff>124732</xdr:rowOff>
    </xdr:from>
    <xdr:to>
      <xdr:col>19</xdr:col>
      <xdr:colOff>560161</xdr:colOff>
      <xdr:row>25</xdr:row>
      <xdr:rowOff>167822</xdr:rowOff>
    </xdr:to>
    <xdr:cxnSp macro="">
      <xdr:nvCxnSpPr>
        <xdr:cNvPr id="25" name="Straight Arrow Connector 5">
          <a:extLst>
            <a:ext uri="{FF2B5EF4-FFF2-40B4-BE49-F238E27FC236}">
              <a16:creationId xmlns:a16="http://schemas.microsoft.com/office/drawing/2014/main" id="{6E30B32F-D925-4A66-94FB-3C61D41ADA5C}"/>
            </a:ext>
          </a:extLst>
        </xdr:cNvPr>
        <xdr:cNvCxnSpPr/>
      </xdr:nvCxnSpPr>
      <xdr:spPr>
        <a:xfrm flipH="1">
          <a:off x="19268623" y="5807982"/>
          <a:ext cx="976538" cy="21771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273512</xdr:colOff>
      <xdr:row>24</xdr:row>
      <xdr:rowOff>97628</xdr:rowOff>
    </xdr:from>
    <xdr:to>
      <xdr:col>21</xdr:col>
      <xdr:colOff>666750</xdr:colOff>
      <xdr:row>25</xdr:row>
      <xdr:rowOff>161925</xdr:rowOff>
    </xdr:to>
    <xdr:cxnSp macro="">
      <xdr:nvCxnSpPr>
        <xdr:cNvPr id="5" name="Straight Arrow Connector 5">
          <a:extLst>
            <a:ext uri="{FF2B5EF4-FFF2-40B4-BE49-F238E27FC236}">
              <a16:creationId xmlns:a16="http://schemas.microsoft.com/office/drawing/2014/main" id="{9A9C841A-0239-4B7B-BCB2-2C6C154E8389}"/>
            </a:ext>
          </a:extLst>
        </xdr:cNvPr>
        <xdr:cNvCxnSpPr>
          <a:cxnSpLocks/>
          <a:stCxn id="4" idx="2"/>
        </xdr:cNvCxnSpPr>
      </xdr:nvCxnSpPr>
      <xdr:spPr>
        <a:xfrm>
          <a:off x="21419012" y="5971378"/>
          <a:ext cx="1520363" cy="2389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472620</xdr:colOff>
      <xdr:row>17</xdr:row>
      <xdr:rowOff>80284</xdr:rowOff>
    </xdr:from>
    <xdr:to>
      <xdr:col>21</xdr:col>
      <xdr:colOff>380999</xdr:colOff>
      <xdr:row>20</xdr:row>
      <xdr:rowOff>46265</xdr:rowOff>
    </xdr:to>
    <xdr:sp macro="" textlink="">
      <xdr:nvSpPr>
        <xdr:cNvPr id="6" name="TextBox 10">
          <a:extLst>
            <a:ext uri="{FF2B5EF4-FFF2-40B4-BE49-F238E27FC236}">
              <a16:creationId xmlns:a16="http://schemas.microsoft.com/office/drawing/2014/main" id="{B545ABD1-DA45-4BF7-A720-34462CCE1766}"/>
            </a:ext>
          </a:extLst>
        </xdr:cNvPr>
        <xdr:cNvSpPr txBox="1"/>
      </xdr:nvSpPr>
      <xdr:spPr>
        <a:xfrm>
          <a:off x="18697120" y="4541159"/>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0</xdr:colOff>
      <xdr:row>18</xdr:row>
      <xdr:rowOff>153762</xdr:rowOff>
    </xdr:from>
    <xdr:to>
      <xdr:col>18</xdr:col>
      <xdr:colOff>469445</xdr:colOff>
      <xdr:row>19</xdr:row>
      <xdr:rowOff>63500</xdr:rowOff>
    </xdr:to>
    <xdr:cxnSp macro="">
      <xdr:nvCxnSpPr>
        <xdr:cNvPr id="28" name="Straight Arrow Connector 5">
          <a:extLst>
            <a:ext uri="{FF2B5EF4-FFF2-40B4-BE49-F238E27FC236}">
              <a16:creationId xmlns:a16="http://schemas.microsoft.com/office/drawing/2014/main" id="{F39ED327-7A6D-4310-8E35-012E52AD62C6}"/>
            </a:ext>
          </a:extLst>
        </xdr:cNvPr>
        <xdr:cNvCxnSpPr>
          <a:stCxn id="6" idx="1"/>
        </xdr:cNvCxnSpPr>
      </xdr:nvCxnSpPr>
      <xdr:spPr>
        <a:xfrm flipH="1">
          <a:off x="18224500" y="4789262"/>
          <a:ext cx="469445" cy="8436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1127125</xdr:colOff>
      <xdr:row>20</xdr:row>
      <xdr:rowOff>158750</xdr:rowOff>
    </xdr:from>
    <xdr:to>
      <xdr:col>21</xdr:col>
      <xdr:colOff>1213774</xdr:colOff>
      <xdr:row>24</xdr:row>
      <xdr:rowOff>97628</xdr:rowOff>
    </xdr:to>
    <xdr:sp macro="" textlink="">
      <xdr:nvSpPr>
        <xdr:cNvPr id="4" name="TextBox 27">
          <a:extLst>
            <a:ext uri="{FF2B5EF4-FFF2-40B4-BE49-F238E27FC236}">
              <a16:creationId xmlns:a16="http://schemas.microsoft.com/office/drawing/2014/main" id="{F5EEC906-33B9-4DA5-A254-F09E39C2F5A2}"/>
            </a:ext>
          </a:extLst>
        </xdr:cNvPr>
        <xdr:cNvSpPr txBox="1"/>
      </xdr:nvSpPr>
      <xdr:spPr>
        <a:xfrm>
          <a:off x="19351625" y="5334000"/>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64B83D81-3563-4474-B7DC-88FAC6AC02EB}"/>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981075</xdr:colOff>
      <xdr:row>20</xdr:row>
      <xdr:rowOff>19050</xdr:rowOff>
    </xdr:from>
    <xdr:to>
      <xdr:col>15</xdr:col>
      <xdr:colOff>284616</xdr:colOff>
      <xdr:row>23</xdr:row>
      <xdr:rowOff>908</xdr:rowOff>
    </xdr:to>
    <xdr:cxnSp macro="">
      <xdr:nvCxnSpPr>
        <xdr:cNvPr id="2" name="Straight Arrow Connector 5">
          <a:extLst>
            <a:ext uri="{FF2B5EF4-FFF2-40B4-BE49-F238E27FC236}">
              <a16:creationId xmlns:a16="http://schemas.microsoft.com/office/drawing/2014/main" id="{FDE72CF2-7DF2-4276-A1B7-615490D5B56B}"/>
            </a:ext>
          </a:extLst>
        </xdr:cNvPr>
        <xdr:cNvCxnSpPr>
          <a:stCxn id="10" idx="0"/>
        </xdr:cNvCxnSpPr>
      </xdr:nvCxnSpPr>
      <xdr:spPr>
        <a:xfrm flipH="1" flipV="1">
          <a:off x="17221200" y="4981575"/>
          <a:ext cx="732291" cy="5247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3" name="Straight Arrow Connector 2">
          <a:extLst>
            <a:ext uri="{FF2B5EF4-FFF2-40B4-BE49-F238E27FC236}">
              <a16:creationId xmlns:a16="http://schemas.microsoft.com/office/drawing/2014/main" id="{197F572E-1958-4992-BD8B-61D7E39D079F}"/>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7" name="Straight Arrow Connector 6">
          <a:extLst>
            <a:ext uri="{FF2B5EF4-FFF2-40B4-BE49-F238E27FC236}">
              <a16:creationId xmlns:a16="http://schemas.microsoft.com/office/drawing/2014/main" id="{EA717287-89BF-481C-B3CB-2D880D49384B}"/>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43182</xdr:rowOff>
    </xdr:from>
    <xdr:to>
      <xdr:col>14</xdr:col>
      <xdr:colOff>476250</xdr:colOff>
      <xdr:row>4</xdr:row>
      <xdr:rowOff>361950</xdr:rowOff>
    </xdr:to>
    <xdr:cxnSp macro="">
      <xdr:nvCxnSpPr>
        <xdr:cNvPr id="8" name="Straight Arrow Connector 20">
          <a:extLst>
            <a:ext uri="{FF2B5EF4-FFF2-40B4-BE49-F238E27FC236}">
              <a16:creationId xmlns:a16="http://schemas.microsoft.com/office/drawing/2014/main" id="{32EF2CF7-CE95-4F75-AD4C-2A1C13F1F39D}"/>
            </a:ext>
          </a:extLst>
        </xdr:cNvPr>
        <xdr:cNvCxnSpPr>
          <a:cxnSpLocks/>
          <a:stCxn id="14" idx="1"/>
        </xdr:cNvCxnSpPr>
      </xdr:nvCxnSpPr>
      <xdr:spPr>
        <a:xfrm flipH="1">
          <a:off x="15678150" y="443232"/>
          <a:ext cx="1038225" cy="96646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610506</xdr:colOff>
      <xdr:row>22</xdr:row>
      <xdr:rowOff>178708</xdr:rowOff>
    </xdr:from>
    <xdr:to>
      <xdr:col>16</xdr:col>
      <xdr:colOff>828675</xdr:colOff>
      <xdr:row>26</xdr:row>
      <xdr:rowOff>73025</xdr:rowOff>
    </xdr:to>
    <xdr:sp macro="" textlink="">
      <xdr:nvSpPr>
        <xdr:cNvPr id="10" name="TextBox 9">
          <a:extLst>
            <a:ext uri="{FF2B5EF4-FFF2-40B4-BE49-F238E27FC236}">
              <a16:creationId xmlns:a16="http://schemas.microsoft.com/office/drawing/2014/main" id="{084A329E-EF37-4747-9A29-91D50F6BA4F7}"/>
            </a:ext>
          </a:extLst>
        </xdr:cNvPr>
        <xdr:cNvSpPr txBox="1"/>
      </xdr:nvSpPr>
      <xdr:spPr>
        <a:xfrm>
          <a:off x="16850631" y="5503183"/>
          <a:ext cx="2208894" cy="618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539750</xdr:colOff>
      <xdr:row>2</xdr:row>
      <xdr:rowOff>142875</xdr:rowOff>
    </xdr:from>
    <xdr:to>
      <xdr:col>16</xdr:col>
      <xdr:colOff>550609</xdr:colOff>
      <xdr:row>4</xdr:row>
      <xdr:rowOff>295275</xdr:rowOff>
    </xdr:to>
    <xdr:cxnSp macro="">
      <xdr:nvCxnSpPr>
        <xdr:cNvPr id="12" name="Straight Arrow Connector 11">
          <a:extLst>
            <a:ext uri="{FF2B5EF4-FFF2-40B4-BE49-F238E27FC236}">
              <a16:creationId xmlns:a16="http://schemas.microsoft.com/office/drawing/2014/main" id="{E4946328-26FC-41E1-A563-BF0B4CC4F0A8}"/>
            </a:ext>
          </a:extLst>
        </xdr:cNvPr>
        <xdr:cNvCxnSpPr>
          <a:cxnSpLocks/>
        </xdr:cNvCxnSpPr>
      </xdr:nvCxnSpPr>
      <xdr:spPr>
        <a:xfrm>
          <a:off x="17941925" y="80010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476250</xdr:colOff>
      <xdr:row>0</xdr:row>
      <xdr:rowOff>95250</xdr:rowOff>
    </xdr:from>
    <xdr:to>
      <xdr:col>19</xdr:col>
      <xdr:colOff>368300</xdr:colOff>
      <xdr:row>2</xdr:row>
      <xdr:rowOff>133988</xdr:rowOff>
    </xdr:to>
    <xdr:sp macro="" textlink="">
      <xdr:nvSpPr>
        <xdr:cNvPr id="14" name="TextBox 13">
          <a:extLst>
            <a:ext uri="{FF2B5EF4-FFF2-40B4-BE49-F238E27FC236}">
              <a16:creationId xmlns:a16="http://schemas.microsoft.com/office/drawing/2014/main" id="{34827588-9078-416B-B2DE-8CA5E9AB4CC7}"/>
            </a:ext>
          </a:extLst>
        </xdr:cNvPr>
        <xdr:cNvSpPr txBox="1"/>
      </xdr:nvSpPr>
      <xdr:spPr>
        <a:xfrm>
          <a:off x="16716375" y="95250"/>
          <a:ext cx="5873750" cy="69596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18</xdr:col>
      <xdr:colOff>928462</xdr:colOff>
      <xdr:row>24</xdr:row>
      <xdr:rowOff>139246</xdr:rowOff>
    </xdr:from>
    <xdr:to>
      <xdr:col>19</xdr:col>
      <xdr:colOff>449036</xdr:colOff>
      <xdr:row>25</xdr:row>
      <xdr:rowOff>173718</xdr:rowOff>
    </xdr:to>
    <xdr:cxnSp macro="">
      <xdr:nvCxnSpPr>
        <xdr:cNvPr id="25" name="Straight Arrow Connector 5">
          <a:extLst>
            <a:ext uri="{FF2B5EF4-FFF2-40B4-BE49-F238E27FC236}">
              <a16:creationId xmlns:a16="http://schemas.microsoft.com/office/drawing/2014/main" id="{7132B7F0-B518-40BE-BDE7-E02C7A4ADE69}"/>
            </a:ext>
          </a:extLst>
        </xdr:cNvPr>
        <xdr:cNvCxnSpPr/>
      </xdr:nvCxnSpPr>
      <xdr:spPr>
        <a:xfrm flipH="1">
          <a:off x="19175641" y="5867853"/>
          <a:ext cx="976538" cy="21136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503111</xdr:colOff>
      <xdr:row>24</xdr:row>
      <xdr:rowOff>131374</xdr:rowOff>
    </xdr:from>
    <xdr:to>
      <xdr:col>21</xdr:col>
      <xdr:colOff>152400</xdr:colOff>
      <xdr:row>25</xdr:row>
      <xdr:rowOff>142875</xdr:rowOff>
    </xdr:to>
    <xdr:cxnSp macro="">
      <xdr:nvCxnSpPr>
        <xdr:cNvPr id="9" name="Straight Arrow Connector 5">
          <a:extLst>
            <a:ext uri="{FF2B5EF4-FFF2-40B4-BE49-F238E27FC236}">
              <a16:creationId xmlns:a16="http://schemas.microsoft.com/office/drawing/2014/main" id="{824D1A03-9D12-4849-AC59-8CD6F24011A2}"/>
            </a:ext>
          </a:extLst>
        </xdr:cNvPr>
        <xdr:cNvCxnSpPr>
          <a:cxnSpLocks/>
          <a:stCxn id="8" idx="2"/>
        </xdr:cNvCxnSpPr>
      </xdr:nvCxnSpPr>
      <xdr:spPr>
        <a:xfrm>
          <a:off x="20419886" y="5827324"/>
          <a:ext cx="1211389" cy="1924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479423</xdr:colOff>
      <xdr:row>17</xdr:row>
      <xdr:rowOff>84820</xdr:rowOff>
    </xdr:from>
    <xdr:to>
      <xdr:col>21</xdr:col>
      <xdr:colOff>391431</xdr:colOff>
      <xdr:row>20</xdr:row>
      <xdr:rowOff>43997</xdr:rowOff>
    </xdr:to>
    <xdr:sp macro="" textlink="">
      <xdr:nvSpPr>
        <xdr:cNvPr id="22" name="TextBox 10">
          <a:extLst>
            <a:ext uri="{FF2B5EF4-FFF2-40B4-BE49-F238E27FC236}">
              <a16:creationId xmlns:a16="http://schemas.microsoft.com/office/drawing/2014/main" id="{B39AF5B1-3F31-4123-BE32-2C76FA0EDE98}"/>
            </a:ext>
          </a:extLst>
        </xdr:cNvPr>
        <xdr:cNvSpPr txBox="1"/>
      </xdr:nvSpPr>
      <xdr:spPr>
        <a:xfrm>
          <a:off x="18726602" y="4575177"/>
          <a:ext cx="3953329"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13607</xdr:colOff>
      <xdr:row>18</xdr:row>
      <xdr:rowOff>156030</xdr:rowOff>
    </xdr:from>
    <xdr:to>
      <xdr:col>18</xdr:col>
      <xdr:colOff>479423</xdr:colOff>
      <xdr:row>19</xdr:row>
      <xdr:rowOff>68036</xdr:rowOff>
    </xdr:to>
    <xdr:cxnSp macro="">
      <xdr:nvCxnSpPr>
        <xdr:cNvPr id="4" name="Straight Arrow Connector 5">
          <a:extLst>
            <a:ext uri="{FF2B5EF4-FFF2-40B4-BE49-F238E27FC236}">
              <a16:creationId xmlns:a16="http://schemas.microsoft.com/office/drawing/2014/main" id="{52025157-3DEB-4FD5-AF9F-E5D79C7F69AD}"/>
            </a:ext>
          </a:extLst>
        </xdr:cNvPr>
        <xdr:cNvCxnSpPr>
          <a:stCxn id="22" idx="1"/>
        </xdr:cNvCxnSpPr>
      </xdr:nvCxnSpPr>
      <xdr:spPr>
        <a:xfrm flipH="1">
          <a:off x="18260786" y="4823280"/>
          <a:ext cx="465816" cy="8889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1102179</xdr:colOff>
      <xdr:row>21</xdr:row>
      <xdr:rowOff>27214</xdr:rowOff>
    </xdr:from>
    <xdr:to>
      <xdr:col>21</xdr:col>
      <xdr:colOff>1195632</xdr:colOff>
      <xdr:row>24</xdr:row>
      <xdr:rowOff>127564</xdr:rowOff>
    </xdr:to>
    <xdr:sp macro="" textlink="">
      <xdr:nvSpPr>
        <xdr:cNvPr id="8" name="TextBox 27">
          <a:extLst>
            <a:ext uri="{FF2B5EF4-FFF2-40B4-BE49-F238E27FC236}">
              <a16:creationId xmlns:a16="http://schemas.microsoft.com/office/drawing/2014/main" id="{55C14E26-3589-4BE2-8DD3-053169A7C565}"/>
            </a:ext>
          </a:extLst>
        </xdr:cNvPr>
        <xdr:cNvSpPr txBox="1"/>
      </xdr:nvSpPr>
      <xdr:spPr>
        <a:xfrm>
          <a:off x="19349358" y="5415643"/>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FBE79F08-3835-45AB-86E0-C31985DAD546}"/>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5</xdr:col>
      <xdr:colOff>734786</xdr:colOff>
      <xdr:row>53</xdr:row>
      <xdr:rowOff>145869</xdr:rowOff>
    </xdr:from>
    <xdr:to>
      <xdr:col>7</xdr:col>
      <xdr:colOff>616676</xdr:colOff>
      <xdr:row>56</xdr:row>
      <xdr:rowOff>100783</xdr:rowOff>
    </xdr:to>
    <xdr:sp macro="" textlink="">
      <xdr:nvSpPr>
        <xdr:cNvPr id="18" name="TextBox 7">
          <a:extLst>
            <a:ext uri="{FF2B5EF4-FFF2-40B4-BE49-F238E27FC236}">
              <a16:creationId xmlns:a16="http://schemas.microsoft.com/office/drawing/2014/main" id="{62823CA3-1C84-425C-9549-E8B5481272D2}"/>
            </a:ext>
          </a:extLst>
        </xdr:cNvPr>
        <xdr:cNvSpPr txBox="1"/>
      </xdr:nvSpPr>
      <xdr:spPr>
        <a:xfrm>
          <a:off x="7211786" y="10895512"/>
          <a:ext cx="2684961" cy="4855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Applicants must</a:t>
          </a:r>
          <a:r>
            <a:rPr lang="en-GB" sz="1100" baseline="0">
              <a:solidFill>
                <a:schemeClr val="dk1"/>
              </a:solidFill>
              <a:effectLst/>
              <a:latin typeface="+mn-lt"/>
              <a:ea typeface="+mn-ea"/>
              <a:cs typeface="+mn-cs"/>
            </a:rPr>
            <a:t> include the feedstock split of biogenic vs. fossil (LHV energy basis)</a:t>
          </a:r>
          <a:endParaRPr lang="en-GB">
            <a:effectLst/>
          </a:endParaRPr>
        </a:p>
      </xdr:txBody>
    </xdr:sp>
    <xdr:clientData/>
  </xdr:twoCellAnchor>
  <xdr:twoCellAnchor>
    <xdr:from>
      <xdr:col>5</xdr:col>
      <xdr:colOff>13607</xdr:colOff>
      <xdr:row>52</xdr:row>
      <xdr:rowOff>81643</xdr:rowOff>
    </xdr:from>
    <xdr:to>
      <xdr:col>5</xdr:col>
      <xdr:colOff>734786</xdr:colOff>
      <xdr:row>55</xdr:row>
      <xdr:rowOff>37737</xdr:rowOff>
    </xdr:to>
    <xdr:cxnSp macro="">
      <xdr:nvCxnSpPr>
        <xdr:cNvPr id="19" name="Straight Arrow Connector 5">
          <a:extLst>
            <a:ext uri="{FF2B5EF4-FFF2-40B4-BE49-F238E27FC236}">
              <a16:creationId xmlns:a16="http://schemas.microsoft.com/office/drawing/2014/main" id="{6A0297DD-67F9-4821-B8EB-78DF9A1917F7}"/>
            </a:ext>
          </a:extLst>
        </xdr:cNvPr>
        <xdr:cNvCxnSpPr>
          <a:stCxn id="18" idx="1"/>
        </xdr:cNvCxnSpPr>
      </xdr:nvCxnSpPr>
      <xdr:spPr>
        <a:xfrm flipH="1" flipV="1">
          <a:off x="6490607" y="10654393"/>
          <a:ext cx="721179" cy="48677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638175</xdr:colOff>
      <xdr:row>20</xdr:row>
      <xdr:rowOff>28575</xdr:rowOff>
    </xdr:from>
    <xdr:to>
      <xdr:col>15</xdr:col>
      <xdr:colOff>299176</xdr:colOff>
      <xdr:row>23</xdr:row>
      <xdr:rowOff>162017</xdr:rowOff>
    </xdr:to>
    <xdr:cxnSp macro="">
      <xdr:nvCxnSpPr>
        <xdr:cNvPr id="2" name="Straight Arrow Connector 1">
          <a:extLst>
            <a:ext uri="{FF2B5EF4-FFF2-40B4-BE49-F238E27FC236}">
              <a16:creationId xmlns:a16="http://schemas.microsoft.com/office/drawing/2014/main" id="{8B2DAC09-E65A-4814-88F9-1CE495F4D42D}"/>
            </a:ext>
          </a:extLst>
        </xdr:cNvPr>
        <xdr:cNvCxnSpPr>
          <a:stCxn id="14" idx="0"/>
        </xdr:cNvCxnSpPr>
      </xdr:nvCxnSpPr>
      <xdr:spPr>
        <a:xfrm flipH="1" flipV="1">
          <a:off x="16144875" y="5124450"/>
          <a:ext cx="851626" cy="7049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7</xdr:row>
      <xdr:rowOff>123825</xdr:rowOff>
    </xdr:from>
    <xdr:to>
      <xdr:col>14</xdr:col>
      <xdr:colOff>210912</xdr:colOff>
      <xdr:row>19</xdr:row>
      <xdr:rowOff>36739</xdr:rowOff>
    </xdr:to>
    <xdr:cxnSp macro="">
      <xdr:nvCxnSpPr>
        <xdr:cNvPr id="10" name="Straight Arrow Connector 9">
          <a:extLst>
            <a:ext uri="{FF2B5EF4-FFF2-40B4-BE49-F238E27FC236}">
              <a16:creationId xmlns:a16="http://schemas.microsoft.com/office/drawing/2014/main" id="{62C3A4B9-D171-4F1D-995B-92B78961136E}"/>
            </a:ext>
          </a:extLst>
        </xdr:cNvPr>
        <xdr:cNvCxnSpPr/>
      </xdr:nvCxnSpPr>
      <xdr:spPr>
        <a:xfrm>
          <a:off x="16240125" y="2730500"/>
          <a:ext cx="210912" cy="208778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7257</xdr:colOff>
      <xdr:row>19</xdr:row>
      <xdr:rowOff>84818</xdr:rowOff>
    </xdr:from>
    <xdr:to>
      <xdr:col>14</xdr:col>
      <xdr:colOff>152400</xdr:colOff>
      <xdr:row>19</xdr:row>
      <xdr:rowOff>84818</xdr:rowOff>
    </xdr:to>
    <xdr:cxnSp macro="">
      <xdr:nvCxnSpPr>
        <xdr:cNvPr id="11" name="Straight Arrow Connector 10">
          <a:extLst>
            <a:ext uri="{FF2B5EF4-FFF2-40B4-BE49-F238E27FC236}">
              <a16:creationId xmlns:a16="http://schemas.microsoft.com/office/drawing/2014/main" id="{04899C75-1788-46AF-A7D6-E4C67472965E}"/>
            </a:ext>
          </a:extLst>
        </xdr:cNvPr>
        <xdr:cNvCxnSpPr/>
      </xdr:nvCxnSpPr>
      <xdr:spPr>
        <a:xfrm>
          <a:off x="16250557" y="4869543"/>
          <a:ext cx="141968"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xdr:row>
      <xdr:rowOff>79694</xdr:rowOff>
    </xdr:from>
    <xdr:to>
      <xdr:col>14</xdr:col>
      <xdr:colOff>590550</xdr:colOff>
      <xdr:row>4</xdr:row>
      <xdr:rowOff>514350</xdr:rowOff>
    </xdr:to>
    <xdr:cxnSp macro="">
      <xdr:nvCxnSpPr>
        <xdr:cNvPr id="12" name="Straight Arrow Connector 20">
          <a:extLst>
            <a:ext uri="{FF2B5EF4-FFF2-40B4-BE49-F238E27FC236}">
              <a16:creationId xmlns:a16="http://schemas.microsoft.com/office/drawing/2014/main" id="{27399F1E-3638-4A87-9113-3E13765226C9}"/>
            </a:ext>
          </a:extLst>
        </xdr:cNvPr>
        <xdr:cNvCxnSpPr>
          <a:cxnSpLocks/>
        </xdr:cNvCxnSpPr>
      </xdr:nvCxnSpPr>
      <xdr:spPr>
        <a:xfrm flipH="1">
          <a:off x="15722600" y="482919"/>
          <a:ext cx="1108075" cy="107918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236402</xdr:colOff>
      <xdr:row>23</xdr:row>
      <xdr:rowOff>162017</xdr:rowOff>
    </xdr:from>
    <xdr:to>
      <xdr:col>16</xdr:col>
      <xdr:colOff>933450</xdr:colOff>
      <xdr:row>27</xdr:row>
      <xdr:rowOff>84817</xdr:rowOff>
    </xdr:to>
    <xdr:sp macro="" textlink="">
      <xdr:nvSpPr>
        <xdr:cNvPr id="14" name="TextBox 9">
          <a:extLst>
            <a:ext uri="{FF2B5EF4-FFF2-40B4-BE49-F238E27FC236}">
              <a16:creationId xmlns:a16="http://schemas.microsoft.com/office/drawing/2014/main" id="{9E9E6216-8D5C-40F7-AA8E-4638714CEB4C}"/>
            </a:ext>
          </a:extLst>
        </xdr:cNvPr>
        <xdr:cNvSpPr txBox="1"/>
      </xdr:nvSpPr>
      <xdr:spPr>
        <a:xfrm>
          <a:off x="15743102" y="5829392"/>
          <a:ext cx="2506798" cy="68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520700</xdr:colOff>
      <xdr:row>2</xdr:row>
      <xdr:rowOff>171450</xdr:rowOff>
    </xdr:from>
    <xdr:to>
      <xdr:col>16</xdr:col>
      <xdr:colOff>531559</xdr:colOff>
      <xdr:row>4</xdr:row>
      <xdr:rowOff>323850</xdr:rowOff>
    </xdr:to>
    <xdr:cxnSp macro="">
      <xdr:nvCxnSpPr>
        <xdr:cNvPr id="15" name="Straight Arrow Connector 20">
          <a:extLst>
            <a:ext uri="{FF2B5EF4-FFF2-40B4-BE49-F238E27FC236}">
              <a16:creationId xmlns:a16="http://schemas.microsoft.com/office/drawing/2014/main" id="{72A1CDCB-FA78-4D90-97F1-696D23A4C970}"/>
            </a:ext>
          </a:extLst>
        </xdr:cNvPr>
        <xdr:cNvCxnSpPr>
          <a:cxnSpLocks/>
        </xdr:cNvCxnSpPr>
      </xdr:nvCxnSpPr>
      <xdr:spPr>
        <a:xfrm>
          <a:off x="17837150"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600075</xdr:colOff>
      <xdr:row>0</xdr:row>
      <xdr:rowOff>123825</xdr:rowOff>
    </xdr:from>
    <xdr:to>
      <xdr:col>19</xdr:col>
      <xdr:colOff>735784</xdr:colOff>
      <xdr:row>2</xdr:row>
      <xdr:rowOff>159388</xdr:rowOff>
    </xdr:to>
    <xdr:sp macro="" textlink="">
      <xdr:nvSpPr>
        <xdr:cNvPr id="20" name="TextBox 13">
          <a:extLst>
            <a:ext uri="{FF2B5EF4-FFF2-40B4-BE49-F238E27FC236}">
              <a16:creationId xmlns:a16="http://schemas.microsoft.com/office/drawing/2014/main" id="{31565A69-2330-4411-8E11-93BC641A8AAB}"/>
            </a:ext>
          </a:extLst>
        </xdr:cNvPr>
        <xdr:cNvSpPr txBox="1"/>
      </xdr:nvSpPr>
      <xdr:spPr>
        <a:xfrm>
          <a:off x="16840200" y="123825"/>
          <a:ext cx="6688909" cy="69278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18</xdr:col>
      <xdr:colOff>1059999</xdr:colOff>
      <xdr:row>25</xdr:row>
      <xdr:rowOff>0</xdr:rowOff>
    </xdr:from>
    <xdr:to>
      <xdr:col>19</xdr:col>
      <xdr:colOff>269875</xdr:colOff>
      <xdr:row>25</xdr:row>
      <xdr:rowOff>151947</xdr:rowOff>
    </xdr:to>
    <xdr:cxnSp macro="">
      <xdr:nvCxnSpPr>
        <xdr:cNvPr id="9" name="Straight Arrow Connector 5">
          <a:extLst>
            <a:ext uri="{FF2B5EF4-FFF2-40B4-BE49-F238E27FC236}">
              <a16:creationId xmlns:a16="http://schemas.microsoft.com/office/drawing/2014/main" id="{4B890FA1-E413-40AB-BB72-25AE7DB2EDB0}"/>
            </a:ext>
          </a:extLst>
        </xdr:cNvPr>
        <xdr:cNvCxnSpPr/>
      </xdr:nvCxnSpPr>
      <xdr:spPr>
        <a:xfrm flipH="1">
          <a:off x="19141624" y="6048375"/>
          <a:ext cx="670376" cy="15194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51262</xdr:colOff>
      <xdr:row>24</xdr:row>
      <xdr:rowOff>164303</xdr:rowOff>
    </xdr:from>
    <xdr:to>
      <xdr:col>21</xdr:col>
      <xdr:colOff>714375</xdr:colOff>
      <xdr:row>25</xdr:row>
      <xdr:rowOff>111125</xdr:rowOff>
    </xdr:to>
    <xdr:cxnSp macro="">
      <xdr:nvCxnSpPr>
        <xdr:cNvPr id="8" name="Straight Arrow Connector 5">
          <a:extLst>
            <a:ext uri="{FF2B5EF4-FFF2-40B4-BE49-F238E27FC236}">
              <a16:creationId xmlns:a16="http://schemas.microsoft.com/office/drawing/2014/main" id="{E2768E8D-92A1-489E-B03F-DDF44AE3DFAA}"/>
            </a:ext>
          </a:extLst>
        </xdr:cNvPr>
        <xdr:cNvCxnSpPr>
          <a:cxnSpLocks/>
          <a:stCxn id="6" idx="2"/>
        </xdr:cNvCxnSpPr>
      </xdr:nvCxnSpPr>
      <xdr:spPr>
        <a:xfrm>
          <a:off x="21053887" y="6038053"/>
          <a:ext cx="1790238" cy="1214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491670</xdr:colOff>
      <xdr:row>17</xdr:row>
      <xdr:rowOff>127909</xdr:rowOff>
    </xdr:from>
    <xdr:to>
      <xdr:col>21</xdr:col>
      <xdr:colOff>393699</xdr:colOff>
      <xdr:row>20</xdr:row>
      <xdr:rowOff>93890</xdr:rowOff>
    </xdr:to>
    <xdr:sp macro="" textlink="">
      <xdr:nvSpPr>
        <xdr:cNvPr id="16" name="TextBox 10">
          <a:extLst>
            <a:ext uri="{FF2B5EF4-FFF2-40B4-BE49-F238E27FC236}">
              <a16:creationId xmlns:a16="http://schemas.microsoft.com/office/drawing/2014/main" id="{1B149603-54A5-4414-A8A4-62E8E92A1BCE}"/>
            </a:ext>
          </a:extLst>
        </xdr:cNvPr>
        <xdr:cNvSpPr txBox="1"/>
      </xdr:nvSpPr>
      <xdr:spPr>
        <a:xfrm>
          <a:off x="18573295" y="4588784"/>
          <a:ext cx="395015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15875</xdr:colOff>
      <xdr:row>19</xdr:row>
      <xdr:rowOff>22000</xdr:rowOff>
    </xdr:from>
    <xdr:to>
      <xdr:col>18</xdr:col>
      <xdr:colOff>488495</xdr:colOff>
      <xdr:row>19</xdr:row>
      <xdr:rowOff>161925</xdr:rowOff>
    </xdr:to>
    <xdr:cxnSp macro="">
      <xdr:nvCxnSpPr>
        <xdr:cNvPr id="29" name="Straight Arrow Connector 5">
          <a:extLst>
            <a:ext uri="{FF2B5EF4-FFF2-40B4-BE49-F238E27FC236}">
              <a16:creationId xmlns:a16="http://schemas.microsoft.com/office/drawing/2014/main" id="{75348B27-A43A-4F33-9DB6-95130906423A}"/>
            </a:ext>
          </a:extLst>
        </xdr:cNvPr>
        <xdr:cNvCxnSpPr>
          <a:stCxn id="16" idx="1"/>
        </xdr:cNvCxnSpPr>
      </xdr:nvCxnSpPr>
      <xdr:spPr>
        <a:xfrm flipH="1">
          <a:off x="18097500" y="4832125"/>
          <a:ext cx="472620" cy="1399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908050</xdr:colOff>
      <xdr:row>21</xdr:row>
      <xdr:rowOff>50800</xdr:rowOff>
    </xdr:from>
    <xdr:to>
      <xdr:col>21</xdr:col>
      <xdr:colOff>991524</xdr:colOff>
      <xdr:row>24</xdr:row>
      <xdr:rowOff>161128</xdr:rowOff>
    </xdr:to>
    <xdr:sp macro="" textlink="">
      <xdr:nvSpPr>
        <xdr:cNvPr id="6" name="TextBox 27">
          <a:extLst>
            <a:ext uri="{FF2B5EF4-FFF2-40B4-BE49-F238E27FC236}">
              <a16:creationId xmlns:a16="http://schemas.microsoft.com/office/drawing/2014/main" id="{03D482D5-CDF9-4A7B-91FE-5513C5894F5A}"/>
            </a:ext>
          </a:extLst>
        </xdr:cNvPr>
        <xdr:cNvSpPr txBox="1"/>
      </xdr:nvSpPr>
      <xdr:spPr>
        <a:xfrm>
          <a:off x="18989675" y="5400675"/>
          <a:ext cx="4131599"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7" name="TextBox 17">
          <a:extLst>
            <a:ext uri="{FF2B5EF4-FFF2-40B4-BE49-F238E27FC236}">
              <a16:creationId xmlns:a16="http://schemas.microsoft.com/office/drawing/2014/main" id="{101D1978-E245-4DE0-A95A-A19F91C59534}"/>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1019175</xdr:colOff>
      <xdr:row>19</xdr:row>
      <xdr:rowOff>171450</xdr:rowOff>
    </xdr:from>
    <xdr:to>
      <xdr:col>15</xdr:col>
      <xdr:colOff>494166</xdr:colOff>
      <xdr:row>23</xdr:row>
      <xdr:rowOff>10433</xdr:rowOff>
    </xdr:to>
    <xdr:cxnSp macro="">
      <xdr:nvCxnSpPr>
        <xdr:cNvPr id="2" name="Straight Arrow Connector 5">
          <a:extLst>
            <a:ext uri="{FF2B5EF4-FFF2-40B4-BE49-F238E27FC236}">
              <a16:creationId xmlns:a16="http://schemas.microsoft.com/office/drawing/2014/main" id="{503CA115-EBFC-4E47-A8AF-75E394940F20}"/>
            </a:ext>
          </a:extLst>
        </xdr:cNvPr>
        <xdr:cNvCxnSpPr>
          <a:stCxn id="13" idx="0"/>
        </xdr:cNvCxnSpPr>
      </xdr:nvCxnSpPr>
      <xdr:spPr>
        <a:xfrm flipH="1" flipV="1">
          <a:off x="17259300" y="4953000"/>
          <a:ext cx="903741" cy="5628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28575</xdr:colOff>
      <xdr:row>7</xdr:row>
      <xdr:rowOff>82550</xdr:rowOff>
    </xdr:from>
    <xdr:to>
      <xdr:col>14</xdr:col>
      <xdr:colOff>247650</xdr:colOff>
      <xdr:row>19</xdr:row>
      <xdr:rowOff>19050</xdr:rowOff>
    </xdr:to>
    <xdr:cxnSp macro="">
      <xdr:nvCxnSpPr>
        <xdr:cNvPr id="4" name="Straight Arrow Connector 3">
          <a:extLst>
            <a:ext uri="{FF2B5EF4-FFF2-40B4-BE49-F238E27FC236}">
              <a16:creationId xmlns:a16="http://schemas.microsoft.com/office/drawing/2014/main" id="{B959596F-BF02-4EFA-84F5-6283DD5A7A8C}"/>
            </a:ext>
          </a:extLst>
        </xdr:cNvPr>
        <xdr:cNvCxnSpPr/>
      </xdr:nvCxnSpPr>
      <xdr:spPr>
        <a:xfrm>
          <a:off x="16265525" y="2695575"/>
          <a:ext cx="222250" cy="21050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15875</xdr:colOff>
      <xdr:row>19</xdr:row>
      <xdr:rowOff>85725</xdr:rowOff>
    </xdr:from>
    <xdr:to>
      <xdr:col>14</xdr:col>
      <xdr:colOff>152400</xdr:colOff>
      <xdr:row>19</xdr:row>
      <xdr:rowOff>88155</xdr:rowOff>
    </xdr:to>
    <xdr:cxnSp macro="">
      <xdr:nvCxnSpPr>
        <xdr:cNvPr id="5" name="Straight Arrow Connector 4">
          <a:extLst>
            <a:ext uri="{FF2B5EF4-FFF2-40B4-BE49-F238E27FC236}">
              <a16:creationId xmlns:a16="http://schemas.microsoft.com/office/drawing/2014/main" id="{CAEB862C-AABA-43A0-BC00-61418C2D7CD6}"/>
            </a:ext>
          </a:extLst>
        </xdr:cNvPr>
        <xdr:cNvCxnSpPr/>
      </xdr:nvCxnSpPr>
      <xdr:spPr>
        <a:xfrm flipV="1">
          <a:off x="16256000" y="4864100"/>
          <a:ext cx="136525" cy="243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438150</xdr:colOff>
      <xdr:row>1</xdr:row>
      <xdr:rowOff>196850</xdr:rowOff>
    </xdr:from>
    <xdr:to>
      <xdr:col>14</xdr:col>
      <xdr:colOff>234950</xdr:colOff>
      <xdr:row>4</xdr:row>
      <xdr:rowOff>361950</xdr:rowOff>
    </xdr:to>
    <xdr:cxnSp macro="">
      <xdr:nvCxnSpPr>
        <xdr:cNvPr id="10" name="Straight Arrow Connector 20">
          <a:extLst>
            <a:ext uri="{FF2B5EF4-FFF2-40B4-BE49-F238E27FC236}">
              <a16:creationId xmlns:a16="http://schemas.microsoft.com/office/drawing/2014/main" id="{34C8788D-7F81-4E53-95C7-CD750101ABFE}"/>
            </a:ext>
          </a:extLst>
        </xdr:cNvPr>
        <xdr:cNvCxnSpPr>
          <a:cxnSpLocks/>
        </xdr:cNvCxnSpPr>
      </xdr:nvCxnSpPr>
      <xdr:spPr>
        <a:xfrm flipH="1">
          <a:off x="15678150" y="600075"/>
          <a:ext cx="800100" cy="8096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820056</xdr:colOff>
      <xdr:row>23</xdr:row>
      <xdr:rowOff>7258</xdr:rowOff>
    </xdr:from>
    <xdr:to>
      <xdr:col>16</xdr:col>
      <xdr:colOff>1038225</xdr:colOff>
      <xdr:row>26</xdr:row>
      <xdr:rowOff>82550</xdr:rowOff>
    </xdr:to>
    <xdr:sp macro="" textlink="">
      <xdr:nvSpPr>
        <xdr:cNvPr id="13" name="TextBox 9">
          <a:extLst>
            <a:ext uri="{FF2B5EF4-FFF2-40B4-BE49-F238E27FC236}">
              <a16:creationId xmlns:a16="http://schemas.microsoft.com/office/drawing/2014/main" id="{891EED73-9A19-472A-AB53-CFBEA737FF65}"/>
            </a:ext>
          </a:extLst>
        </xdr:cNvPr>
        <xdr:cNvSpPr txBox="1"/>
      </xdr:nvSpPr>
      <xdr:spPr>
        <a:xfrm>
          <a:off x="17060181" y="5512708"/>
          <a:ext cx="2208894" cy="618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16</xdr:col>
      <xdr:colOff>492125</xdr:colOff>
      <xdr:row>2</xdr:row>
      <xdr:rowOff>142875</xdr:rowOff>
    </xdr:from>
    <xdr:to>
      <xdr:col>16</xdr:col>
      <xdr:colOff>502984</xdr:colOff>
      <xdr:row>4</xdr:row>
      <xdr:rowOff>295275</xdr:rowOff>
    </xdr:to>
    <xdr:cxnSp macro="">
      <xdr:nvCxnSpPr>
        <xdr:cNvPr id="14" name="Straight Arrow Connector 20">
          <a:extLst>
            <a:ext uri="{FF2B5EF4-FFF2-40B4-BE49-F238E27FC236}">
              <a16:creationId xmlns:a16="http://schemas.microsoft.com/office/drawing/2014/main" id="{101E01BB-F5BF-48BF-A926-249BDB544203}"/>
            </a:ext>
          </a:extLst>
        </xdr:cNvPr>
        <xdr:cNvCxnSpPr>
          <a:cxnSpLocks/>
        </xdr:cNvCxnSpPr>
      </xdr:nvCxnSpPr>
      <xdr:spPr>
        <a:xfrm>
          <a:off x="17894300" y="80010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257175</xdr:colOff>
      <xdr:row>0</xdr:row>
      <xdr:rowOff>133350</xdr:rowOff>
    </xdr:from>
    <xdr:to>
      <xdr:col>18</xdr:col>
      <xdr:colOff>1168400</xdr:colOff>
      <xdr:row>2</xdr:row>
      <xdr:rowOff>130809</xdr:rowOff>
    </xdr:to>
    <xdr:sp macro="" textlink="">
      <xdr:nvSpPr>
        <xdr:cNvPr id="15" name="TextBox 8">
          <a:extLst>
            <a:ext uri="{FF2B5EF4-FFF2-40B4-BE49-F238E27FC236}">
              <a16:creationId xmlns:a16="http://schemas.microsoft.com/office/drawing/2014/main" id="{FD2B7541-7A51-4801-AB8E-4E6CF1FA7F5C}"/>
            </a:ext>
          </a:extLst>
        </xdr:cNvPr>
        <xdr:cNvSpPr txBox="1"/>
      </xdr:nvSpPr>
      <xdr:spPr>
        <a:xfrm>
          <a:off x="16497300" y="133350"/>
          <a:ext cx="5445125" cy="65468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33</xdr:row>
      <xdr:rowOff>0</xdr:rowOff>
    </xdr:from>
    <xdr:to>
      <xdr:col>9</xdr:col>
      <xdr:colOff>536864</xdr:colOff>
      <xdr:row>47</xdr:row>
      <xdr:rowOff>103909</xdr:rowOff>
    </xdr:to>
    <xdr:grpSp>
      <xdr:nvGrpSpPr>
        <xdr:cNvPr id="5" name="Group 4">
          <a:extLst>
            <a:ext uri="{FF2B5EF4-FFF2-40B4-BE49-F238E27FC236}">
              <a16:creationId xmlns:a16="http://schemas.microsoft.com/office/drawing/2014/main" id="{9C62CAAD-A5ED-4EBB-A3AA-4AF3D8EFDEF4}"/>
            </a:ext>
          </a:extLst>
        </xdr:cNvPr>
        <xdr:cNvGrpSpPr/>
      </xdr:nvGrpSpPr>
      <xdr:grpSpPr>
        <a:xfrm>
          <a:off x="609600" y="6657975"/>
          <a:ext cx="5413664" cy="2637559"/>
          <a:chOff x="606136" y="6987886"/>
          <a:chExt cx="6565546" cy="3307336"/>
        </a:xfrm>
      </xdr:grpSpPr>
      <xdr:pic>
        <xdr:nvPicPr>
          <xdr:cNvPr id="2" name="Picture 1">
            <a:extLst>
              <a:ext uri="{FF2B5EF4-FFF2-40B4-BE49-F238E27FC236}">
                <a16:creationId xmlns:a16="http://schemas.microsoft.com/office/drawing/2014/main" id="{B522A175-6F4F-4ED2-BA8B-FE05D951EAA2}"/>
              </a:ext>
            </a:extLst>
          </xdr:cNvPr>
          <xdr:cNvPicPr>
            <a:picLocks noChangeAspect="1"/>
          </xdr:cNvPicPr>
        </xdr:nvPicPr>
        <xdr:blipFill>
          <a:blip xmlns:r="http://schemas.openxmlformats.org/officeDocument/2006/relationships" r:embed="rId1"/>
          <a:stretch>
            <a:fillRect/>
          </a:stretch>
        </xdr:blipFill>
        <xdr:spPr>
          <a:xfrm>
            <a:off x="606136" y="6987886"/>
            <a:ext cx="6565546" cy="2593067"/>
          </a:xfrm>
          <a:prstGeom prst="rect">
            <a:avLst/>
          </a:prstGeom>
        </xdr:spPr>
      </xdr:pic>
      <xdr:pic>
        <xdr:nvPicPr>
          <xdr:cNvPr id="4" name="Picture 3">
            <a:extLst>
              <a:ext uri="{FF2B5EF4-FFF2-40B4-BE49-F238E27FC236}">
                <a16:creationId xmlns:a16="http://schemas.microsoft.com/office/drawing/2014/main" id="{5496E52C-065B-479D-AC25-1331FACC37C4}"/>
              </a:ext>
            </a:extLst>
          </xdr:cNvPr>
          <xdr:cNvPicPr>
            <a:picLocks noChangeAspect="1"/>
          </xdr:cNvPicPr>
        </xdr:nvPicPr>
        <xdr:blipFill>
          <a:blip xmlns:r="http://schemas.openxmlformats.org/officeDocument/2006/relationships" r:embed="rId2"/>
          <a:stretch>
            <a:fillRect/>
          </a:stretch>
        </xdr:blipFill>
        <xdr:spPr>
          <a:xfrm>
            <a:off x="798714" y="9538839"/>
            <a:ext cx="6037783" cy="756383"/>
          </a:xfrm>
          <a:prstGeom prst="rect">
            <a:avLst/>
          </a:prstGeom>
        </xdr:spPr>
      </xdr:pic>
    </xdr:grpSp>
    <xdr:clientData/>
  </xdr:twoCellAnchor>
  <xdr:twoCellAnchor editAs="oneCell">
    <xdr:from>
      <xdr:col>1</xdr:col>
      <xdr:colOff>11206</xdr:colOff>
      <xdr:row>11</xdr:row>
      <xdr:rowOff>89647</xdr:rowOff>
    </xdr:from>
    <xdr:to>
      <xdr:col>27</xdr:col>
      <xdr:colOff>425276</xdr:colOff>
      <xdr:row>25</xdr:row>
      <xdr:rowOff>136398</xdr:rowOff>
    </xdr:to>
    <xdr:pic>
      <xdr:nvPicPr>
        <xdr:cNvPr id="3" name="Picture 2">
          <a:extLst>
            <a:ext uri="{FF2B5EF4-FFF2-40B4-BE49-F238E27FC236}">
              <a16:creationId xmlns:a16="http://schemas.microsoft.com/office/drawing/2014/main" id="{AAB1ED55-C234-4900-943F-F906F551877D}"/>
            </a:ext>
          </a:extLst>
        </xdr:cNvPr>
        <xdr:cNvPicPr>
          <a:picLocks noChangeAspect="1"/>
        </xdr:cNvPicPr>
      </xdr:nvPicPr>
      <xdr:blipFill>
        <a:blip xmlns:r="http://schemas.openxmlformats.org/officeDocument/2006/relationships" r:embed="rId3"/>
        <a:stretch>
          <a:fillRect/>
        </a:stretch>
      </xdr:blipFill>
      <xdr:spPr>
        <a:xfrm>
          <a:off x="616324" y="2117912"/>
          <a:ext cx="16145223" cy="25606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14</xdr:col>
      <xdr:colOff>12674</xdr:colOff>
      <xdr:row>7</xdr:row>
      <xdr:rowOff>123826</xdr:rowOff>
    </xdr:from>
    <xdr:to>
      <xdr:col>14</xdr:col>
      <xdr:colOff>228600</xdr:colOff>
      <xdr:row>8</xdr:row>
      <xdr:rowOff>9525</xdr:rowOff>
    </xdr:to>
    <xdr:cxnSp macro="">
      <xdr:nvCxnSpPr>
        <xdr:cNvPr id="16" name="Straight Arrow Connector 2">
          <a:extLst>
            <a:ext uri="{FF2B5EF4-FFF2-40B4-BE49-F238E27FC236}">
              <a16:creationId xmlns:a16="http://schemas.microsoft.com/office/drawing/2014/main" id="{1ED01ED4-CEE6-474B-804E-DB81D66C390E}"/>
            </a:ext>
          </a:extLst>
        </xdr:cNvPr>
        <xdr:cNvCxnSpPr/>
      </xdr:nvCxnSpPr>
      <xdr:spPr>
        <a:xfrm>
          <a:off x="15519374" y="2743201"/>
          <a:ext cx="215926" cy="7619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945004</xdr:colOff>
      <xdr:row>8</xdr:row>
      <xdr:rowOff>101843</xdr:rowOff>
    </xdr:from>
    <xdr:to>
      <xdr:col>14</xdr:col>
      <xdr:colOff>219075</xdr:colOff>
      <xdr:row>8</xdr:row>
      <xdr:rowOff>104775</xdr:rowOff>
    </xdr:to>
    <xdr:cxnSp macro="">
      <xdr:nvCxnSpPr>
        <xdr:cNvPr id="27" name="Straight Arrow Connector 3">
          <a:extLst>
            <a:ext uri="{FF2B5EF4-FFF2-40B4-BE49-F238E27FC236}">
              <a16:creationId xmlns:a16="http://schemas.microsoft.com/office/drawing/2014/main" id="{2532EA52-5871-48A5-AFF4-2C015AF6C55D}"/>
            </a:ext>
          </a:extLst>
        </xdr:cNvPr>
        <xdr:cNvCxnSpPr/>
      </xdr:nvCxnSpPr>
      <xdr:spPr>
        <a:xfrm>
          <a:off x="15499204" y="2911718"/>
          <a:ext cx="226571" cy="293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542925</xdr:colOff>
      <xdr:row>1</xdr:row>
      <xdr:rowOff>50483</xdr:rowOff>
    </xdr:from>
    <xdr:to>
      <xdr:col>14</xdr:col>
      <xdr:colOff>825500</xdr:colOff>
      <xdr:row>4</xdr:row>
      <xdr:rowOff>314325</xdr:rowOff>
    </xdr:to>
    <xdr:cxnSp macro="">
      <xdr:nvCxnSpPr>
        <xdr:cNvPr id="221" name="Straight Arrow Connector 20">
          <a:extLst>
            <a:ext uri="{FF2B5EF4-FFF2-40B4-BE49-F238E27FC236}">
              <a16:creationId xmlns:a16="http://schemas.microsoft.com/office/drawing/2014/main" id="{2AC5A87A-9A80-42E0-B745-D17430B8D481}"/>
            </a:ext>
          </a:extLst>
        </xdr:cNvPr>
        <xdr:cNvCxnSpPr>
          <a:cxnSpLocks/>
          <a:stCxn id="263" idx="1"/>
        </xdr:cNvCxnSpPr>
      </xdr:nvCxnSpPr>
      <xdr:spPr>
        <a:xfrm flipH="1">
          <a:off x="15782925" y="450533"/>
          <a:ext cx="1282700" cy="9115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40821</xdr:colOff>
      <xdr:row>8</xdr:row>
      <xdr:rowOff>105682</xdr:rowOff>
    </xdr:from>
    <xdr:to>
      <xdr:col>18</xdr:col>
      <xdr:colOff>925285</xdr:colOff>
      <xdr:row>9</xdr:row>
      <xdr:rowOff>94797</xdr:rowOff>
    </xdr:to>
    <xdr:cxnSp macro="">
      <xdr:nvCxnSpPr>
        <xdr:cNvPr id="19" name="Straight Arrow Connector 5">
          <a:extLst>
            <a:ext uri="{FF2B5EF4-FFF2-40B4-BE49-F238E27FC236}">
              <a16:creationId xmlns:a16="http://schemas.microsoft.com/office/drawing/2014/main" id="{B57EAD90-30B3-47D1-9F7E-0778E62D10E7}"/>
            </a:ext>
          </a:extLst>
        </xdr:cNvPr>
        <xdr:cNvCxnSpPr>
          <a:stCxn id="218" idx="1"/>
        </xdr:cNvCxnSpPr>
      </xdr:nvCxnSpPr>
      <xdr:spPr>
        <a:xfrm flipH="1" flipV="1">
          <a:off x="20652921" y="2896507"/>
          <a:ext cx="884464" cy="1700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460829</xdr:colOff>
      <xdr:row>13</xdr:row>
      <xdr:rowOff>149679</xdr:rowOff>
    </xdr:from>
    <xdr:to>
      <xdr:col>16</xdr:col>
      <xdr:colOff>877467</xdr:colOff>
      <xdr:row>17</xdr:row>
      <xdr:rowOff>98082</xdr:rowOff>
    </xdr:to>
    <xdr:sp macro="" textlink="">
      <xdr:nvSpPr>
        <xdr:cNvPr id="219" name="TextBox 7">
          <a:extLst>
            <a:ext uri="{FF2B5EF4-FFF2-40B4-BE49-F238E27FC236}">
              <a16:creationId xmlns:a16="http://schemas.microsoft.com/office/drawing/2014/main" id="{6F46E245-BFD7-4FDF-B929-AD154E54C962}"/>
            </a:ext>
          </a:extLst>
        </xdr:cNvPr>
        <xdr:cNvSpPr txBox="1"/>
      </xdr:nvSpPr>
      <xdr:spPr>
        <a:xfrm>
          <a:off x="15967529" y="3912054"/>
          <a:ext cx="2159713" cy="7104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hydrogen output.</a:t>
          </a:r>
          <a:endParaRPr lang="en-GB" sz="1100"/>
        </a:p>
      </xdr:txBody>
    </xdr:sp>
    <xdr:clientData/>
  </xdr:twoCellAnchor>
  <xdr:twoCellAnchor>
    <xdr:from>
      <xdr:col>14</xdr:col>
      <xdr:colOff>828675</xdr:colOff>
      <xdr:row>0</xdr:row>
      <xdr:rowOff>120016</xdr:rowOff>
    </xdr:from>
    <xdr:to>
      <xdr:col>19</xdr:col>
      <xdr:colOff>609600</xdr:colOff>
      <xdr:row>2</xdr:row>
      <xdr:rowOff>123825</xdr:rowOff>
    </xdr:to>
    <xdr:sp macro="" textlink="">
      <xdr:nvSpPr>
        <xdr:cNvPr id="263" name="TextBox 8">
          <a:extLst>
            <a:ext uri="{FF2B5EF4-FFF2-40B4-BE49-F238E27FC236}">
              <a16:creationId xmlns:a16="http://schemas.microsoft.com/office/drawing/2014/main" id="{D417B058-7EBD-4A38-A36D-985AC7A8E7C5}"/>
            </a:ext>
          </a:extLst>
        </xdr:cNvPr>
        <xdr:cNvSpPr txBox="1"/>
      </xdr:nvSpPr>
      <xdr:spPr>
        <a:xfrm>
          <a:off x="16335375" y="120016"/>
          <a:ext cx="5334000" cy="6610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19</xdr:col>
      <xdr:colOff>1170214</xdr:colOff>
      <xdr:row>16</xdr:row>
      <xdr:rowOff>98082</xdr:rowOff>
    </xdr:from>
    <xdr:to>
      <xdr:col>19</xdr:col>
      <xdr:colOff>1368651</xdr:colOff>
      <xdr:row>19</xdr:row>
      <xdr:rowOff>95250</xdr:rowOff>
    </xdr:to>
    <xdr:cxnSp macro="">
      <xdr:nvCxnSpPr>
        <xdr:cNvPr id="13" name="Straight Arrow Connector 5">
          <a:extLst>
            <a:ext uri="{FF2B5EF4-FFF2-40B4-BE49-F238E27FC236}">
              <a16:creationId xmlns:a16="http://schemas.microsoft.com/office/drawing/2014/main" id="{513698B3-48EC-4FAA-BF1A-9683A22A2693}"/>
            </a:ext>
          </a:extLst>
        </xdr:cNvPr>
        <xdr:cNvCxnSpPr>
          <a:cxnSpLocks/>
        </xdr:cNvCxnSpPr>
      </xdr:nvCxnSpPr>
      <xdr:spPr>
        <a:xfrm flipH="1">
          <a:off x="20206607" y="4248261"/>
          <a:ext cx="198437" cy="35095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1074964</xdr:colOff>
      <xdr:row>16</xdr:row>
      <xdr:rowOff>98082</xdr:rowOff>
    </xdr:from>
    <xdr:to>
      <xdr:col>19</xdr:col>
      <xdr:colOff>1368651</xdr:colOff>
      <xdr:row>19</xdr:row>
      <xdr:rowOff>122465</xdr:rowOff>
    </xdr:to>
    <xdr:cxnSp macro="">
      <xdr:nvCxnSpPr>
        <xdr:cNvPr id="11" name="Straight Arrow Connector 5">
          <a:extLst>
            <a:ext uri="{FF2B5EF4-FFF2-40B4-BE49-F238E27FC236}">
              <a16:creationId xmlns:a16="http://schemas.microsoft.com/office/drawing/2014/main" id="{FD4DE8D4-F5D9-4D23-9036-C1AB3E5F2766}"/>
            </a:ext>
          </a:extLst>
        </xdr:cNvPr>
        <xdr:cNvCxnSpPr>
          <a:cxnSpLocks/>
        </xdr:cNvCxnSpPr>
      </xdr:nvCxnSpPr>
      <xdr:spPr>
        <a:xfrm flipH="1">
          <a:off x="18655393" y="4248261"/>
          <a:ext cx="1749651" cy="37816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155584</xdr:colOff>
      <xdr:row>16</xdr:row>
      <xdr:rowOff>63973</xdr:rowOff>
    </xdr:from>
    <xdr:to>
      <xdr:col>21</xdr:col>
      <xdr:colOff>421821</xdr:colOff>
      <xdr:row>19</xdr:row>
      <xdr:rowOff>68036</xdr:rowOff>
    </xdr:to>
    <xdr:cxnSp macro="">
      <xdr:nvCxnSpPr>
        <xdr:cNvPr id="4" name="Straight Arrow Connector 5">
          <a:extLst>
            <a:ext uri="{FF2B5EF4-FFF2-40B4-BE49-F238E27FC236}">
              <a16:creationId xmlns:a16="http://schemas.microsoft.com/office/drawing/2014/main" id="{4B65EF19-AAB4-422C-A8CC-24586438C75D}"/>
            </a:ext>
          </a:extLst>
        </xdr:cNvPr>
        <xdr:cNvCxnSpPr>
          <a:cxnSpLocks/>
          <a:stCxn id="23" idx="2"/>
        </xdr:cNvCxnSpPr>
      </xdr:nvCxnSpPr>
      <xdr:spPr>
        <a:xfrm>
          <a:off x="20239727" y="4200544"/>
          <a:ext cx="1382023" cy="35784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922110</xdr:colOff>
      <xdr:row>7</xdr:row>
      <xdr:rowOff>84819</xdr:rowOff>
    </xdr:from>
    <xdr:to>
      <xdr:col>20</xdr:col>
      <xdr:colOff>619578</xdr:colOff>
      <xdr:row>11</xdr:row>
      <xdr:rowOff>104775</xdr:rowOff>
    </xdr:to>
    <xdr:sp macro="" textlink="">
      <xdr:nvSpPr>
        <xdr:cNvPr id="218" name="TextBox 13">
          <a:extLst>
            <a:ext uri="{FF2B5EF4-FFF2-40B4-BE49-F238E27FC236}">
              <a16:creationId xmlns:a16="http://schemas.microsoft.com/office/drawing/2014/main" id="{DF92A05F-E484-42DD-832C-A971146361CB}"/>
            </a:ext>
          </a:extLst>
        </xdr:cNvPr>
        <xdr:cNvSpPr txBox="1"/>
      </xdr:nvSpPr>
      <xdr:spPr>
        <a:xfrm>
          <a:off x="20600760" y="2704194"/>
          <a:ext cx="2459718" cy="7819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a:t>
          </a:r>
          <a:r>
            <a:rPr lang="en-GB" sz="1100">
              <a:solidFill>
                <a:schemeClr val="dk1"/>
              </a:solidFill>
              <a:effectLst/>
              <a:latin typeface="+mn-lt"/>
              <a:ea typeface="+mn-ea"/>
              <a:cs typeface="+mn-cs"/>
            </a:rPr>
            <a:t>step</a:t>
          </a:r>
          <a:r>
            <a:rPr lang="en-GB" sz="1100"/>
            <a:t>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979714</xdr:colOff>
      <xdr:row>12</xdr:row>
      <xdr:rowOff>136072</xdr:rowOff>
    </xdr:from>
    <xdr:to>
      <xdr:col>21</xdr:col>
      <xdr:colOff>1073167</xdr:colOff>
      <xdr:row>16</xdr:row>
      <xdr:rowOff>65878</xdr:rowOff>
    </xdr:to>
    <xdr:sp macro="" textlink="">
      <xdr:nvSpPr>
        <xdr:cNvPr id="23" name="TextBox 27">
          <a:extLst>
            <a:ext uri="{FF2B5EF4-FFF2-40B4-BE49-F238E27FC236}">
              <a16:creationId xmlns:a16="http://schemas.microsoft.com/office/drawing/2014/main" id="{F69F615A-A200-4B86-B0A5-04E9AFA5C931}"/>
            </a:ext>
          </a:extLst>
        </xdr:cNvPr>
        <xdr:cNvSpPr txBox="1"/>
      </xdr:nvSpPr>
      <xdr:spPr>
        <a:xfrm>
          <a:off x="18560143" y="3578679"/>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781050</xdr:colOff>
      <xdr:row>104</xdr:row>
      <xdr:rowOff>152400</xdr:rowOff>
    </xdr:from>
    <xdr:to>
      <xdr:col>7</xdr:col>
      <xdr:colOff>666750</xdr:colOff>
      <xdr:row>108</xdr:row>
      <xdr:rowOff>0</xdr:rowOff>
    </xdr:to>
    <xdr:sp macro="" textlink="">
      <xdr:nvSpPr>
        <xdr:cNvPr id="2" name="TextBox 7">
          <a:extLst>
            <a:ext uri="{FF2B5EF4-FFF2-40B4-BE49-F238E27FC236}">
              <a16:creationId xmlns:a16="http://schemas.microsoft.com/office/drawing/2014/main" id="{B5E9E311-6C0A-446A-87BD-86A1A33C9375}"/>
            </a:ext>
          </a:extLst>
        </xdr:cNvPr>
        <xdr:cNvSpPr txBox="1"/>
      </xdr:nvSpPr>
      <xdr:spPr>
        <a:xfrm>
          <a:off x="7134225" y="19240500"/>
          <a:ext cx="2981325" cy="4826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is linked to the response given in the Initial questions worksheet.</a:t>
          </a:r>
          <a:endParaRPr lang="en-GB">
            <a:effectLst/>
          </a:endParaRPr>
        </a:p>
      </xdr:txBody>
    </xdr:sp>
    <xdr:clientData/>
  </xdr:twoCellAnchor>
  <xdr:twoCellAnchor>
    <xdr:from>
      <xdr:col>5</xdr:col>
      <xdr:colOff>59692</xdr:colOff>
      <xdr:row>104</xdr:row>
      <xdr:rowOff>97791</xdr:rowOff>
    </xdr:from>
    <xdr:to>
      <xdr:col>5</xdr:col>
      <xdr:colOff>777240</xdr:colOff>
      <xdr:row>107</xdr:row>
      <xdr:rowOff>35696</xdr:rowOff>
    </xdr:to>
    <xdr:cxnSp macro="">
      <xdr:nvCxnSpPr>
        <xdr:cNvPr id="17" name="Straight Arrow Connector 5">
          <a:extLst>
            <a:ext uri="{FF2B5EF4-FFF2-40B4-BE49-F238E27FC236}">
              <a16:creationId xmlns:a16="http://schemas.microsoft.com/office/drawing/2014/main" id="{C0FCC934-63CE-4898-93D3-7237F69E381E}"/>
            </a:ext>
          </a:extLst>
        </xdr:cNvPr>
        <xdr:cNvCxnSpPr>
          <a:stCxn id="2" idx="1"/>
        </xdr:cNvCxnSpPr>
      </xdr:nvCxnSpPr>
      <xdr:spPr>
        <a:xfrm flipH="1" flipV="1">
          <a:off x="6318978" y="18875648"/>
          <a:ext cx="717548" cy="29169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762000</xdr:colOff>
      <xdr:row>108</xdr:row>
      <xdr:rowOff>95250</xdr:rowOff>
    </xdr:from>
    <xdr:to>
      <xdr:col>7</xdr:col>
      <xdr:colOff>645795</xdr:colOff>
      <xdr:row>111</xdr:row>
      <xdr:rowOff>40639</xdr:rowOff>
    </xdr:to>
    <xdr:sp macro="" textlink="">
      <xdr:nvSpPr>
        <xdr:cNvPr id="22" name="TextBox 7">
          <a:extLst>
            <a:ext uri="{FF2B5EF4-FFF2-40B4-BE49-F238E27FC236}">
              <a16:creationId xmlns:a16="http://schemas.microsoft.com/office/drawing/2014/main" id="{001D4D7D-8491-415E-BB56-BF6732B2ABDE}"/>
            </a:ext>
          </a:extLst>
        </xdr:cNvPr>
        <xdr:cNvSpPr txBox="1"/>
      </xdr:nvSpPr>
      <xdr:spPr>
        <a:xfrm>
          <a:off x="6994071" y="19812000"/>
          <a:ext cx="2904581" cy="47606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Applicants must</a:t>
          </a:r>
          <a:r>
            <a:rPr lang="en-GB" sz="1100" baseline="0">
              <a:solidFill>
                <a:schemeClr val="dk1"/>
              </a:solidFill>
              <a:effectLst/>
              <a:latin typeface="+mn-lt"/>
              <a:ea typeface="+mn-ea"/>
              <a:cs typeface="+mn-cs"/>
            </a:rPr>
            <a:t> include the feedstock split of biogenic vs. fossil (LHV energy basis)</a:t>
          </a:r>
          <a:endParaRPr lang="en-GB">
            <a:effectLst/>
          </a:endParaRPr>
        </a:p>
      </xdr:txBody>
    </xdr:sp>
    <xdr:clientData/>
  </xdr:twoCellAnchor>
  <xdr:twoCellAnchor>
    <xdr:from>
      <xdr:col>5</xdr:col>
      <xdr:colOff>40821</xdr:colOff>
      <xdr:row>107</xdr:row>
      <xdr:rowOff>27214</xdr:rowOff>
    </xdr:from>
    <xdr:to>
      <xdr:col>5</xdr:col>
      <xdr:colOff>762000</xdr:colOff>
      <xdr:row>109</xdr:row>
      <xdr:rowOff>154486</xdr:rowOff>
    </xdr:to>
    <xdr:cxnSp macro="">
      <xdr:nvCxnSpPr>
        <xdr:cNvPr id="24" name="Straight Arrow Connector 5">
          <a:extLst>
            <a:ext uri="{FF2B5EF4-FFF2-40B4-BE49-F238E27FC236}">
              <a16:creationId xmlns:a16="http://schemas.microsoft.com/office/drawing/2014/main" id="{F46B7596-E803-4349-825D-C62940C06D8C}"/>
            </a:ext>
          </a:extLst>
        </xdr:cNvPr>
        <xdr:cNvCxnSpPr>
          <a:stCxn id="22" idx="1"/>
        </xdr:cNvCxnSpPr>
      </xdr:nvCxnSpPr>
      <xdr:spPr>
        <a:xfrm flipH="1" flipV="1">
          <a:off x="6517821" y="20873357"/>
          <a:ext cx="721179" cy="48105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25" name="TextBox 17">
          <a:extLst>
            <a:ext uri="{FF2B5EF4-FFF2-40B4-BE49-F238E27FC236}">
              <a16:creationId xmlns:a16="http://schemas.microsoft.com/office/drawing/2014/main" id="{D45954F8-06D4-4035-826F-D13DBD2557D3}"/>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828675</xdr:colOff>
      <xdr:row>9</xdr:row>
      <xdr:rowOff>0</xdr:rowOff>
    </xdr:from>
    <xdr:to>
      <xdr:col>15</xdr:col>
      <xdr:colOff>292911</xdr:colOff>
      <xdr:row>13</xdr:row>
      <xdr:rowOff>149679</xdr:rowOff>
    </xdr:to>
    <xdr:cxnSp macro="">
      <xdr:nvCxnSpPr>
        <xdr:cNvPr id="223" name="Straight Arrow Connector 20">
          <a:extLst>
            <a:ext uri="{FF2B5EF4-FFF2-40B4-BE49-F238E27FC236}">
              <a16:creationId xmlns:a16="http://schemas.microsoft.com/office/drawing/2014/main" id="{8962410A-F292-48C0-9431-61D41A2E359B}"/>
            </a:ext>
          </a:extLst>
        </xdr:cNvPr>
        <xdr:cNvCxnSpPr>
          <a:cxnSpLocks/>
          <a:stCxn id="219" idx="0"/>
        </xdr:cNvCxnSpPr>
      </xdr:nvCxnSpPr>
      <xdr:spPr>
        <a:xfrm flipH="1" flipV="1">
          <a:off x="16335375" y="3000375"/>
          <a:ext cx="712011" cy="9116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123825</xdr:rowOff>
    </xdr:from>
    <xdr:to>
      <xdr:col>16</xdr:col>
      <xdr:colOff>539750</xdr:colOff>
      <xdr:row>4</xdr:row>
      <xdr:rowOff>276225</xdr:rowOff>
    </xdr:to>
    <xdr:cxnSp macro="">
      <xdr:nvCxnSpPr>
        <xdr:cNvPr id="3" name="Straight Arrow Connector 2">
          <a:extLst>
            <a:ext uri="{FF2B5EF4-FFF2-40B4-BE49-F238E27FC236}">
              <a16:creationId xmlns:a16="http://schemas.microsoft.com/office/drawing/2014/main" id="{F339F06B-7D1F-468F-929E-9E20941DF594}"/>
            </a:ext>
          </a:extLst>
        </xdr:cNvPr>
        <xdr:cNvCxnSpPr>
          <a:cxnSpLocks/>
        </xdr:cNvCxnSpPr>
      </xdr:nvCxnSpPr>
      <xdr:spPr>
        <a:xfrm>
          <a:off x="17789525" y="781050"/>
          <a:ext cx="0"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1.xml><?xml version="1.0" encoding="utf-8"?>
<xdr:wsDr xmlns:xdr="http://schemas.openxmlformats.org/drawingml/2006/spreadsheetDrawing" xmlns:a="http://schemas.openxmlformats.org/drawingml/2006/main">
  <xdr:twoCellAnchor>
    <xdr:from>
      <xdr:col>24</xdr:col>
      <xdr:colOff>169636</xdr:colOff>
      <xdr:row>33</xdr:row>
      <xdr:rowOff>102507</xdr:rowOff>
    </xdr:from>
    <xdr:to>
      <xdr:col>34</xdr:col>
      <xdr:colOff>40822</xdr:colOff>
      <xdr:row>36</xdr:row>
      <xdr:rowOff>43996</xdr:rowOff>
    </xdr:to>
    <xdr:sp macro="" textlink="">
      <xdr:nvSpPr>
        <xdr:cNvPr id="2" name="Rectangle 1">
          <a:extLst>
            <a:ext uri="{FF2B5EF4-FFF2-40B4-BE49-F238E27FC236}">
              <a16:creationId xmlns:a16="http://schemas.microsoft.com/office/drawing/2014/main" id="{1FB8042C-F9B4-4295-A1F0-0B1F4679E6AA}"/>
            </a:ext>
          </a:extLst>
        </xdr:cNvPr>
        <xdr:cNvSpPr/>
      </xdr:nvSpPr>
      <xdr:spPr>
        <a:xfrm>
          <a:off x="23985946" y="7356747"/>
          <a:ext cx="4820376" cy="490129"/>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If direct</a:t>
          </a:r>
          <a:r>
            <a:rPr lang="en-GB" sz="1100" baseline="0"/>
            <a:t> Land Use Change</a:t>
          </a:r>
          <a:r>
            <a:rPr lang="en-GB" sz="1100"/>
            <a:t> emissions are unknown, see the Guidance tab for instructions on how to access the RTFO Carbon Calculator to calculate these</a:t>
          </a:r>
        </a:p>
      </xdr:txBody>
    </xdr:sp>
    <xdr:clientData/>
  </xdr:twoCellAnchor>
  <xdr:twoCellAnchor>
    <xdr:from>
      <xdr:col>18</xdr:col>
      <xdr:colOff>714868</xdr:colOff>
      <xdr:row>22</xdr:row>
      <xdr:rowOff>168963</xdr:rowOff>
    </xdr:from>
    <xdr:to>
      <xdr:col>19</xdr:col>
      <xdr:colOff>531586</xdr:colOff>
      <xdr:row>25</xdr:row>
      <xdr:rowOff>130885</xdr:rowOff>
    </xdr:to>
    <xdr:cxnSp macro="">
      <xdr:nvCxnSpPr>
        <xdr:cNvPr id="48" name="Straight Arrow Connector 5">
          <a:extLst>
            <a:ext uri="{FF2B5EF4-FFF2-40B4-BE49-F238E27FC236}">
              <a16:creationId xmlns:a16="http://schemas.microsoft.com/office/drawing/2014/main" id="{C0C39131-6EC9-4730-8EBA-41EB4670DE8F}"/>
            </a:ext>
          </a:extLst>
        </xdr:cNvPr>
        <xdr:cNvCxnSpPr/>
      </xdr:nvCxnSpPr>
      <xdr:spPr>
        <a:xfrm flipH="1">
          <a:off x="18660520" y="5400811"/>
          <a:ext cx="1279979" cy="500291"/>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551602</xdr:colOff>
      <xdr:row>24</xdr:row>
      <xdr:rowOff>73885</xdr:rowOff>
    </xdr:from>
    <xdr:to>
      <xdr:col>21</xdr:col>
      <xdr:colOff>552450</xdr:colOff>
      <xdr:row>25</xdr:row>
      <xdr:rowOff>142875</xdr:rowOff>
    </xdr:to>
    <xdr:cxnSp macro="">
      <xdr:nvCxnSpPr>
        <xdr:cNvPr id="4" name="Straight Arrow Connector 5">
          <a:extLst>
            <a:ext uri="{FF2B5EF4-FFF2-40B4-BE49-F238E27FC236}">
              <a16:creationId xmlns:a16="http://schemas.microsoft.com/office/drawing/2014/main" id="{AC219C1D-B68B-44D5-8931-15A20B375FC1}"/>
            </a:ext>
          </a:extLst>
        </xdr:cNvPr>
        <xdr:cNvCxnSpPr>
          <a:stCxn id="3" idx="2"/>
        </xdr:cNvCxnSpPr>
      </xdr:nvCxnSpPr>
      <xdr:spPr>
        <a:xfrm>
          <a:off x="23230627" y="5931760"/>
          <a:ext cx="1515323" cy="25949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1140516</xdr:colOff>
      <xdr:row>20</xdr:row>
      <xdr:rowOff>168552</xdr:rowOff>
    </xdr:from>
    <xdr:to>
      <xdr:col>21</xdr:col>
      <xdr:colOff>1210462</xdr:colOff>
      <xdr:row>24</xdr:row>
      <xdr:rowOff>73885</xdr:rowOff>
    </xdr:to>
    <xdr:sp macro="" textlink="">
      <xdr:nvSpPr>
        <xdr:cNvPr id="3" name="TextBox 27">
          <a:extLst>
            <a:ext uri="{FF2B5EF4-FFF2-40B4-BE49-F238E27FC236}">
              <a16:creationId xmlns:a16="http://schemas.microsoft.com/office/drawing/2014/main" id="{CA9C5F5E-4CFF-4900-BA8B-BE9F3B1E10FD}"/>
            </a:ext>
          </a:extLst>
        </xdr:cNvPr>
        <xdr:cNvSpPr txBox="1"/>
      </xdr:nvSpPr>
      <xdr:spPr>
        <a:xfrm>
          <a:off x="21057291" y="5264427"/>
          <a:ext cx="4346671" cy="66733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3" name="TextBox 17">
          <a:extLst>
            <a:ext uri="{FF2B5EF4-FFF2-40B4-BE49-F238E27FC236}">
              <a16:creationId xmlns:a16="http://schemas.microsoft.com/office/drawing/2014/main" id="{2682611B-36DA-4B4E-B355-9D46DDB23055}"/>
            </a:ext>
          </a:extLst>
        </xdr:cNvPr>
        <xdr:cNvSpPr txBox="1"/>
      </xdr:nvSpPr>
      <xdr:spPr>
        <a:xfrm>
          <a:off x="286871" y="116541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476250</xdr:colOff>
      <xdr:row>1</xdr:row>
      <xdr:rowOff>116366</xdr:rowOff>
    </xdr:from>
    <xdr:to>
      <xdr:col>14</xdr:col>
      <xdr:colOff>606425</xdr:colOff>
      <xdr:row>4</xdr:row>
      <xdr:rowOff>539750</xdr:rowOff>
    </xdr:to>
    <xdr:cxnSp macro="">
      <xdr:nvCxnSpPr>
        <xdr:cNvPr id="11" name="Straight Arrow Connector 20">
          <a:extLst>
            <a:ext uri="{FF2B5EF4-FFF2-40B4-BE49-F238E27FC236}">
              <a16:creationId xmlns:a16="http://schemas.microsoft.com/office/drawing/2014/main" id="{D3DBAECC-D968-4460-A8F7-8DA62FBEE338}"/>
            </a:ext>
          </a:extLst>
        </xdr:cNvPr>
        <xdr:cNvCxnSpPr>
          <a:cxnSpLocks/>
        </xdr:cNvCxnSpPr>
      </xdr:nvCxnSpPr>
      <xdr:spPr>
        <a:xfrm flipH="1">
          <a:off x="15716250" y="516416"/>
          <a:ext cx="1130300" cy="10742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552450</xdr:colOff>
      <xdr:row>0</xdr:row>
      <xdr:rowOff>152400</xdr:rowOff>
    </xdr:from>
    <xdr:to>
      <xdr:col>19</xdr:col>
      <xdr:colOff>457200</xdr:colOff>
      <xdr:row>2</xdr:row>
      <xdr:rowOff>103816</xdr:rowOff>
    </xdr:to>
    <xdr:sp macro="" textlink="">
      <xdr:nvSpPr>
        <xdr:cNvPr id="14" name="TextBox 13">
          <a:extLst>
            <a:ext uri="{FF2B5EF4-FFF2-40B4-BE49-F238E27FC236}">
              <a16:creationId xmlns:a16="http://schemas.microsoft.com/office/drawing/2014/main" id="{7A55D495-6E0F-4AE5-96D9-7057D3A05B2A}"/>
            </a:ext>
          </a:extLst>
        </xdr:cNvPr>
        <xdr:cNvSpPr txBox="1"/>
      </xdr:nvSpPr>
      <xdr:spPr>
        <a:xfrm>
          <a:off x="16935450" y="152400"/>
          <a:ext cx="5838825" cy="60864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16</xdr:col>
      <xdr:colOff>539750</xdr:colOff>
      <xdr:row>2</xdr:row>
      <xdr:rowOff>114300</xdr:rowOff>
    </xdr:from>
    <xdr:to>
      <xdr:col>16</xdr:col>
      <xdr:colOff>550609</xdr:colOff>
      <xdr:row>4</xdr:row>
      <xdr:rowOff>266700</xdr:rowOff>
    </xdr:to>
    <xdr:cxnSp macro="">
      <xdr:nvCxnSpPr>
        <xdr:cNvPr id="16" name="Straight Arrow Connector 15">
          <a:extLst>
            <a:ext uri="{FF2B5EF4-FFF2-40B4-BE49-F238E27FC236}">
              <a16:creationId xmlns:a16="http://schemas.microsoft.com/office/drawing/2014/main" id="{C107FE2A-DF6D-47A8-A750-5EFE590CFC4E}"/>
            </a:ext>
          </a:extLst>
        </xdr:cNvPr>
        <xdr:cNvCxnSpPr>
          <a:cxnSpLocks/>
        </xdr:cNvCxnSpPr>
      </xdr:nvCxnSpPr>
      <xdr:spPr>
        <a:xfrm>
          <a:off x="18027650" y="77152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424995</xdr:colOff>
      <xdr:row>17</xdr:row>
      <xdr:rowOff>85725</xdr:rowOff>
    </xdr:from>
    <xdr:to>
      <xdr:col>21</xdr:col>
      <xdr:colOff>333374</xdr:colOff>
      <xdr:row>20</xdr:row>
      <xdr:rowOff>51706</xdr:rowOff>
    </xdr:to>
    <xdr:sp macro="" textlink="">
      <xdr:nvSpPr>
        <xdr:cNvPr id="18" name="TextBox 17">
          <a:extLst>
            <a:ext uri="{FF2B5EF4-FFF2-40B4-BE49-F238E27FC236}">
              <a16:creationId xmlns:a16="http://schemas.microsoft.com/office/drawing/2014/main" id="{43BFE58F-606F-44D8-8140-4A3D60FDB5AF}"/>
            </a:ext>
          </a:extLst>
        </xdr:cNvPr>
        <xdr:cNvSpPr txBox="1"/>
      </xdr:nvSpPr>
      <xdr:spPr>
        <a:xfrm>
          <a:off x="20341770" y="4610100"/>
          <a:ext cx="4185104" cy="53748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17</xdr:col>
      <xdr:colOff>1123950</xdr:colOff>
      <xdr:row>18</xdr:row>
      <xdr:rowOff>159203</xdr:rowOff>
    </xdr:from>
    <xdr:to>
      <xdr:col>18</xdr:col>
      <xdr:colOff>421820</xdr:colOff>
      <xdr:row>19</xdr:row>
      <xdr:rowOff>68941</xdr:rowOff>
    </xdr:to>
    <xdr:cxnSp macro="">
      <xdr:nvCxnSpPr>
        <xdr:cNvPr id="19" name="Straight Arrow Connector 5">
          <a:extLst>
            <a:ext uri="{FF2B5EF4-FFF2-40B4-BE49-F238E27FC236}">
              <a16:creationId xmlns:a16="http://schemas.microsoft.com/office/drawing/2014/main" id="{AF385C75-0E54-4257-8B9B-FBDAE6DCFCBF}"/>
            </a:ext>
          </a:extLst>
        </xdr:cNvPr>
        <xdr:cNvCxnSpPr>
          <a:stCxn id="18" idx="1"/>
        </xdr:cNvCxnSpPr>
      </xdr:nvCxnSpPr>
      <xdr:spPr>
        <a:xfrm flipH="1">
          <a:off x="19869150" y="4874078"/>
          <a:ext cx="469445" cy="1002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2.xml><?xml version="1.0" encoding="utf-8"?>
<xdr:wsDr xmlns:xdr="http://schemas.openxmlformats.org/drawingml/2006/spreadsheetDrawing" xmlns:a="http://schemas.openxmlformats.org/drawingml/2006/main">
  <xdr:twoCellAnchor>
    <xdr:from>
      <xdr:col>18</xdr:col>
      <xdr:colOff>998809</xdr:colOff>
      <xdr:row>25</xdr:row>
      <xdr:rowOff>17318</xdr:rowOff>
    </xdr:from>
    <xdr:to>
      <xdr:col>19</xdr:col>
      <xdr:colOff>398319</xdr:colOff>
      <xdr:row>25</xdr:row>
      <xdr:rowOff>153390</xdr:rowOff>
    </xdr:to>
    <xdr:cxnSp macro="">
      <xdr:nvCxnSpPr>
        <xdr:cNvPr id="24" name="Straight Arrow Connector 5">
          <a:extLst>
            <a:ext uri="{FF2B5EF4-FFF2-40B4-BE49-F238E27FC236}">
              <a16:creationId xmlns:a16="http://schemas.microsoft.com/office/drawing/2014/main" id="{C85C3940-BD18-4144-918D-750CD04A6643}"/>
            </a:ext>
          </a:extLst>
        </xdr:cNvPr>
        <xdr:cNvCxnSpPr/>
      </xdr:nvCxnSpPr>
      <xdr:spPr>
        <a:xfrm flipH="1">
          <a:off x="19685127" y="6026727"/>
          <a:ext cx="854237" cy="1360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718156</xdr:colOff>
      <xdr:row>24</xdr:row>
      <xdr:rowOff>169788</xdr:rowOff>
    </xdr:from>
    <xdr:to>
      <xdr:col>21</xdr:col>
      <xdr:colOff>297584</xdr:colOff>
      <xdr:row>25</xdr:row>
      <xdr:rowOff>141721</xdr:rowOff>
    </xdr:to>
    <xdr:cxnSp macro="">
      <xdr:nvCxnSpPr>
        <xdr:cNvPr id="23" name="Straight Arrow Connector 5">
          <a:extLst>
            <a:ext uri="{FF2B5EF4-FFF2-40B4-BE49-F238E27FC236}">
              <a16:creationId xmlns:a16="http://schemas.microsoft.com/office/drawing/2014/main" id="{AC7CEE34-08D6-462E-935A-DDF3EA9969C1}"/>
            </a:ext>
          </a:extLst>
        </xdr:cNvPr>
        <xdr:cNvCxnSpPr>
          <a:cxnSpLocks/>
          <a:stCxn id="7" idx="2"/>
        </xdr:cNvCxnSpPr>
      </xdr:nvCxnSpPr>
      <xdr:spPr>
        <a:xfrm>
          <a:off x="22313929" y="6006015"/>
          <a:ext cx="705110" cy="1451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402193</xdr:colOff>
      <xdr:row>17</xdr:row>
      <xdr:rowOff>134836</xdr:rowOff>
    </xdr:from>
    <xdr:to>
      <xdr:col>22</xdr:col>
      <xdr:colOff>170872</xdr:colOff>
      <xdr:row>20</xdr:row>
      <xdr:rowOff>117847</xdr:rowOff>
    </xdr:to>
    <xdr:sp macro="" textlink="">
      <xdr:nvSpPr>
        <xdr:cNvPr id="19" name="TextBox 10">
          <a:extLst>
            <a:ext uri="{FF2B5EF4-FFF2-40B4-BE49-F238E27FC236}">
              <a16:creationId xmlns:a16="http://schemas.microsoft.com/office/drawing/2014/main" id="{85232AE6-D726-4C78-AC64-D481F056CD0A}"/>
            </a:ext>
          </a:extLst>
        </xdr:cNvPr>
        <xdr:cNvSpPr txBox="1"/>
      </xdr:nvSpPr>
      <xdr:spPr>
        <a:xfrm>
          <a:off x="20508602" y="4325836"/>
          <a:ext cx="3959679"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51954</xdr:colOff>
      <xdr:row>19</xdr:row>
      <xdr:rowOff>41338</xdr:rowOff>
    </xdr:from>
    <xdr:to>
      <xdr:col>19</xdr:col>
      <xdr:colOff>402193</xdr:colOff>
      <xdr:row>19</xdr:row>
      <xdr:rowOff>69272</xdr:rowOff>
    </xdr:to>
    <xdr:cxnSp macro="">
      <xdr:nvCxnSpPr>
        <xdr:cNvPr id="15" name="Straight Arrow Connector 5">
          <a:extLst>
            <a:ext uri="{FF2B5EF4-FFF2-40B4-BE49-F238E27FC236}">
              <a16:creationId xmlns:a16="http://schemas.microsoft.com/office/drawing/2014/main" id="{43C82B8A-7967-4AD7-AAD7-00E2A3E6F5CB}"/>
            </a:ext>
          </a:extLst>
        </xdr:cNvPr>
        <xdr:cNvCxnSpPr>
          <a:stCxn id="19" idx="1"/>
        </xdr:cNvCxnSpPr>
      </xdr:nvCxnSpPr>
      <xdr:spPr>
        <a:xfrm flipH="1">
          <a:off x="18703636" y="4578702"/>
          <a:ext cx="1804966" cy="2793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103909</xdr:colOff>
      <xdr:row>21</xdr:row>
      <xdr:rowOff>51955</xdr:rowOff>
    </xdr:from>
    <xdr:to>
      <xdr:col>22</xdr:col>
      <xdr:colOff>44508</xdr:colOff>
      <xdr:row>24</xdr:row>
      <xdr:rowOff>169788</xdr:rowOff>
    </xdr:to>
    <xdr:sp macro="" textlink="">
      <xdr:nvSpPr>
        <xdr:cNvPr id="7" name="TextBox 27">
          <a:extLst>
            <a:ext uri="{FF2B5EF4-FFF2-40B4-BE49-F238E27FC236}">
              <a16:creationId xmlns:a16="http://schemas.microsoft.com/office/drawing/2014/main" id="{6379BAB0-222B-4A6B-B8E7-00E0F1E77A21}"/>
            </a:ext>
          </a:extLst>
        </xdr:cNvPr>
        <xdr:cNvSpPr txBox="1"/>
      </xdr:nvSpPr>
      <xdr:spPr>
        <a:xfrm>
          <a:off x="20244954" y="5368637"/>
          <a:ext cx="4131599"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87A5B8D5-4025-45AA-908D-4986A3258B4F}"/>
            </a:ext>
          </a:extLst>
        </xdr:cNvPr>
        <xdr:cNvSpPr txBox="1"/>
      </xdr:nvSpPr>
      <xdr:spPr>
        <a:xfrm>
          <a:off x="286871" y="1156447"/>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676275</xdr:colOff>
      <xdr:row>20</xdr:row>
      <xdr:rowOff>28575</xdr:rowOff>
    </xdr:from>
    <xdr:to>
      <xdr:col>15</xdr:col>
      <xdr:colOff>328652</xdr:colOff>
      <xdr:row>24</xdr:row>
      <xdr:rowOff>96019</xdr:rowOff>
    </xdr:to>
    <xdr:cxnSp macro="">
      <xdr:nvCxnSpPr>
        <xdr:cNvPr id="3" name="Straight Arrow Connector 5">
          <a:extLst>
            <a:ext uri="{FF2B5EF4-FFF2-40B4-BE49-F238E27FC236}">
              <a16:creationId xmlns:a16="http://schemas.microsoft.com/office/drawing/2014/main" id="{9294326F-9F3C-4F8D-816D-619F5EDA6DFF}"/>
            </a:ext>
          </a:extLst>
        </xdr:cNvPr>
        <xdr:cNvCxnSpPr>
          <a:stCxn id="10" idx="0"/>
        </xdr:cNvCxnSpPr>
      </xdr:nvCxnSpPr>
      <xdr:spPr>
        <a:xfrm flipH="1" flipV="1">
          <a:off x="16913225" y="4987925"/>
          <a:ext cx="858877" cy="79451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952500</xdr:colOff>
      <xdr:row>7</xdr:row>
      <xdr:rowOff>133350</xdr:rowOff>
    </xdr:from>
    <xdr:to>
      <xdr:col>14</xdr:col>
      <xdr:colOff>342900</xdr:colOff>
      <xdr:row>18</xdr:row>
      <xdr:rowOff>161925</xdr:rowOff>
    </xdr:to>
    <xdr:cxnSp macro="">
      <xdr:nvCxnSpPr>
        <xdr:cNvPr id="6" name="Straight Arrow Connector 2">
          <a:extLst>
            <a:ext uri="{FF2B5EF4-FFF2-40B4-BE49-F238E27FC236}">
              <a16:creationId xmlns:a16="http://schemas.microsoft.com/office/drawing/2014/main" id="{55C189B2-88A1-40EA-BE14-28F6A72BCC49}"/>
            </a:ext>
          </a:extLst>
        </xdr:cNvPr>
        <xdr:cNvCxnSpPr/>
      </xdr:nvCxnSpPr>
      <xdr:spPr>
        <a:xfrm>
          <a:off x="16192500" y="2743200"/>
          <a:ext cx="390525" cy="2016125"/>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982930</xdr:colOff>
      <xdr:row>19</xdr:row>
      <xdr:rowOff>85035</xdr:rowOff>
    </xdr:from>
    <xdr:to>
      <xdr:col>14</xdr:col>
      <xdr:colOff>180975</xdr:colOff>
      <xdr:row>19</xdr:row>
      <xdr:rowOff>85035</xdr:rowOff>
    </xdr:to>
    <xdr:cxnSp macro="">
      <xdr:nvCxnSpPr>
        <xdr:cNvPr id="8" name="Straight Arrow Connector 3">
          <a:extLst>
            <a:ext uri="{FF2B5EF4-FFF2-40B4-BE49-F238E27FC236}">
              <a16:creationId xmlns:a16="http://schemas.microsoft.com/office/drawing/2014/main" id="{930A69D4-46D9-49C5-BEE1-9D6CC9B8FBF2}"/>
            </a:ext>
          </a:extLst>
        </xdr:cNvPr>
        <xdr:cNvCxnSpPr/>
      </xdr:nvCxnSpPr>
      <xdr:spPr>
        <a:xfrm>
          <a:off x="16219755" y="4869760"/>
          <a:ext cx="19817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314404</xdr:colOff>
      <xdr:row>24</xdr:row>
      <xdr:rowOff>96019</xdr:rowOff>
    </xdr:from>
    <xdr:to>
      <xdr:col>16</xdr:col>
      <xdr:colOff>800100</xdr:colOff>
      <xdr:row>28</xdr:row>
      <xdr:rowOff>27817</xdr:rowOff>
    </xdr:to>
    <xdr:sp macro="" textlink="">
      <xdr:nvSpPr>
        <xdr:cNvPr id="10" name="TextBox 9">
          <a:extLst>
            <a:ext uri="{FF2B5EF4-FFF2-40B4-BE49-F238E27FC236}">
              <a16:creationId xmlns:a16="http://schemas.microsoft.com/office/drawing/2014/main" id="{444CF667-1C85-436B-A267-20195D9CEC37}"/>
            </a:ext>
          </a:extLst>
        </xdr:cNvPr>
        <xdr:cNvSpPr txBox="1"/>
      </xdr:nvSpPr>
      <xdr:spPr>
        <a:xfrm>
          <a:off x="16551354" y="5782444"/>
          <a:ext cx="2431971" cy="65887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main feedstock input and main output.</a:t>
          </a:r>
          <a:endParaRPr lang="en-GB" sz="1100"/>
        </a:p>
      </xdr:txBody>
    </xdr:sp>
    <xdr:clientData/>
  </xdr:twoCellAnchor>
  <xdr:twoCellAnchor>
    <xdr:from>
      <xdr:col>13</xdr:col>
      <xdr:colOff>476250</xdr:colOff>
      <xdr:row>1</xdr:row>
      <xdr:rowOff>116366</xdr:rowOff>
    </xdr:from>
    <xdr:to>
      <xdr:col>14</xdr:col>
      <xdr:colOff>606425</xdr:colOff>
      <xdr:row>4</xdr:row>
      <xdr:rowOff>539750</xdr:rowOff>
    </xdr:to>
    <xdr:cxnSp macro="">
      <xdr:nvCxnSpPr>
        <xdr:cNvPr id="11" name="Straight Arrow Connector 20">
          <a:extLst>
            <a:ext uri="{FF2B5EF4-FFF2-40B4-BE49-F238E27FC236}">
              <a16:creationId xmlns:a16="http://schemas.microsoft.com/office/drawing/2014/main" id="{0E5F70B1-7A89-49DF-986C-C76BA5FB3631}"/>
            </a:ext>
          </a:extLst>
        </xdr:cNvPr>
        <xdr:cNvCxnSpPr>
          <a:cxnSpLocks/>
        </xdr:cNvCxnSpPr>
      </xdr:nvCxnSpPr>
      <xdr:spPr>
        <a:xfrm flipH="1">
          <a:off x="15716250" y="516416"/>
          <a:ext cx="1130300" cy="10742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615950</xdr:colOff>
      <xdr:row>0</xdr:row>
      <xdr:rowOff>177800</xdr:rowOff>
    </xdr:from>
    <xdr:to>
      <xdr:col>19</xdr:col>
      <xdr:colOff>523875</xdr:colOff>
      <xdr:row>2</xdr:row>
      <xdr:rowOff>135566</xdr:rowOff>
    </xdr:to>
    <xdr:sp macro="" textlink="">
      <xdr:nvSpPr>
        <xdr:cNvPr id="13" name="TextBox 12">
          <a:extLst>
            <a:ext uri="{FF2B5EF4-FFF2-40B4-BE49-F238E27FC236}">
              <a16:creationId xmlns:a16="http://schemas.microsoft.com/office/drawing/2014/main" id="{716AE593-4901-406B-A1E9-2B35F82DD6CC}"/>
            </a:ext>
          </a:extLst>
        </xdr:cNvPr>
        <xdr:cNvSpPr txBox="1"/>
      </xdr:nvSpPr>
      <xdr:spPr>
        <a:xfrm>
          <a:off x="16856075" y="177800"/>
          <a:ext cx="5842000" cy="61499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16</xdr:col>
      <xdr:colOff>539750</xdr:colOff>
      <xdr:row>2</xdr:row>
      <xdr:rowOff>133350</xdr:rowOff>
    </xdr:from>
    <xdr:to>
      <xdr:col>16</xdr:col>
      <xdr:colOff>550609</xdr:colOff>
      <xdr:row>4</xdr:row>
      <xdr:rowOff>285750</xdr:rowOff>
    </xdr:to>
    <xdr:cxnSp macro="">
      <xdr:nvCxnSpPr>
        <xdr:cNvPr id="2" name="Straight Arrow Connector 1">
          <a:extLst>
            <a:ext uri="{FF2B5EF4-FFF2-40B4-BE49-F238E27FC236}">
              <a16:creationId xmlns:a16="http://schemas.microsoft.com/office/drawing/2014/main" id="{77EA9D4E-4567-4258-8088-83C52C6958D4}"/>
            </a:ext>
          </a:extLst>
        </xdr:cNvPr>
        <xdr:cNvCxnSpPr>
          <a:cxnSpLocks/>
        </xdr:cNvCxnSpPr>
      </xdr:nvCxnSpPr>
      <xdr:spPr>
        <a:xfrm>
          <a:off x="17894300" y="7905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3.xml><?xml version="1.0" encoding="utf-8"?>
<xdr:wsDr xmlns:xdr="http://schemas.openxmlformats.org/drawingml/2006/spreadsheetDrawing" xmlns:a="http://schemas.openxmlformats.org/drawingml/2006/main">
  <xdr:twoCellAnchor>
    <xdr:from>
      <xdr:col>14</xdr:col>
      <xdr:colOff>676275</xdr:colOff>
      <xdr:row>20</xdr:row>
      <xdr:rowOff>28575</xdr:rowOff>
    </xdr:from>
    <xdr:to>
      <xdr:col>15</xdr:col>
      <xdr:colOff>328652</xdr:colOff>
      <xdr:row>24</xdr:row>
      <xdr:rowOff>96019</xdr:rowOff>
    </xdr:to>
    <xdr:cxnSp macro="">
      <xdr:nvCxnSpPr>
        <xdr:cNvPr id="2" name="Straight Arrow Connector 5">
          <a:extLst>
            <a:ext uri="{FF2B5EF4-FFF2-40B4-BE49-F238E27FC236}">
              <a16:creationId xmlns:a16="http://schemas.microsoft.com/office/drawing/2014/main" id="{8DF24BB0-7F3C-4C61-9FF4-3D961F7881AF}"/>
            </a:ext>
          </a:extLst>
        </xdr:cNvPr>
        <xdr:cNvCxnSpPr>
          <a:stCxn id="20" idx="0"/>
        </xdr:cNvCxnSpPr>
      </xdr:nvCxnSpPr>
      <xdr:spPr>
        <a:xfrm flipH="1" flipV="1">
          <a:off x="16916400" y="4991100"/>
          <a:ext cx="852527" cy="7913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952500</xdr:colOff>
      <xdr:row>7</xdr:row>
      <xdr:rowOff>133350</xdr:rowOff>
    </xdr:from>
    <xdr:to>
      <xdr:col>14</xdr:col>
      <xdr:colOff>342900</xdr:colOff>
      <xdr:row>18</xdr:row>
      <xdr:rowOff>161925</xdr:rowOff>
    </xdr:to>
    <xdr:cxnSp macro="">
      <xdr:nvCxnSpPr>
        <xdr:cNvPr id="17" name="Straight Arrow Connector 2">
          <a:extLst>
            <a:ext uri="{FF2B5EF4-FFF2-40B4-BE49-F238E27FC236}">
              <a16:creationId xmlns:a16="http://schemas.microsoft.com/office/drawing/2014/main" id="{AC0BA73A-366D-492E-AE48-04FBAE0F637A}"/>
            </a:ext>
          </a:extLst>
        </xdr:cNvPr>
        <xdr:cNvCxnSpPr/>
      </xdr:nvCxnSpPr>
      <xdr:spPr>
        <a:xfrm>
          <a:off x="16192500" y="2743200"/>
          <a:ext cx="390525" cy="20193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982930</xdr:colOff>
      <xdr:row>19</xdr:row>
      <xdr:rowOff>85035</xdr:rowOff>
    </xdr:from>
    <xdr:to>
      <xdr:col>14</xdr:col>
      <xdr:colOff>180975</xdr:colOff>
      <xdr:row>19</xdr:row>
      <xdr:rowOff>85035</xdr:rowOff>
    </xdr:to>
    <xdr:cxnSp macro="">
      <xdr:nvCxnSpPr>
        <xdr:cNvPr id="19" name="Straight Arrow Connector 3">
          <a:extLst>
            <a:ext uri="{FF2B5EF4-FFF2-40B4-BE49-F238E27FC236}">
              <a16:creationId xmlns:a16="http://schemas.microsoft.com/office/drawing/2014/main" id="{06DA3539-34DE-4532-BBD5-183890302429}"/>
            </a:ext>
          </a:extLst>
        </xdr:cNvPr>
        <xdr:cNvCxnSpPr/>
      </xdr:nvCxnSpPr>
      <xdr:spPr>
        <a:xfrm>
          <a:off x="16222930" y="4866585"/>
          <a:ext cx="19817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1038879</xdr:colOff>
      <xdr:row>25</xdr:row>
      <xdr:rowOff>27608</xdr:rowOff>
    </xdr:from>
    <xdr:to>
      <xdr:col>19</xdr:col>
      <xdr:colOff>427935</xdr:colOff>
      <xdr:row>25</xdr:row>
      <xdr:rowOff>163680</xdr:rowOff>
    </xdr:to>
    <xdr:cxnSp macro="">
      <xdr:nvCxnSpPr>
        <xdr:cNvPr id="7" name="Straight Arrow Connector 5">
          <a:extLst>
            <a:ext uri="{FF2B5EF4-FFF2-40B4-BE49-F238E27FC236}">
              <a16:creationId xmlns:a16="http://schemas.microsoft.com/office/drawing/2014/main" id="{B5CACE1D-623C-4EA0-ADFE-4D7D340B07A2}"/>
            </a:ext>
          </a:extLst>
        </xdr:cNvPr>
        <xdr:cNvCxnSpPr/>
      </xdr:nvCxnSpPr>
      <xdr:spPr>
        <a:xfrm flipH="1">
          <a:off x="18225292" y="6129130"/>
          <a:ext cx="852317" cy="1360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585559</xdr:colOff>
      <xdr:row>25</xdr:row>
      <xdr:rowOff>29986</xdr:rowOff>
    </xdr:from>
    <xdr:to>
      <xdr:col>21</xdr:col>
      <xdr:colOff>941871</xdr:colOff>
      <xdr:row>25</xdr:row>
      <xdr:rowOff>151848</xdr:rowOff>
    </xdr:to>
    <xdr:cxnSp macro="">
      <xdr:nvCxnSpPr>
        <xdr:cNvPr id="10" name="Straight Arrow Connector 5">
          <a:extLst>
            <a:ext uri="{FF2B5EF4-FFF2-40B4-BE49-F238E27FC236}">
              <a16:creationId xmlns:a16="http://schemas.microsoft.com/office/drawing/2014/main" id="{E6E4EA60-F6B5-46CC-91C8-E22083FC49D7}"/>
            </a:ext>
          </a:extLst>
        </xdr:cNvPr>
        <xdr:cNvCxnSpPr>
          <a:cxnSpLocks/>
          <a:stCxn id="6" idx="2"/>
        </xdr:cNvCxnSpPr>
      </xdr:nvCxnSpPr>
      <xdr:spPr>
        <a:xfrm>
          <a:off x="20698494" y="6131508"/>
          <a:ext cx="1488268" cy="1218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314404</xdr:colOff>
      <xdr:row>24</xdr:row>
      <xdr:rowOff>96019</xdr:rowOff>
    </xdr:from>
    <xdr:to>
      <xdr:col>16</xdr:col>
      <xdr:colOff>800100</xdr:colOff>
      <xdr:row>28</xdr:row>
      <xdr:rowOff>27817</xdr:rowOff>
    </xdr:to>
    <xdr:sp macro="" textlink="">
      <xdr:nvSpPr>
        <xdr:cNvPr id="20" name="TextBox 9">
          <a:extLst>
            <a:ext uri="{FF2B5EF4-FFF2-40B4-BE49-F238E27FC236}">
              <a16:creationId xmlns:a16="http://schemas.microsoft.com/office/drawing/2014/main" id="{7FE063C9-8D37-4046-9B16-128BC2DB4055}"/>
            </a:ext>
          </a:extLst>
        </xdr:cNvPr>
        <xdr:cNvSpPr txBox="1"/>
      </xdr:nvSpPr>
      <xdr:spPr>
        <a:xfrm>
          <a:off x="16554529" y="5782444"/>
          <a:ext cx="2428796" cy="65569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487529</xdr:colOff>
      <xdr:row>18</xdr:row>
      <xdr:rowOff>95608</xdr:rowOff>
    </xdr:from>
    <xdr:to>
      <xdr:col>21</xdr:col>
      <xdr:colOff>379205</xdr:colOff>
      <xdr:row>21</xdr:row>
      <xdr:rowOff>59794</xdr:rowOff>
    </xdr:to>
    <xdr:sp macro="" textlink="">
      <xdr:nvSpPr>
        <xdr:cNvPr id="16" name="TextBox 10">
          <a:extLst>
            <a:ext uri="{FF2B5EF4-FFF2-40B4-BE49-F238E27FC236}">
              <a16:creationId xmlns:a16="http://schemas.microsoft.com/office/drawing/2014/main" id="{2DCC65AB-CBF3-48C0-9CAF-2F4734E8832F}"/>
            </a:ext>
          </a:extLst>
        </xdr:cNvPr>
        <xdr:cNvSpPr txBox="1"/>
      </xdr:nvSpPr>
      <xdr:spPr>
        <a:xfrm>
          <a:off x="17673942" y="4747673"/>
          <a:ext cx="3950154" cy="5025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14</xdr:col>
      <xdr:colOff>606425</xdr:colOff>
      <xdr:row>0</xdr:row>
      <xdr:rowOff>210508</xdr:rowOff>
    </xdr:from>
    <xdr:to>
      <xdr:col>19</xdr:col>
      <xdr:colOff>514350</xdr:colOff>
      <xdr:row>2</xdr:row>
      <xdr:rowOff>165099</xdr:rowOff>
    </xdr:to>
    <xdr:sp macro="" textlink="">
      <xdr:nvSpPr>
        <xdr:cNvPr id="14" name="TextBox 13">
          <a:extLst>
            <a:ext uri="{FF2B5EF4-FFF2-40B4-BE49-F238E27FC236}">
              <a16:creationId xmlns:a16="http://schemas.microsoft.com/office/drawing/2014/main" id="{F8C2F6B4-6235-4E00-BD0B-161F1DF8E0FC}"/>
            </a:ext>
          </a:extLst>
        </xdr:cNvPr>
        <xdr:cNvSpPr txBox="1"/>
      </xdr:nvSpPr>
      <xdr:spPr>
        <a:xfrm>
          <a:off x="16846550" y="210508"/>
          <a:ext cx="5842000" cy="61181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18</xdr:col>
      <xdr:colOff>6803</xdr:colOff>
      <xdr:row>19</xdr:row>
      <xdr:rowOff>80242</xdr:rowOff>
    </xdr:from>
    <xdr:to>
      <xdr:col>18</xdr:col>
      <xdr:colOff>487529</xdr:colOff>
      <xdr:row>19</xdr:row>
      <xdr:rowOff>168304</xdr:rowOff>
    </xdr:to>
    <xdr:cxnSp macro="">
      <xdr:nvCxnSpPr>
        <xdr:cNvPr id="15" name="Straight Arrow Connector 5">
          <a:extLst>
            <a:ext uri="{FF2B5EF4-FFF2-40B4-BE49-F238E27FC236}">
              <a16:creationId xmlns:a16="http://schemas.microsoft.com/office/drawing/2014/main" id="{75727ED4-5818-42E0-BF9A-2574C9D94D7D}"/>
            </a:ext>
          </a:extLst>
        </xdr:cNvPr>
        <xdr:cNvCxnSpPr>
          <a:stCxn id="16" idx="1"/>
        </xdr:cNvCxnSpPr>
      </xdr:nvCxnSpPr>
      <xdr:spPr>
        <a:xfrm flipH="1" flipV="1">
          <a:off x="17193216" y="4911764"/>
          <a:ext cx="480726" cy="880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1449456</xdr:colOff>
      <xdr:row>21</xdr:row>
      <xdr:rowOff>110434</xdr:rowOff>
    </xdr:from>
    <xdr:to>
      <xdr:col>21</xdr:col>
      <xdr:colOff>1519402</xdr:colOff>
      <xdr:row>25</xdr:row>
      <xdr:rowOff>26811</xdr:rowOff>
    </xdr:to>
    <xdr:sp macro="" textlink="">
      <xdr:nvSpPr>
        <xdr:cNvPr id="6" name="TextBox 27">
          <a:extLst>
            <a:ext uri="{FF2B5EF4-FFF2-40B4-BE49-F238E27FC236}">
              <a16:creationId xmlns:a16="http://schemas.microsoft.com/office/drawing/2014/main" id="{DBCD5E72-9711-469A-9DFF-F55A019F91F8}"/>
            </a:ext>
          </a:extLst>
        </xdr:cNvPr>
        <xdr:cNvSpPr txBox="1"/>
      </xdr:nvSpPr>
      <xdr:spPr>
        <a:xfrm>
          <a:off x="18635869" y="5494130"/>
          <a:ext cx="4128424" cy="6342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1370D222-AFDF-43B3-83BD-7D6929B36F00}"/>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476250</xdr:colOff>
      <xdr:row>1</xdr:row>
      <xdr:rowOff>116366</xdr:rowOff>
    </xdr:from>
    <xdr:to>
      <xdr:col>14</xdr:col>
      <xdr:colOff>606425</xdr:colOff>
      <xdr:row>4</xdr:row>
      <xdr:rowOff>539750</xdr:rowOff>
    </xdr:to>
    <xdr:cxnSp macro="">
      <xdr:nvCxnSpPr>
        <xdr:cNvPr id="4" name="Straight Arrow Connector 20">
          <a:extLst>
            <a:ext uri="{FF2B5EF4-FFF2-40B4-BE49-F238E27FC236}">
              <a16:creationId xmlns:a16="http://schemas.microsoft.com/office/drawing/2014/main" id="{8AF8E3F4-6BEA-4784-94A9-F77CE8F7F90A}"/>
            </a:ext>
          </a:extLst>
        </xdr:cNvPr>
        <xdr:cNvCxnSpPr>
          <a:cxnSpLocks/>
          <a:stCxn id="14" idx="1"/>
        </xdr:cNvCxnSpPr>
      </xdr:nvCxnSpPr>
      <xdr:spPr>
        <a:xfrm flipH="1">
          <a:off x="15716250" y="516416"/>
          <a:ext cx="1130300" cy="10710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161925</xdr:rowOff>
    </xdr:from>
    <xdr:to>
      <xdr:col>16</xdr:col>
      <xdr:colOff>550609</xdr:colOff>
      <xdr:row>4</xdr:row>
      <xdr:rowOff>314325</xdr:rowOff>
    </xdr:to>
    <xdr:cxnSp macro="">
      <xdr:nvCxnSpPr>
        <xdr:cNvPr id="3" name="Straight Arrow Connector 2">
          <a:extLst>
            <a:ext uri="{FF2B5EF4-FFF2-40B4-BE49-F238E27FC236}">
              <a16:creationId xmlns:a16="http://schemas.microsoft.com/office/drawing/2014/main" id="{5FCA0E9C-F8C0-43F3-BE75-285F381EC00F}"/>
            </a:ext>
          </a:extLst>
        </xdr:cNvPr>
        <xdr:cNvCxnSpPr>
          <a:cxnSpLocks/>
        </xdr:cNvCxnSpPr>
      </xdr:nvCxnSpPr>
      <xdr:spPr>
        <a:xfrm>
          <a:off x="17894300"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4.xml><?xml version="1.0" encoding="utf-8"?>
<xdr:wsDr xmlns:xdr="http://schemas.openxmlformats.org/drawingml/2006/spreadsheetDrawing" xmlns:a="http://schemas.openxmlformats.org/drawingml/2006/main">
  <xdr:twoCellAnchor>
    <xdr:from>
      <xdr:col>18</xdr:col>
      <xdr:colOff>938481</xdr:colOff>
      <xdr:row>24</xdr:row>
      <xdr:rowOff>166873</xdr:rowOff>
    </xdr:from>
    <xdr:to>
      <xdr:col>19</xdr:col>
      <xdr:colOff>463755</xdr:colOff>
      <xdr:row>26</xdr:row>
      <xdr:rowOff>6186</xdr:rowOff>
    </xdr:to>
    <xdr:cxnSp macro="">
      <xdr:nvCxnSpPr>
        <xdr:cNvPr id="8" name="Straight Arrow Connector 5">
          <a:extLst>
            <a:ext uri="{FF2B5EF4-FFF2-40B4-BE49-F238E27FC236}">
              <a16:creationId xmlns:a16="http://schemas.microsoft.com/office/drawing/2014/main" id="{B68BA362-CB4E-478B-9D07-93E1A02244F7}"/>
            </a:ext>
          </a:extLst>
        </xdr:cNvPr>
        <xdr:cNvCxnSpPr/>
      </xdr:nvCxnSpPr>
      <xdr:spPr>
        <a:xfrm flipH="1">
          <a:off x="19209163" y="6040623"/>
          <a:ext cx="982887"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522791</xdr:colOff>
      <xdr:row>24</xdr:row>
      <xdr:rowOff>156304</xdr:rowOff>
    </xdr:from>
    <xdr:to>
      <xdr:col>21</xdr:col>
      <xdr:colOff>676356</xdr:colOff>
      <xdr:row>25</xdr:row>
      <xdr:rowOff>173841</xdr:rowOff>
    </xdr:to>
    <xdr:cxnSp macro="">
      <xdr:nvCxnSpPr>
        <xdr:cNvPr id="17" name="Straight Arrow Connector 5">
          <a:extLst>
            <a:ext uri="{FF2B5EF4-FFF2-40B4-BE49-F238E27FC236}">
              <a16:creationId xmlns:a16="http://schemas.microsoft.com/office/drawing/2014/main" id="{C4B36CC0-3029-4D7C-A5BF-1B727AF99C22}"/>
            </a:ext>
          </a:extLst>
        </xdr:cNvPr>
        <xdr:cNvCxnSpPr>
          <a:cxnSpLocks/>
          <a:stCxn id="6" idx="2"/>
        </xdr:cNvCxnSpPr>
      </xdr:nvCxnSpPr>
      <xdr:spPr>
        <a:xfrm>
          <a:off x="21722720" y="6102625"/>
          <a:ext cx="1282957" cy="19443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389701</xdr:colOff>
      <xdr:row>23</xdr:row>
      <xdr:rowOff>140609</xdr:rowOff>
    </xdr:from>
    <xdr:to>
      <xdr:col>16</xdr:col>
      <xdr:colOff>762000</xdr:colOff>
      <xdr:row>27</xdr:row>
      <xdr:rowOff>63501</xdr:rowOff>
    </xdr:to>
    <xdr:sp macro="" textlink="">
      <xdr:nvSpPr>
        <xdr:cNvPr id="10" name="TextBox 9">
          <a:extLst>
            <a:ext uri="{FF2B5EF4-FFF2-40B4-BE49-F238E27FC236}">
              <a16:creationId xmlns:a16="http://schemas.microsoft.com/office/drawing/2014/main" id="{D9A735F9-8FD7-4ADF-9904-D95A1A3501BA}"/>
            </a:ext>
          </a:extLst>
        </xdr:cNvPr>
        <xdr:cNvSpPr txBox="1"/>
      </xdr:nvSpPr>
      <xdr:spPr>
        <a:xfrm>
          <a:off x="16629826" y="5646059"/>
          <a:ext cx="2334449" cy="6467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453569</xdr:colOff>
      <xdr:row>17</xdr:row>
      <xdr:rowOff>140897</xdr:rowOff>
    </xdr:from>
    <xdr:to>
      <xdr:col>21</xdr:col>
      <xdr:colOff>354732</xdr:colOff>
      <xdr:row>20</xdr:row>
      <xdr:rowOff>67913</xdr:rowOff>
    </xdr:to>
    <xdr:sp macro="" textlink="">
      <xdr:nvSpPr>
        <xdr:cNvPr id="11" name="TextBox 10">
          <a:extLst>
            <a:ext uri="{FF2B5EF4-FFF2-40B4-BE49-F238E27FC236}">
              <a16:creationId xmlns:a16="http://schemas.microsoft.com/office/drawing/2014/main" id="{21C3482C-0372-41DA-A762-D7935B0BD0DC}"/>
            </a:ext>
          </a:extLst>
        </xdr:cNvPr>
        <xdr:cNvSpPr txBox="1"/>
      </xdr:nvSpPr>
      <xdr:spPr>
        <a:xfrm>
          <a:off x="18724251" y="4701352"/>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14</xdr:col>
      <xdr:colOff>663641</xdr:colOff>
      <xdr:row>0</xdr:row>
      <xdr:rowOff>180307</xdr:rowOff>
    </xdr:from>
    <xdr:to>
      <xdr:col>19</xdr:col>
      <xdr:colOff>676275</xdr:colOff>
      <xdr:row>2</xdr:row>
      <xdr:rowOff>161925</xdr:rowOff>
    </xdr:to>
    <xdr:sp macro="" textlink="">
      <xdr:nvSpPr>
        <xdr:cNvPr id="14" name="TextBox 13">
          <a:extLst>
            <a:ext uri="{FF2B5EF4-FFF2-40B4-BE49-F238E27FC236}">
              <a16:creationId xmlns:a16="http://schemas.microsoft.com/office/drawing/2014/main" id="{1B89E8CD-91F1-4157-B544-36C93E203044}"/>
            </a:ext>
          </a:extLst>
        </xdr:cNvPr>
        <xdr:cNvSpPr txBox="1"/>
      </xdr:nvSpPr>
      <xdr:spPr>
        <a:xfrm>
          <a:off x="16903766" y="180307"/>
          <a:ext cx="5937184" cy="63884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18</xdr:col>
      <xdr:colOff>6802</xdr:colOff>
      <xdr:row>19</xdr:row>
      <xdr:rowOff>13773</xdr:rowOff>
    </xdr:from>
    <xdr:to>
      <xdr:col>18</xdr:col>
      <xdr:colOff>450394</xdr:colOff>
      <xdr:row>19</xdr:row>
      <xdr:rowOff>85889</xdr:rowOff>
    </xdr:to>
    <xdr:cxnSp macro="">
      <xdr:nvCxnSpPr>
        <xdr:cNvPr id="15" name="Straight Arrow Connector 5">
          <a:extLst>
            <a:ext uri="{FF2B5EF4-FFF2-40B4-BE49-F238E27FC236}">
              <a16:creationId xmlns:a16="http://schemas.microsoft.com/office/drawing/2014/main" id="{7D69F201-13E6-4A55-8D72-D61BD7867809}"/>
            </a:ext>
          </a:extLst>
        </xdr:cNvPr>
        <xdr:cNvCxnSpPr>
          <a:stCxn id="11" idx="1"/>
        </xdr:cNvCxnSpPr>
      </xdr:nvCxnSpPr>
      <xdr:spPr>
        <a:xfrm flipH="1">
          <a:off x="18277484" y="4949455"/>
          <a:ext cx="443592" cy="72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1382280</xdr:colOff>
      <xdr:row>20</xdr:row>
      <xdr:rowOff>136071</xdr:rowOff>
    </xdr:from>
    <xdr:to>
      <xdr:col>21</xdr:col>
      <xdr:colOff>1458538</xdr:colOff>
      <xdr:row>24</xdr:row>
      <xdr:rowOff>156304</xdr:rowOff>
    </xdr:to>
    <xdr:sp macro="" textlink="">
      <xdr:nvSpPr>
        <xdr:cNvPr id="6" name="TextBox 27">
          <a:extLst>
            <a:ext uri="{FF2B5EF4-FFF2-40B4-BE49-F238E27FC236}">
              <a16:creationId xmlns:a16="http://schemas.microsoft.com/office/drawing/2014/main" id="{8BC94696-1BB5-4FC3-BD54-9E83B9AD1FB0}"/>
            </a:ext>
          </a:extLst>
        </xdr:cNvPr>
        <xdr:cNvSpPr txBox="1"/>
      </xdr:nvSpPr>
      <xdr:spPr>
        <a:xfrm>
          <a:off x="19670280" y="5374821"/>
          <a:ext cx="4117579" cy="72780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3F470869-3BD5-42DF-8396-4155FF66D3D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598404</xdr:colOff>
      <xdr:row>20</xdr:row>
      <xdr:rowOff>21427</xdr:rowOff>
    </xdr:from>
    <xdr:to>
      <xdr:col>14</xdr:col>
      <xdr:colOff>1011998</xdr:colOff>
      <xdr:row>23</xdr:row>
      <xdr:rowOff>170486</xdr:rowOff>
    </xdr:to>
    <xdr:cxnSp macro="">
      <xdr:nvCxnSpPr>
        <xdr:cNvPr id="4" name="Straight Arrow Connector 5">
          <a:extLst>
            <a:ext uri="{FF2B5EF4-FFF2-40B4-BE49-F238E27FC236}">
              <a16:creationId xmlns:a16="http://schemas.microsoft.com/office/drawing/2014/main" id="{57C8A085-86C1-46C6-B081-EF4B61BED7A6}"/>
            </a:ext>
          </a:extLst>
        </xdr:cNvPr>
        <xdr:cNvCxnSpPr/>
      </xdr:nvCxnSpPr>
      <xdr:spPr>
        <a:xfrm flipH="1" flipV="1">
          <a:off x="16841704" y="4983952"/>
          <a:ext cx="410419" cy="6919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30223</xdr:colOff>
      <xdr:row>7</xdr:row>
      <xdr:rowOff>122728</xdr:rowOff>
    </xdr:from>
    <xdr:to>
      <xdr:col>14</xdr:col>
      <xdr:colOff>466725</xdr:colOff>
      <xdr:row>18</xdr:row>
      <xdr:rowOff>152400</xdr:rowOff>
    </xdr:to>
    <xdr:cxnSp macro="">
      <xdr:nvCxnSpPr>
        <xdr:cNvPr id="7" name="Straight Arrow Connector 2">
          <a:extLst>
            <a:ext uri="{FF2B5EF4-FFF2-40B4-BE49-F238E27FC236}">
              <a16:creationId xmlns:a16="http://schemas.microsoft.com/office/drawing/2014/main" id="{6EB812CD-ADCF-4049-90CD-33BADFFC4D59}"/>
            </a:ext>
          </a:extLst>
        </xdr:cNvPr>
        <xdr:cNvCxnSpPr/>
      </xdr:nvCxnSpPr>
      <xdr:spPr>
        <a:xfrm>
          <a:off x="16267173" y="2735753"/>
          <a:ext cx="436502" cy="201722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19</xdr:row>
      <xdr:rowOff>112796</xdr:rowOff>
    </xdr:from>
    <xdr:to>
      <xdr:col>14</xdr:col>
      <xdr:colOff>171450</xdr:colOff>
      <xdr:row>19</xdr:row>
      <xdr:rowOff>112796</xdr:rowOff>
    </xdr:to>
    <xdr:cxnSp macro="">
      <xdr:nvCxnSpPr>
        <xdr:cNvPr id="12" name="Straight Arrow Connector 3">
          <a:extLst>
            <a:ext uri="{FF2B5EF4-FFF2-40B4-BE49-F238E27FC236}">
              <a16:creationId xmlns:a16="http://schemas.microsoft.com/office/drawing/2014/main" id="{C0C09958-5C41-467D-B3FF-876CD42FF506}"/>
            </a:ext>
          </a:extLst>
        </xdr:cNvPr>
        <xdr:cNvCxnSpPr/>
      </xdr:nvCxnSpPr>
      <xdr:spPr>
        <a:xfrm>
          <a:off x="16246475" y="4894346"/>
          <a:ext cx="165100"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85981</xdr:rowOff>
    </xdr:from>
    <xdr:to>
      <xdr:col>14</xdr:col>
      <xdr:colOff>647700</xdr:colOff>
      <xdr:row>4</xdr:row>
      <xdr:rowOff>542925</xdr:rowOff>
    </xdr:to>
    <xdr:cxnSp macro="">
      <xdr:nvCxnSpPr>
        <xdr:cNvPr id="13" name="Straight Arrow Connector 20">
          <a:extLst>
            <a:ext uri="{FF2B5EF4-FFF2-40B4-BE49-F238E27FC236}">
              <a16:creationId xmlns:a16="http://schemas.microsoft.com/office/drawing/2014/main" id="{3287EAC9-36D8-416F-A8C9-8BE84B71775D}"/>
            </a:ext>
          </a:extLst>
        </xdr:cNvPr>
        <xdr:cNvCxnSpPr>
          <a:cxnSpLocks/>
        </xdr:cNvCxnSpPr>
      </xdr:nvCxnSpPr>
      <xdr:spPr>
        <a:xfrm flipH="1">
          <a:off x="15716250" y="482856"/>
          <a:ext cx="1171575" cy="11046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85981</xdr:rowOff>
    </xdr:from>
    <xdr:to>
      <xdr:col>14</xdr:col>
      <xdr:colOff>647700</xdr:colOff>
      <xdr:row>4</xdr:row>
      <xdr:rowOff>542925</xdr:rowOff>
    </xdr:to>
    <xdr:cxnSp macro="">
      <xdr:nvCxnSpPr>
        <xdr:cNvPr id="19" name="Straight Arrow Connector 20">
          <a:extLst>
            <a:ext uri="{FF2B5EF4-FFF2-40B4-BE49-F238E27FC236}">
              <a16:creationId xmlns:a16="http://schemas.microsoft.com/office/drawing/2014/main" id="{3AAD217C-CE58-4D0D-8E58-8746D842B99A}"/>
            </a:ext>
          </a:extLst>
        </xdr:cNvPr>
        <xdr:cNvCxnSpPr>
          <a:cxnSpLocks/>
        </xdr:cNvCxnSpPr>
      </xdr:nvCxnSpPr>
      <xdr:spPr>
        <a:xfrm flipH="1">
          <a:off x="15716250" y="482856"/>
          <a:ext cx="1171575" cy="11046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161925</xdr:rowOff>
    </xdr:from>
    <xdr:to>
      <xdr:col>16</xdr:col>
      <xdr:colOff>550609</xdr:colOff>
      <xdr:row>4</xdr:row>
      <xdr:rowOff>314325</xdr:rowOff>
    </xdr:to>
    <xdr:cxnSp macro="">
      <xdr:nvCxnSpPr>
        <xdr:cNvPr id="2" name="Straight Arrow Connector 1">
          <a:extLst>
            <a:ext uri="{FF2B5EF4-FFF2-40B4-BE49-F238E27FC236}">
              <a16:creationId xmlns:a16="http://schemas.microsoft.com/office/drawing/2014/main" id="{159AE06B-207F-4778-AAD9-2AF89BCF6AB1}"/>
            </a:ext>
          </a:extLst>
        </xdr:cNvPr>
        <xdr:cNvCxnSpPr>
          <a:cxnSpLocks/>
        </xdr:cNvCxnSpPr>
      </xdr:nvCxnSpPr>
      <xdr:spPr>
        <a:xfrm>
          <a:off x="17913350" y="819150"/>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5.xml><?xml version="1.0" encoding="utf-8"?>
<xdr:wsDr xmlns:xdr="http://schemas.openxmlformats.org/drawingml/2006/spreadsheetDrawing" xmlns:a="http://schemas.openxmlformats.org/drawingml/2006/main">
  <xdr:twoCellAnchor>
    <xdr:from>
      <xdr:col>14</xdr:col>
      <xdr:colOff>598404</xdr:colOff>
      <xdr:row>20</xdr:row>
      <xdr:rowOff>21427</xdr:rowOff>
    </xdr:from>
    <xdr:to>
      <xdr:col>14</xdr:col>
      <xdr:colOff>1011998</xdr:colOff>
      <xdr:row>23</xdr:row>
      <xdr:rowOff>170486</xdr:rowOff>
    </xdr:to>
    <xdr:cxnSp macro="">
      <xdr:nvCxnSpPr>
        <xdr:cNvPr id="2" name="Straight Arrow Connector 5">
          <a:extLst>
            <a:ext uri="{FF2B5EF4-FFF2-40B4-BE49-F238E27FC236}">
              <a16:creationId xmlns:a16="http://schemas.microsoft.com/office/drawing/2014/main" id="{F3058496-C2F2-41F0-9153-DB28ED8B9F43}"/>
            </a:ext>
          </a:extLst>
        </xdr:cNvPr>
        <xdr:cNvCxnSpPr/>
      </xdr:nvCxnSpPr>
      <xdr:spPr>
        <a:xfrm flipH="1" flipV="1">
          <a:off x="16838529" y="4983952"/>
          <a:ext cx="413594" cy="69198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30223</xdr:colOff>
      <xdr:row>7</xdr:row>
      <xdr:rowOff>122728</xdr:rowOff>
    </xdr:from>
    <xdr:to>
      <xdr:col>14</xdr:col>
      <xdr:colOff>466725</xdr:colOff>
      <xdr:row>18</xdr:row>
      <xdr:rowOff>152400</xdr:rowOff>
    </xdr:to>
    <xdr:cxnSp macro="">
      <xdr:nvCxnSpPr>
        <xdr:cNvPr id="20" name="Straight Arrow Connector 2">
          <a:extLst>
            <a:ext uri="{FF2B5EF4-FFF2-40B4-BE49-F238E27FC236}">
              <a16:creationId xmlns:a16="http://schemas.microsoft.com/office/drawing/2014/main" id="{90C88921-FD9B-48A2-9B95-14C76BE608DB}"/>
            </a:ext>
          </a:extLst>
        </xdr:cNvPr>
        <xdr:cNvCxnSpPr/>
      </xdr:nvCxnSpPr>
      <xdr:spPr>
        <a:xfrm>
          <a:off x="16270348" y="2732578"/>
          <a:ext cx="436502" cy="202039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19</xdr:row>
      <xdr:rowOff>112796</xdr:rowOff>
    </xdr:from>
    <xdr:to>
      <xdr:col>14</xdr:col>
      <xdr:colOff>171450</xdr:colOff>
      <xdr:row>19</xdr:row>
      <xdr:rowOff>112796</xdr:rowOff>
    </xdr:to>
    <xdr:cxnSp macro="">
      <xdr:nvCxnSpPr>
        <xdr:cNvPr id="22" name="Straight Arrow Connector 3">
          <a:extLst>
            <a:ext uri="{FF2B5EF4-FFF2-40B4-BE49-F238E27FC236}">
              <a16:creationId xmlns:a16="http://schemas.microsoft.com/office/drawing/2014/main" id="{D0187764-4A9F-4A66-B1A1-73F819E1A0D5}"/>
            </a:ext>
          </a:extLst>
        </xdr:cNvPr>
        <xdr:cNvCxnSpPr/>
      </xdr:nvCxnSpPr>
      <xdr:spPr>
        <a:xfrm>
          <a:off x="16249650" y="4894346"/>
          <a:ext cx="16192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85981</xdr:rowOff>
    </xdr:from>
    <xdr:to>
      <xdr:col>14</xdr:col>
      <xdr:colOff>647700</xdr:colOff>
      <xdr:row>4</xdr:row>
      <xdr:rowOff>542925</xdr:rowOff>
    </xdr:to>
    <xdr:cxnSp macro="">
      <xdr:nvCxnSpPr>
        <xdr:cNvPr id="5" name="Straight Arrow Connector 20">
          <a:extLst>
            <a:ext uri="{FF2B5EF4-FFF2-40B4-BE49-F238E27FC236}">
              <a16:creationId xmlns:a16="http://schemas.microsoft.com/office/drawing/2014/main" id="{EF0BF379-F4D6-4DF6-9EA1-2E37B8C46053}"/>
            </a:ext>
          </a:extLst>
        </xdr:cNvPr>
        <xdr:cNvCxnSpPr>
          <a:cxnSpLocks/>
          <a:stCxn id="14" idx="1"/>
        </xdr:cNvCxnSpPr>
      </xdr:nvCxnSpPr>
      <xdr:spPr>
        <a:xfrm flipH="1">
          <a:off x="15716250" y="486031"/>
          <a:ext cx="1171575" cy="11046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735813</xdr:colOff>
      <xdr:row>24</xdr:row>
      <xdr:rowOff>137862</xdr:rowOff>
    </xdr:from>
    <xdr:to>
      <xdr:col>19</xdr:col>
      <xdr:colOff>162928</xdr:colOff>
      <xdr:row>25</xdr:row>
      <xdr:rowOff>145431</xdr:rowOff>
    </xdr:to>
    <xdr:cxnSp macro="">
      <xdr:nvCxnSpPr>
        <xdr:cNvPr id="18" name="Straight Arrow Connector 5">
          <a:extLst>
            <a:ext uri="{FF2B5EF4-FFF2-40B4-BE49-F238E27FC236}">
              <a16:creationId xmlns:a16="http://schemas.microsoft.com/office/drawing/2014/main" id="{9465D410-2AD2-49DB-9A86-CFE059B87270}"/>
            </a:ext>
          </a:extLst>
        </xdr:cNvPr>
        <xdr:cNvCxnSpPr/>
      </xdr:nvCxnSpPr>
      <xdr:spPr>
        <a:xfrm flipH="1">
          <a:off x="17918412" y="5978191"/>
          <a:ext cx="880930" cy="18302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640225</xdr:colOff>
      <xdr:row>24</xdr:row>
      <xdr:rowOff>145420</xdr:rowOff>
    </xdr:from>
    <xdr:to>
      <xdr:col>21</xdr:col>
      <xdr:colOff>388520</xdr:colOff>
      <xdr:row>25</xdr:row>
      <xdr:rowOff>137862</xdr:rowOff>
    </xdr:to>
    <xdr:cxnSp macro="">
      <xdr:nvCxnSpPr>
        <xdr:cNvPr id="23" name="Straight Arrow Connector 5">
          <a:extLst>
            <a:ext uri="{FF2B5EF4-FFF2-40B4-BE49-F238E27FC236}">
              <a16:creationId xmlns:a16="http://schemas.microsoft.com/office/drawing/2014/main" id="{22E94D39-36C0-495D-AF4E-E763348DCCEC}"/>
            </a:ext>
          </a:extLst>
        </xdr:cNvPr>
        <xdr:cNvCxnSpPr>
          <a:cxnSpLocks/>
          <a:stCxn id="6" idx="2"/>
        </xdr:cNvCxnSpPr>
      </xdr:nvCxnSpPr>
      <xdr:spPr>
        <a:xfrm>
          <a:off x="20730455" y="5985749"/>
          <a:ext cx="876256" cy="16790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311958</xdr:colOff>
      <xdr:row>24</xdr:row>
      <xdr:rowOff>18086</xdr:rowOff>
    </xdr:from>
    <xdr:to>
      <xdr:col>16</xdr:col>
      <xdr:colOff>561975</xdr:colOff>
      <xdr:row>27</xdr:row>
      <xdr:rowOff>133350</xdr:rowOff>
    </xdr:to>
    <xdr:sp macro="" textlink="">
      <xdr:nvSpPr>
        <xdr:cNvPr id="10" name="TextBox 9">
          <a:extLst>
            <a:ext uri="{FF2B5EF4-FFF2-40B4-BE49-F238E27FC236}">
              <a16:creationId xmlns:a16="http://schemas.microsoft.com/office/drawing/2014/main" id="{48A3728C-D066-4D58-8F26-5A45E31984DC}"/>
            </a:ext>
          </a:extLst>
        </xdr:cNvPr>
        <xdr:cNvSpPr txBox="1"/>
      </xdr:nvSpPr>
      <xdr:spPr>
        <a:xfrm>
          <a:off x="16552083" y="5704511"/>
          <a:ext cx="2174067" cy="65818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505874</xdr:colOff>
      <xdr:row>17</xdr:row>
      <xdr:rowOff>108859</xdr:rowOff>
    </xdr:from>
    <xdr:to>
      <xdr:col>21</xdr:col>
      <xdr:colOff>426786</xdr:colOff>
      <xdr:row>20</xdr:row>
      <xdr:rowOff>75508</xdr:rowOff>
    </xdr:to>
    <xdr:sp macro="" textlink="">
      <xdr:nvSpPr>
        <xdr:cNvPr id="11" name="TextBox 10">
          <a:extLst>
            <a:ext uri="{FF2B5EF4-FFF2-40B4-BE49-F238E27FC236}">
              <a16:creationId xmlns:a16="http://schemas.microsoft.com/office/drawing/2014/main" id="{2B0DC69D-5594-4B6C-91CE-5885210A8C69}"/>
            </a:ext>
          </a:extLst>
        </xdr:cNvPr>
        <xdr:cNvSpPr txBox="1"/>
      </xdr:nvSpPr>
      <xdr:spPr>
        <a:xfrm>
          <a:off x="17688473" y="4520438"/>
          <a:ext cx="3956504" cy="49303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14</xdr:col>
      <xdr:colOff>647700</xdr:colOff>
      <xdr:row>0</xdr:row>
      <xdr:rowOff>159261</xdr:rowOff>
    </xdr:from>
    <xdr:to>
      <xdr:col>18</xdr:col>
      <xdr:colOff>1358900</xdr:colOff>
      <xdr:row>2</xdr:row>
      <xdr:rowOff>152400</xdr:rowOff>
    </xdr:to>
    <xdr:sp macro="" textlink="">
      <xdr:nvSpPr>
        <xdr:cNvPr id="14" name="TextBox 13">
          <a:extLst>
            <a:ext uri="{FF2B5EF4-FFF2-40B4-BE49-F238E27FC236}">
              <a16:creationId xmlns:a16="http://schemas.microsoft.com/office/drawing/2014/main" id="{E1AC78AF-4DCD-4B97-982C-934934CC9A36}"/>
            </a:ext>
          </a:extLst>
        </xdr:cNvPr>
        <xdr:cNvSpPr txBox="1"/>
      </xdr:nvSpPr>
      <xdr:spPr>
        <a:xfrm>
          <a:off x="16887825" y="159261"/>
          <a:ext cx="5854700" cy="65036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18</xdr:col>
      <xdr:colOff>46407</xdr:colOff>
      <xdr:row>19</xdr:row>
      <xdr:rowOff>6041</xdr:rowOff>
    </xdr:from>
    <xdr:to>
      <xdr:col>18</xdr:col>
      <xdr:colOff>502699</xdr:colOff>
      <xdr:row>19</xdr:row>
      <xdr:rowOff>84507</xdr:rowOff>
    </xdr:to>
    <xdr:cxnSp macro="">
      <xdr:nvCxnSpPr>
        <xdr:cNvPr id="15" name="Straight Arrow Connector 5">
          <a:extLst>
            <a:ext uri="{FF2B5EF4-FFF2-40B4-BE49-F238E27FC236}">
              <a16:creationId xmlns:a16="http://schemas.microsoft.com/office/drawing/2014/main" id="{1AB5B68C-2401-43BD-AD1D-87D1C4515045}"/>
            </a:ext>
          </a:extLst>
        </xdr:cNvPr>
        <xdr:cNvCxnSpPr>
          <a:stCxn id="11" idx="1"/>
        </xdr:cNvCxnSpPr>
      </xdr:nvCxnSpPr>
      <xdr:spPr>
        <a:xfrm flipH="1">
          <a:off x="17229006" y="4768541"/>
          <a:ext cx="456292" cy="7846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25066</xdr:colOff>
      <xdr:row>21</xdr:row>
      <xdr:rowOff>37599</xdr:rowOff>
    </xdr:from>
    <xdr:to>
      <xdr:col>21</xdr:col>
      <xdr:colOff>1578063</xdr:colOff>
      <xdr:row>24</xdr:row>
      <xdr:rowOff>142245</xdr:rowOff>
    </xdr:to>
    <xdr:sp macro="" textlink="">
      <xdr:nvSpPr>
        <xdr:cNvPr id="6" name="TextBox 27">
          <a:extLst>
            <a:ext uri="{FF2B5EF4-FFF2-40B4-BE49-F238E27FC236}">
              <a16:creationId xmlns:a16="http://schemas.microsoft.com/office/drawing/2014/main" id="{BC5982BC-B3E1-4E87-935A-940178E08536}"/>
            </a:ext>
          </a:extLst>
        </xdr:cNvPr>
        <xdr:cNvSpPr txBox="1"/>
      </xdr:nvSpPr>
      <xdr:spPr>
        <a:xfrm>
          <a:off x="18661480" y="5351546"/>
          <a:ext cx="4134774"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8DEF5D5D-D955-4B33-828C-93EA4493028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16</xdr:col>
      <xdr:colOff>485775</xdr:colOff>
      <xdr:row>2</xdr:row>
      <xdr:rowOff>152400</xdr:rowOff>
    </xdr:from>
    <xdr:to>
      <xdr:col>16</xdr:col>
      <xdr:colOff>504825</xdr:colOff>
      <xdr:row>4</xdr:row>
      <xdr:rowOff>400050</xdr:rowOff>
    </xdr:to>
    <xdr:cxnSp macro="">
      <xdr:nvCxnSpPr>
        <xdr:cNvPr id="13" name="Straight Arrow Connector 12">
          <a:extLst>
            <a:ext uri="{FF2B5EF4-FFF2-40B4-BE49-F238E27FC236}">
              <a16:creationId xmlns:a16="http://schemas.microsoft.com/office/drawing/2014/main" id="{758E4C1D-45A8-4CA0-B32D-B479B739C079}"/>
            </a:ext>
          </a:extLst>
        </xdr:cNvPr>
        <xdr:cNvCxnSpPr>
          <a:cxnSpLocks/>
        </xdr:cNvCxnSpPr>
      </xdr:nvCxnSpPr>
      <xdr:spPr>
        <a:xfrm>
          <a:off x="19326225" y="809625"/>
          <a:ext cx="19050" cy="6381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xdr:from>
      <xdr:col>14</xdr:col>
      <xdr:colOff>495588</xdr:colOff>
      <xdr:row>20</xdr:row>
      <xdr:rowOff>16205</xdr:rowOff>
    </xdr:from>
    <xdr:to>
      <xdr:col>14</xdr:col>
      <xdr:colOff>932961</xdr:colOff>
      <xdr:row>23</xdr:row>
      <xdr:rowOff>126465</xdr:rowOff>
    </xdr:to>
    <xdr:cxnSp macro="">
      <xdr:nvCxnSpPr>
        <xdr:cNvPr id="2" name="Straight Arrow Connector 5">
          <a:extLst>
            <a:ext uri="{FF2B5EF4-FFF2-40B4-BE49-F238E27FC236}">
              <a16:creationId xmlns:a16="http://schemas.microsoft.com/office/drawing/2014/main" id="{C07D39FD-CD8A-4E60-80F4-14327893C8F5}"/>
            </a:ext>
          </a:extLst>
        </xdr:cNvPr>
        <xdr:cNvCxnSpPr/>
      </xdr:nvCxnSpPr>
      <xdr:spPr>
        <a:xfrm flipH="1" flipV="1">
          <a:off x="16735713" y="4978730"/>
          <a:ext cx="437373" cy="65318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7</xdr:row>
      <xdr:rowOff>104775</xdr:rowOff>
    </xdr:from>
    <xdr:to>
      <xdr:col>14</xdr:col>
      <xdr:colOff>501650</xdr:colOff>
      <xdr:row>18</xdr:row>
      <xdr:rowOff>114300</xdr:rowOff>
    </xdr:to>
    <xdr:cxnSp macro="">
      <xdr:nvCxnSpPr>
        <xdr:cNvPr id="47" name="Straight Arrow Connector 2">
          <a:extLst>
            <a:ext uri="{FF2B5EF4-FFF2-40B4-BE49-F238E27FC236}">
              <a16:creationId xmlns:a16="http://schemas.microsoft.com/office/drawing/2014/main" id="{D7931111-0E97-415A-9B1F-4D6FDDB945BC}"/>
            </a:ext>
          </a:extLst>
        </xdr:cNvPr>
        <xdr:cNvCxnSpPr/>
      </xdr:nvCxnSpPr>
      <xdr:spPr>
        <a:xfrm>
          <a:off x="16249650" y="2714625"/>
          <a:ext cx="492125" cy="200025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476250</xdr:colOff>
      <xdr:row>1</xdr:row>
      <xdr:rowOff>112713</xdr:rowOff>
    </xdr:from>
    <xdr:to>
      <xdr:col>14</xdr:col>
      <xdr:colOff>542925</xdr:colOff>
      <xdr:row>4</xdr:row>
      <xdr:rowOff>523875</xdr:rowOff>
    </xdr:to>
    <xdr:cxnSp macro="">
      <xdr:nvCxnSpPr>
        <xdr:cNvPr id="5" name="Straight Arrow Connector 20">
          <a:extLst>
            <a:ext uri="{FF2B5EF4-FFF2-40B4-BE49-F238E27FC236}">
              <a16:creationId xmlns:a16="http://schemas.microsoft.com/office/drawing/2014/main" id="{FBACAE4C-1745-4028-810A-65EAF77C1CA6}"/>
            </a:ext>
          </a:extLst>
        </xdr:cNvPr>
        <xdr:cNvCxnSpPr>
          <a:cxnSpLocks/>
          <a:stCxn id="13" idx="1"/>
        </xdr:cNvCxnSpPr>
      </xdr:nvCxnSpPr>
      <xdr:spPr>
        <a:xfrm flipH="1">
          <a:off x="15716250" y="512763"/>
          <a:ext cx="1066800" cy="105886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779732</xdr:colOff>
      <xdr:row>24</xdr:row>
      <xdr:rowOff>166873</xdr:rowOff>
    </xdr:from>
    <xdr:to>
      <xdr:col>19</xdr:col>
      <xdr:colOff>305006</xdr:colOff>
      <xdr:row>26</xdr:row>
      <xdr:rowOff>6186</xdr:rowOff>
    </xdr:to>
    <xdr:cxnSp macro="">
      <xdr:nvCxnSpPr>
        <xdr:cNvPr id="8" name="Straight Arrow Connector 5">
          <a:extLst>
            <a:ext uri="{FF2B5EF4-FFF2-40B4-BE49-F238E27FC236}">
              <a16:creationId xmlns:a16="http://schemas.microsoft.com/office/drawing/2014/main" id="{FBD0584F-D869-4F3D-8570-C1C0BDA0836B}"/>
            </a:ext>
          </a:extLst>
        </xdr:cNvPr>
        <xdr:cNvCxnSpPr/>
      </xdr:nvCxnSpPr>
      <xdr:spPr>
        <a:xfrm flipH="1">
          <a:off x="18934959" y="6040623"/>
          <a:ext cx="982888" cy="21454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391709</xdr:colOff>
      <xdr:row>24</xdr:row>
      <xdr:rowOff>143521</xdr:rowOff>
    </xdr:from>
    <xdr:to>
      <xdr:col>21</xdr:col>
      <xdr:colOff>523957</xdr:colOff>
      <xdr:row>25</xdr:row>
      <xdr:rowOff>149802</xdr:rowOff>
    </xdr:to>
    <xdr:cxnSp macro="">
      <xdr:nvCxnSpPr>
        <xdr:cNvPr id="17" name="Straight Arrow Connector 5">
          <a:extLst>
            <a:ext uri="{FF2B5EF4-FFF2-40B4-BE49-F238E27FC236}">
              <a16:creationId xmlns:a16="http://schemas.microsoft.com/office/drawing/2014/main" id="{A26F2912-9D38-401E-8E83-DBA2C03D53F8}"/>
            </a:ext>
          </a:extLst>
        </xdr:cNvPr>
        <xdr:cNvCxnSpPr>
          <a:cxnSpLocks/>
          <a:stCxn id="6" idx="2"/>
        </xdr:cNvCxnSpPr>
      </xdr:nvCxnSpPr>
      <xdr:spPr>
        <a:xfrm>
          <a:off x="21462164" y="6089430"/>
          <a:ext cx="1272361" cy="1938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295275</xdr:colOff>
      <xdr:row>23</xdr:row>
      <xdr:rowOff>164564</xdr:rowOff>
    </xdr:from>
    <xdr:to>
      <xdr:col>16</xdr:col>
      <xdr:colOff>314324</xdr:colOff>
      <xdr:row>28</xdr:row>
      <xdr:rowOff>3174</xdr:rowOff>
    </xdr:to>
    <xdr:sp macro="" textlink="">
      <xdr:nvSpPr>
        <xdr:cNvPr id="10" name="TextBox 9">
          <a:extLst>
            <a:ext uri="{FF2B5EF4-FFF2-40B4-BE49-F238E27FC236}">
              <a16:creationId xmlns:a16="http://schemas.microsoft.com/office/drawing/2014/main" id="{3DB0886A-9355-4B0A-9902-A95670576EAA}"/>
            </a:ext>
          </a:extLst>
        </xdr:cNvPr>
        <xdr:cNvSpPr txBox="1"/>
      </xdr:nvSpPr>
      <xdr:spPr>
        <a:xfrm>
          <a:off x="16535400" y="5670014"/>
          <a:ext cx="2533649" cy="7434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main output.</a:t>
          </a:r>
          <a:endParaRPr lang="en-GB" sz="1100"/>
        </a:p>
      </xdr:txBody>
    </xdr:sp>
    <xdr:clientData/>
  </xdr:twoCellAnchor>
  <xdr:twoCellAnchor>
    <xdr:from>
      <xdr:col>18</xdr:col>
      <xdr:colOff>468002</xdr:colOff>
      <xdr:row>17</xdr:row>
      <xdr:rowOff>112034</xdr:rowOff>
    </xdr:from>
    <xdr:to>
      <xdr:col>21</xdr:col>
      <xdr:colOff>369165</xdr:colOff>
      <xdr:row>20</xdr:row>
      <xdr:rowOff>39050</xdr:rowOff>
    </xdr:to>
    <xdr:sp macro="" textlink="">
      <xdr:nvSpPr>
        <xdr:cNvPr id="11" name="TextBox 10">
          <a:extLst>
            <a:ext uri="{FF2B5EF4-FFF2-40B4-BE49-F238E27FC236}">
              <a16:creationId xmlns:a16="http://schemas.microsoft.com/office/drawing/2014/main" id="{983D7136-DEBF-4893-BE71-9F75062BC79E}"/>
            </a:ext>
          </a:extLst>
        </xdr:cNvPr>
        <xdr:cNvSpPr txBox="1"/>
      </xdr:nvSpPr>
      <xdr:spPr>
        <a:xfrm>
          <a:off x="18623229" y="4672489"/>
          <a:ext cx="3956504" cy="48985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21236</xdr:colOff>
      <xdr:row>18</xdr:row>
      <xdr:rowOff>172524</xdr:rowOff>
    </xdr:from>
    <xdr:to>
      <xdr:col>18</xdr:col>
      <xdr:colOff>464827</xdr:colOff>
      <xdr:row>19</xdr:row>
      <xdr:rowOff>57026</xdr:rowOff>
    </xdr:to>
    <xdr:cxnSp macro="">
      <xdr:nvCxnSpPr>
        <xdr:cNvPr id="15" name="Straight Arrow Connector 5">
          <a:extLst>
            <a:ext uri="{FF2B5EF4-FFF2-40B4-BE49-F238E27FC236}">
              <a16:creationId xmlns:a16="http://schemas.microsoft.com/office/drawing/2014/main" id="{19CD4E35-8A8B-4080-9814-51D0A5CCDBB4}"/>
            </a:ext>
          </a:extLst>
        </xdr:cNvPr>
        <xdr:cNvCxnSpPr>
          <a:stCxn id="11" idx="1"/>
        </xdr:cNvCxnSpPr>
      </xdr:nvCxnSpPr>
      <xdr:spPr>
        <a:xfrm flipH="1">
          <a:off x="18176463" y="4920592"/>
          <a:ext cx="443591" cy="7211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1241137</xdr:colOff>
      <xdr:row>21</xdr:row>
      <xdr:rowOff>72159</xdr:rowOff>
    </xdr:from>
    <xdr:to>
      <xdr:col>21</xdr:col>
      <xdr:colOff>1317395</xdr:colOff>
      <xdr:row>24</xdr:row>
      <xdr:rowOff>140346</xdr:rowOff>
    </xdr:to>
    <xdr:sp macro="" textlink="">
      <xdr:nvSpPr>
        <xdr:cNvPr id="6" name="TextBox 27">
          <a:extLst>
            <a:ext uri="{FF2B5EF4-FFF2-40B4-BE49-F238E27FC236}">
              <a16:creationId xmlns:a16="http://schemas.microsoft.com/office/drawing/2014/main" id="{F5D45A6F-CB39-47AE-9F9A-08A5B53E4A85}"/>
            </a:ext>
          </a:extLst>
        </xdr:cNvPr>
        <xdr:cNvSpPr txBox="1"/>
      </xdr:nvSpPr>
      <xdr:spPr>
        <a:xfrm>
          <a:off x="19396364" y="5455227"/>
          <a:ext cx="4131599" cy="63102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1</xdr:col>
      <xdr:colOff>0</xdr:colOff>
      <xdr:row>4</xdr:row>
      <xdr:rowOff>0</xdr:rowOff>
    </xdr:from>
    <xdr:to>
      <xdr:col>2</xdr:col>
      <xdr:colOff>2371567</xdr:colOff>
      <xdr:row>4</xdr:row>
      <xdr:rowOff>828130</xdr:rowOff>
    </xdr:to>
    <xdr:sp macro="" textlink="">
      <xdr:nvSpPr>
        <xdr:cNvPr id="16" name="TextBox 17">
          <a:extLst>
            <a:ext uri="{FF2B5EF4-FFF2-40B4-BE49-F238E27FC236}">
              <a16:creationId xmlns:a16="http://schemas.microsoft.com/office/drawing/2014/main" id="{B6D829E1-1900-4D88-8991-168922FEFF95}"/>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14</xdr:col>
      <xdr:colOff>539750</xdr:colOff>
      <xdr:row>0</xdr:row>
      <xdr:rowOff>200025</xdr:rowOff>
    </xdr:from>
    <xdr:to>
      <xdr:col>18</xdr:col>
      <xdr:colOff>1447528</xdr:colOff>
      <xdr:row>2</xdr:row>
      <xdr:rowOff>171450</xdr:rowOff>
    </xdr:to>
    <xdr:sp macro="" textlink="">
      <xdr:nvSpPr>
        <xdr:cNvPr id="13" name="TextBox 12">
          <a:extLst>
            <a:ext uri="{FF2B5EF4-FFF2-40B4-BE49-F238E27FC236}">
              <a16:creationId xmlns:a16="http://schemas.microsoft.com/office/drawing/2014/main" id="{5246CC49-8C47-4F07-980B-2CDEDE9134A8}"/>
            </a:ext>
          </a:extLst>
        </xdr:cNvPr>
        <xdr:cNvSpPr txBox="1"/>
      </xdr:nvSpPr>
      <xdr:spPr>
        <a:xfrm>
          <a:off x="16779875" y="200025"/>
          <a:ext cx="5965553" cy="628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14</xdr:col>
      <xdr:colOff>6350</xdr:colOff>
      <xdr:row>19</xdr:row>
      <xdr:rowOff>111125</xdr:rowOff>
    </xdr:from>
    <xdr:to>
      <xdr:col>14</xdr:col>
      <xdr:colOff>123825</xdr:colOff>
      <xdr:row>19</xdr:row>
      <xdr:rowOff>111125</xdr:rowOff>
    </xdr:to>
    <xdr:cxnSp macro="">
      <xdr:nvCxnSpPr>
        <xdr:cNvPr id="33" name="Straight Arrow Connector 3">
          <a:extLst>
            <a:ext uri="{FF2B5EF4-FFF2-40B4-BE49-F238E27FC236}">
              <a16:creationId xmlns:a16="http://schemas.microsoft.com/office/drawing/2014/main" id="{277B65CD-1512-4B60-8B23-DB59E4F63E3A}"/>
            </a:ext>
          </a:extLst>
        </xdr:cNvPr>
        <xdr:cNvCxnSpPr/>
      </xdr:nvCxnSpPr>
      <xdr:spPr>
        <a:xfrm>
          <a:off x="16246475" y="4892675"/>
          <a:ext cx="117475"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539750</xdr:colOff>
      <xdr:row>2</xdr:row>
      <xdr:rowOff>171450</xdr:rowOff>
    </xdr:from>
    <xdr:to>
      <xdr:col>16</xdr:col>
      <xdr:colOff>550609</xdr:colOff>
      <xdr:row>4</xdr:row>
      <xdr:rowOff>323850</xdr:rowOff>
    </xdr:to>
    <xdr:cxnSp macro="">
      <xdr:nvCxnSpPr>
        <xdr:cNvPr id="3" name="Straight Arrow Connector 2">
          <a:extLst>
            <a:ext uri="{FF2B5EF4-FFF2-40B4-BE49-F238E27FC236}">
              <a16:creationId xmlns:a16="http://schemas.microsoft.com/office/drawing/2014/main" id="{D2C393A9-BEA1-429B-A7A3-BBF9B1D914E8}"/>
            </a:ext>
          </a:extLst>
        </xdr:cNvPr>
        <xdr:cNvCxnSpPr>
          <a:cxnSpLocks/>
        </xdr:cNvCxnSpPr>
      </xdr:nvCxnSpPr>
      <xdr:spPr>
        <a:xfrm>
          <a:off x="18103850" y="828675"/>
          <a:ext cx="10859" cy="5334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7.xml><?xml version="1.0" encoding="utf-8"?>
<xdr:wsDr xmlns:xdr="http://schemas.openxmlformats.org/drawingml/2006/spreadsheetDrawing" xmlns:a="http://schemas.openxmlformats.org/drawingml/2006/main">
  <xdr:twoCellAnchor>
    <xdr:from>
      <xdr:col>13</xdr:col>
      <xdr:colOff>390525</xdr:colOff>
      <xdr:row>1</xdr:row>
      <xdr:rowOff>65088</xdr:rowOff>
    </xdr:from>
    <xdr:to>
      <xdr:col>14</xdr:col>
      <xdr:colOff>466997</xdr:colOff>
      <xdr:row>4</xdr:row>
      <xdr:rowOff>381000</xdr:rowOff>
    </xdr:to>
    <xdr:cxnSp macro="">
      <xdr:nvCxnSpPr>
        <xdr:cNvPr id="5" name="Straight Arrow Connector 20">
          <a:extLst>
            <a:ext uri="{FF2B5EF4-FFF2-40B4-BE49-F238E27FC236}">
              <a16:creationId xmlns:a16="http://schemas.microsoft.com/office/drawing/2014/main" id="{D88D6C64-86EC-4E43-8490-E50DE060035E}"/>
            </a:ext>
          </a:extLst>
        </xdr:cNvPr>
        <xdr:cNvCxnSpPr>
          <a:cxnSpLocks/>
          <a:stCxn id="9" idx="1"/>
        </xdr:cNvCxnSpPr>
      </xdr:nvCxnSpPr>
      <xdr:spPr>
        <a:xfrm flipH="1">
          <a:off x="15630525" y="465138"/>
          <a:ext cx="1076597" cy="96361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8</xdr:row>
      <xdr:rowOff>114300</xdr:rowOff>
    </xdr:from>
    <xdr:to>
      <xdr:col>18</xdr:col>
      <xdr:colOff>902607</xdr:colOff>
      <xdr:row>9</xdr:row>
      <xdr:rowOff>138622</xdr:rowOff>
    </xdr:to>
    <xdr:cxnSp macro="">
      <xdr:nvCxnSpPr>
        <xdr:cNvPr id="7" name="Straight Arrow Connector 5">
          <a:extLst>
            <a:ext uri="{FF2B5EF4-FFF2-40B4-BE49-F238E27FC236}">
              <a16:creationId xmlns:a16="http://schemas.microsoft.com/office/drawing/2014/main" id="{C28477EC-92B3-4BD9-B017-9C590909C9D6}"/>
            </a:ext>
          </a:extLst>
        </xdr:cNvPr>
        <xdr:cNvCxnSpPr>
          <a:stCxn id="14" idx="1"/>
        </xdr:cNvCxnSpPr>
      </xdr:nvCxnSpPr>
      <xdr:spPr>
        <a:xfrm flipH="1" flipV="1">
          <a:off x="18383250" y="2647950"/>
          <a:ext cx="883557" cy="2148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266700</xdr:colOff>
      <xdr:row>13</xdr:row>
      <xdr:rowOff>164829</xdr:rowOff>
    </xdr:from>
    <xdr:to>
      <xdr:col>16</xdr:col>
      <xdr:colOff>695326</xdr:colOff>
      <xdr:row>17</xdr:row>
      <xdr:rowOff>64861</xdr:rowOff>
    </xdr:to>
    <xdr:sp macro="" textlink="">
      <xdr:nvSpPr>
        <xdr:cNvPr id="4" name="TextBox 7">
          <a:extLst>
            <a:ext uri="{FF2B5EF4-FFF2-40B4-BE49-F238E27FC236}">
              <a16:creationId xmlns:a16="http://schemas.microsoft.com/office/drawing/2014/main" id="{230B8F64-95DD-490D-B77C-A11B83FA5A9A}"/>
            </a:ext>
          </a:extLst>
        </xdr:cNvPr>
        <xdr:cNvSpPr txBox="1"/>
      </xdr:nvSpPr>
      <xdr:spPr>
        <a:xfrm>
          <a:off x="16506825" y="3860529"/>
          <a:ext cx="2505076" cy="62393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step efficiency is calculated based on the main feedstock input and hydrogen output.</a:t>
          </a:r>
          <a:endParaRPr lang="en-GB" sz="1100"/>
        </a:p>
      </xdr:txBody>
    </xdr:sp>
    <xdr:clientData/>
  </xdr:twoCellAnchor>
  <xdr:twoCellAnchor>
    <xdr:from>
      <xdr:col>14</xdr:col>
      <xdr:colOff>463822</xdr:colOff>
      <xdr:row>0</xdr:row>
      <xdr:rowOff>149225</xdr:rowOff>
    </xdr:from>
    <xdr:to>
      <xdr:col>19</xdr:col>
      <xdr:colOff>161925</xdr:colOff>
      <xdr:row>2</xdr:row>
      <xdr:rowOff>120650</xdr:rowOff>
    </xdr:to>
    <xdr:sp macro="" textlink="">
      <xdr:nvSpPr>
        <xdr:cNvPr id="9" name="TextBox 8">
          <a:extLst>
            <a:ext uri="{FF2B5EF4-FFF2-40B4-BE49-F238E27FC236}">
              <a16:creationId xmlns:a16="http://schemas.microsoft.com/office/drawing/2014/main" id="{244D0F2D-4B12-4795-ACCF-777A0312D942}"/>
            </a:ext>
          </a:extLst>
        </xdr:cNvPr>
        <xdr:cNvSpPr txBox="1"/>
      </xdr:nvSpPr>
      <xdr:spPr>
        <a:xfrm>
          <a:off x="16703947" y="149225"/>
          <a:ext cx="5765528" cy="628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equivalent energy flow is calculated using the lower heating value (LHV), including the latent heat of vaporisation of moisture for the</a:t>
          </a:r>
          <a:r>
            <a:rPr lang="en-GB" sz="1100" baseline="0">
              <a:solidFill>
                <a:schemeClr val="dk1"/>
              </a:solidFill>
              <a:effectLst/>
              <a:latin typeface="+mn-lt"/>
              <a:ea typeface="+mn-ea"/>
              <a:cs typeface="+mn-cs"/>
            </a:rPr>
            <a:t> step </a:t>
          </a:r>
          <a:r>
            <a:rPr lang="en-GB" sz="1100">
              <a:solidFill>
                <a:schemeClr val="dk1"/>
              </a:solidFill>
              <a:effectLst/>
              <a:latin typeface="+mn-lt"/>
              <a:ea typeface="+mn-ea"/>
              <a:cs typeface="+mn-cs"/>
            </a:rPr>
            <a:t>efficiency calculations,</a:t>
          </a:r>
          <a:r>
            <a:rPr lang="en-GB" sz="1100" baseline="0">
              <a:solidFill>
                <a:schemeClr val="dk1"/>
              </a:solidFill>
              <a:effectLst/>
              <a:latin typeface="+mn-lt"/>
              <a:ea typeface="+mn-ea"/>
              <a:cs typeface="+mn-cs"/>
            </a:rPr>
            <a:t> but excluding it for the step energy allocation calculations</a:t>
          </a:r>
          <a:r>
            <a:rPr lang="en-GB" sz="1100">
              <a:solidFill>
                <a:schemeClr val="dk1"/>
              </a:solidFill>
              <a:effectLst/>
              <a:latin typeface="+mn-lt"/>
              <a:ea typeface="+mn-ea"/>
              <a:cs typeface="+mn-cs"/>
            </a:rPr>
            <a:t>.</a:t>
          </a:r>
          <a:endParaRPr lang="en-GB">
            <a:effectLst/>
          </a:endParaRPr>
        </a:p>
      </xdr:txBody>
    </xdr:sp>
    <xdr:clientData/>
  </xdr:twoCellAnchor>
  <xdr:twoCellAnchor>
    <xdr:from>
      <xdr:col>19</xdr:col>
      <xdr:colOff>913946</xdr:colOff>
      <xdr:row>16</xdr:row>
      <xdr:rowOff>144800</xdr:rowOff>
    </xdr:from>
    <xdr:to>
      <xdr:col>19</xdr:col>
      <xdr:colOff>1106033</xdr:colOff>
      <xdr:row>18</xdr:row>
      <xdr:rowOff>87539</xdr:rowOff>
    </xdr:to>
    <xdr:cxnSp macro="">
      <xdr:nvCxnSpPr>
        <xdr:cNvPr id="21" name="Straight Arrow Connector 5">
          <a:extLst>
            <a:ext uri="{FF2B5EF4-FFF2-40B4-BE49-F238E27FC236}">
              <a16:creationId xmlns:a16="http://schemas.microsoft.com/office/drawing/2014/main" id="{3D8DBD46-ACAE-4898-A423-789A01B407C1}"/>
            </a:ext>
          </a:extLst>
        </xdr:cNvPr>
        <xdr:cNvCxnSpPr>
          <a:cxnSpLocks/>
        </xdr:cNvCxnSpPr>
      </xdr:nvCxnSpPr>
      <xdr:spPr>
        <a:xfrm flipH="1">
          <a:off x="20744996" y="4202450"/>
          <a:ext cx="192087" cy="323739"/>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914400</xdr:colOff>
      <xdr:row>16</xdr:row>
      <xdr:rowOff>144800</xdr:rowOff>
    </xdr:from>
    <xdr:to>
      <xdr:col>19</xdr:col>
      <xdr:colOff>1109208</xdr:colOff>
      <xdr:row>18</xdr:row>
      <xdr:rowOff>76200</xdr:rowOff>
    </xdr:to>
    <xdr:cxnSp macro="">
      <xdr:nvCxnSpPr>
        <xdr:cNvPr id="20" name="Straight Arrow Connector 5">
          <a:extLst>
            <a:ext uri="{FF2B5EF4-FFF2-40B4-BE49-F238E27FC236}">
              <a16:creationId xmlns:a16="http://schemas.microsoft.com/office/drawing/2014/main" id="{DD26B39B-099E-4921-9912-D5ACFD3DA6DF}"/>
            </a:ext>
          </a:extLst>
        </xdr:cNvPr>
        <xdr:cNvCxnSpPr>
          <a:cxnSpLocks/>
        </xdr:cNvCxnSpPr>
      </xdr:nvCxnSpPr>
      <xdr:spPr>
        <a:xfrm flipH="1">
          <a:off x="19278600" y="4202450"/>
          <a:ext cx="1661658" cy="31240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256051</xdr:colOff>
      <xdr:row>16</xdr:row>
      <xdr:rowOff>133914</xdr:rowOff>
    </xdr:from>
    <xdr:to>
      <xdr:col>21</xdr:col>
      <xdr:colOff>498021</xdr:colOff>
      <xdr:row>17</xdr:row>
      <xdr:rowOff>139700</xdr:rowOff>
    </xdr:to>
    <xdr:cxnSp macro="">
      <xdr:nvCxnSpPr>
        <xdr:cNvPr id="26" name="Straight Arrow Connector 5">
          <a:extLst>
            <a:ext uri="{FF2B5EF4-FFF2-40B4-BE49-F238E27FC236}">
              <a16:creationId xmlns:a16="http://schemas.microsoft.com/office/drawing/2014/main" id="{40CDBF46-0641-48BB-AAE7-FD8653CBB6E4}"/>
            </a:ext>
          </a:extLst>
        </xdr:cNvPr>
        <xdr:cNvCxnSpPr>
          <a:cxnSpLocks/>
          <a:stCxn id="25" idx="2"/>
        </xdr:cNvCxnSpPr>
      </xdr:nvCxnSpPr>
      <xdr:spPr>
        <a:xfrm>
          <a:off x="22435694" y="4284093"/>
          <a:ext cx="1371363" cy="18267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905782</xdr:colOff>
      <xdr:row>8</xdr:row>
      <xdr:rowOff>2722</xdr:rowOff>
    </xdr:from>
    <xdr:to>
      <xdr:col>20</xdr:col>
      <xdr:colOff>578303</xdr:colOff>
      <xdr:row>11</xdr:row>
      <xdr:rowOff>87196</xdr:rowOff>
    </xdr:to>
    <xdr:sp macro="" textlink="">
      <xdr:nvSpPr>
        <xdr:cNvPr id="14" name="TextBox 13">
          <a:extLst>
            <a:ext uri="{FF2B5EF4-FFF2-40B4-BE49-F238E27FC236}">
              <a16:creationId xmlns:a16="http://schemas.microsoft.com/office/drawing/2014/main" id="{077697DC-FA96-4C2C-8DB9-D7FF579A1B81}"/>
            </a:ext>
          </a:extLst>
        </xdr:cNvPr>
        <xdr:cNvSpPr txBox="1"/>
      </xdr:nvSpPr>
      <xdr:spPr>
        <a:xfrm>
          <a:off x="19269982" y="2536372"/>
          <a:ext cx="2606221" cy="6559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a:t>
          </a:r>
          <a:r>
            <a:rPr lang="en-GB" sz="1100">
              <a:solidFill>
                <a:schemeClr val="dk1"/>
              </a:solidFill>
              <a:effectLst/>
              <a:latin typeface="+mn-lt"/>
              <a:ea typeface="+mn-ea"/>
              <a:cs typeface="+mn-cs"/>
            </a:rPr>
            <a:t>LHV energy content </a:t>
          </a:r>
          <a:r>
            <a:rPr lang="en-GB" sz="1100"/>
            <a:t>of all products and co-products.</a:t>
          </a:r>
        </a:p>
      </xdr:txBody>
    </xdr:sp>
    <xdr:clientData/>
  </xdr:twoCellAnchor>
  <xdr:twoCellAnchor>
    <xdr:from>
      <xdr:col>18</xdr:col>
      <xdr:colOff>1102180</xdr:colOff>
      <xdr:row>13</xdr:row>
      <xdr:rowOff>27215</xdr:rowOff>
    </xdr:from>
    <xdr:to>
      <xdr:col>21</xdr:col>
      <xdr:colOff>1195632</xdr:colOff>
      <xdr:row>16</xdr:row>
      <xdr:rowOff>133914</xdr:rowOff>
    </xdr:to>
    <xdr:sp macro="" textlink="">
      <xdr:nvSpPr>
        <xdr:cNvPr id="25" name="TextBox 27">
          <a:extLst>
            <a:ext uri="{FF2B5EF4-FFF2-40B4-BE49-F238E27FC236}">
              <a16:creationId xmlns:a16="http://schemas.microsoft.com/office/drawing/2014/main" id="{A083720C-4CD4-473F-9D2A-75E216BDC16D}"/>
            </a:ext>
          </a:extLst>
        </xdr:cNvPr>
        <xdr:cNvSpPr txBox="1"/>
      </xdr:nvSpPr>
      <xdr:spPr>
        <a:xfrm>
          <a:off x="20369894" y="3646715"/>
          <a:ext cx="4134774" cy="63737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GHG intensity of each input/output is used to calculate the total emissions from each category on a /MJ main output basis. Note</a:t>
          </a:r>
          <a:r>
            <a:rPr lang="en-GB" sz="1100" baseline="0">
              <a:solidFill>
                <a:schemeClr val="dk1"/>
              </a:solidFill>
              <a:effectLst/>
              <a:latin typeface="+mn-lt"/>
              <a:ea typeface="+mn-ea"/>
              <a:cs typeface="+mn-cs"/>
            </a:rPr>
            <a:t> the GHG intensity has units gCO</a:t>
          </a:r>
          <a:r>
            <a:rPr lang="en-GB" sz="1100" baseline="-25000">
              <a:solidFill>
                <a:schemeClr val="dk1"/>
              </a:solidFill>
              <a:effectLst/>
              <a:latin typeface="+mn-lt"/>
              <a:ea typeface="+mn-ea"/>
              <a:cs typeface="+mn-cs"/>
            </a:rPr>
            <a:t>2e</a:t>
          </a:r>
          <a:r>
            <a:rPr lang="en-GB" sz="1100" baseline="0">
              <a:solidFill>
                <a:schemeClr val="dk1"/>
              </a:solidFill>
              <a:effectLst/>
              <a:latin typeface="+mn-lt"/>
              <a:ea typeface="+mn-ea"/>
              <a:cs typeface="+mn-cs"/>
            </a:rPr>
            <a:t>/kg for flows with tonnes/yr units.</a:t>
          </a:r>
          <a:endParaRPr lang="en-GB">
            <a:effectLst/>
          </a:endParaRPr>
        </a:p>
      </xdr:txBody>
    </xdr:sp>
    <xdr:clientData/>
  </xdr:twoCellAnchor>
  <xdr:twoCellAnchor>
    <xdr:from>
      <xdr:col>5</xdr:col>
      <xdr:colOff>736598</xdr:colOff>
      <xdr:row>92</xdr:row>
      <xdr:rowOff>146048</xdr:rowOff>
    </xdr:from>
    <xdr:to>
      <xdr:col>8</xdr:col>
      <xdr:colOff>304800</xdr:colOff>
      <xdr:row>96</xdr:row>
      <xdr:rowOff>133349</xdr:rowOff>
    </xdr:to>
    <xdr:sp macro="" textlink="">
      <xdr:nvSpPr>
        <xdr:cNvPr id="3" name="TextBox 7">
          <a:extLst>
            <a:ext uri="{FF2B5EF4-FFF2-40B4-BE49-F238E27FC236}">
              <a16:creationId xmlns:a16="http://schemas.microsoft.com/office/drawing/2014/main" id="{DE24BE6D-F332-46F4-A0E1-BA8D271125FC}"/>
            </a:ext>
          </a:extLst>
        </xdr:cNvPr>
        <xdr:cNvSpPr txBox="1"/>
      </xdr:nvSpPr>
      <xdr:spPr>
        <a:xfrm>
          <a:off x="7337423" y="21948773"/>
          <a:ext cx="3349627" cy="7112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CO</a:t>
          </a:r>
          <a:r>
            <a:rPr lang="en-GB" sz="1100" baseline="-25000">
              <a:solidFill>
                <a:schemeClr val="dk1"/>
              </a:solidFill>
              <a:effectLst/>
              <a:latin typeface="+mn-lt"/>
              <a:ea typeface="+mn-ea"/>
              <a:cs typeface="+mn-cs"/>
            </a:rPr>
            <a:t>2</a:t>
          </a:r>
          <a:r>
            <a:rPr lang="en-GB" sz="1100" baseline="0">
              <a:solidFill>
                <a:schemeClr val="dk1"/>
              </a:solidFill>
              <a:effectLst/>
              <a:latin typeface="+mn-lt"/>
              <a:ea typeface="+mn-ea"/>
              <a:cs typeface="+mn-cs"/>
            </a:rPr>
            <a:t> capture rate and solid carbon conversion rate is linked to the response given in the Initial questions worksheet.</a:t>
          </a:r>
          <a:endParaRPr lang="en-GB">
            <a:effectLst/>
          </a:endParaRPr>
        </a:p>
      </xdr:txBody>
    </xdr:sp>
    <xdr:clientData/>
  </xdr:twoCellAnchor>
  <xdr:twoCellAnchor>
    <xdr:from>
      <xdr:col>5</xdr:col>
      <xdr:colOff>8891</xdr:colOff>
      <xdr:row>92</xdr:row>
      <xdr:rowOff>85090</xdr:rowOff>
    </xdr:from>
    <xdr:to>
      <xdr:col>5</xdr:col>
      <xdr:colOff>736598</xdr:colOff>
      <xdr:row>94</xdr:row>
      <xdr:rowOff>139699</xdr:rowOff>
    </xdr:to>
    <xdr:cxnSp macro="">
      <xdr:nvCxnSpPr>
        <xdr:cNvPr id="17" name="Straight Arrow Connector 5">
          <a:extLst>
            <a:ext uri="{FF2B5EF4-FFF2-40B4-BE49-F238E27FC236}">
              <a16:creationId xmlns:a16="http://schemas.microsoft.com/office/drawing/2014/main" id="{34FEACAC-2BD9-497B-9B07-AC04752E44E1}"/>
            </a:ext>
          </a:extLst>
        </xdr:cNvPr>
        <xdr:cNvCxnSpPr>
          <a:stCxn id="3" idx="1"/>
        </xdr:cNvCxnSpPr>
      </xdr:nvCxnSpPr>
      <xdr:spPr>
        <a:xfrm flipH="1" flipV="1">
          <a:off x="6609716" y="21887815"/>
          <a:ext cx="727707" cy="41655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xdr:row>
      <xdr:rowOff>0</xdr:rowOff>
    </xdr:from>
    <xdr:to>
      <xdr:col>2</xdr:col>
      <xdr:colOff>2371567</xdr:colOff>
      <xdr:row>4</xdr:row>
      <xdr:rowOff>828130</xdr:rowOff>
    </xdr:to>
    <xdr:sp macro="" textlink="">
      <xdr:nvSpPr>
        <xdr:cNvPr id="18" name="TextBox 17">
          <a:extLst>
            <a:ext uri="{FF2B5EF4-FFF2-40B4-BE49-F238E27FC236}">
              <a16:creationId xmlns:a16="http://schemas.microsoft.com/office/drawing/2014/main" id="{27866ABC-5191-4768-AC30-3784BEA113A4}"/>
            </a:ext>
          </a:extLst>
        </xdr:cNvPr>
        <xdr:cNvSpPr txBox="1"/>
      </xdr:nvSpPr>
      <xdr:spPr>
        <a:xfrm>
          <a:off x="286871" y="995082"/>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13</xdr:col>
      <xdr:colOff>945004</xdr:colOff>
      <xdr:row>8</xdr:row>
      <xdr:rowOff>101843</xdr:rowOff>
    </xdr:from>
    <xdr:to>
      <xdr:col>14</xdr:col>
      <xdr:colOff>219075</xdr:colOff>
      <xdr:row>8</xdr:row>
      <xdr:rowOff>104775</xdr:rowOff>
    </xdr:to>
    <xdr:cxnSp macro="">
      <xdr:nvCxnSpPr>
        <xdr:cNvPr id="28" name="Straight Arrow Connector 3">
          <a:extLst>
            <a:ext uri="{FF2B5EF4-FFF2-40B4-BE49-F238E27FC236}">
              <a16:creationId xmlns:a16="http://schemas.microsoft.com/office/drawing/2014/main" id="{780B7C80-EF92-41E2-9FDB-E51DEE210B02}"/>
            </a:ext>
          </a:extLst>
        </xdr:cNvPr>
        <xdr:cNvCxnSpPr/>
      </xdr:nvCxnSpPr>
      <xdr:spPr>
        <a:xfrm>
          <a:off x="16181829" y="2895843"/>
          <a:ext cx="274196"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990600</xdr:colOff>
      <xdr:row>8</xdr:row>
      <xdr:rowOff>105018</xdr:rowOff>
    </xdr:from>
    <xdr:to>
      <xdr:col>14</xdr:col>
      <xdr:colOff>215900</xdr:colOff>
      <xdr:row>8</xdr:row>
      <xdr:rowOff>114300</xdr:rowOff>
    </xdr:to>
    <xdr:cxnSp macro="">
      <xdr:nvCxnSpPr>
        <xdr:cNvPr id="29" name="Straight Arrow Connector 3">
          <a:extLst>
            <a:ext uri="{FF2B5EF4-FFF2-40B4-BE49-F238E27FC236}">
              <a16:creationId xmlns:a16="http://schemas.microsoft.com/office/drawing/2014/main" id="{65A33E3B-200A-4BF1-BB02-91BF039ABD4A}"/>
            </a:ext>
          </a:extLst>
        </xdr:cNvPr>
        <xdr:cNvCxnSpPr/>
      </xdr:nvCxnSpPr>
      <xdr:spPr>
        <a:xfrm flipV="1">
          <a:off x="16230600" y="2892668"/>
          <a:ext cx="228600" cy="1245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945004</xdr:colOff>
      <xdr:row>8</xdr:row>
      <xdr:rowOff>101843</xdr:rowOff>
    </xdr:from>
    <xdr:to>
      <xdr:col>14</xdr:col>
      <xdr:colOff>219075</xdr:colOff>
      <xdr:row>8</xdr:row>
      <xdr:rowOff>104775</xdr:rowOff>
    </xdr:to>
    <xdr:cxnSp macro="">
      <xdr:nvCxnSpPr>
        <xdr:cNvPr id="36" name="Straight Arrow Connector 3">
          <a:extLst>
            <a:ext uri="{FF2B5EF4-FFF2-40B4-BE49-F238E27FC236}">
              <a16:creationId xmlns:a16="http://schemas.microsoft.com/office/drawing/2014/main" id="{92B34E26-E8CE-4317-BDB2-8AC2E3764AA9}"/>
            </a:ext>
          </a:extLst>
        </xdr:cNvPr>
        <xdr:cNvCxnSpPr/>
      </xdr:nvCxnSpPr>
      <xdr:spPr>
        <a:xfrm>
          <a:off x="16181829" y="2895843"/>
          <a:ext cx="274196" cy="0"/>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12674</xdr:colOff>
      <xdr:row>7</xdr:row>
      <xdr:rowOff>123826</xdr:rowOff>
    </xdr:from>
    <xdr:to>
      <xdr:col>14</xdr:col>
      <xdr:colOff>228600</xdr:colOff>
      <xdr:row>8</xdr:row>
      <xdr:rowOff>9525</xdr:rowOff>
    </xdr:to>
    <xdr:cxnSp macro="">
      <xdr:nvCxnSpPr>
        <xdr:cNvPr id="37" name="Straight Arrow Connector 2">
          <a:extLst>
            <a:ext uri="{FF2B5EF4-FFF2-40B4-BE49-F238E27FC236}">
              <a16:creationId xmlns:a16="http://schemas.microsoft.com/office/drawing/2014/main" id="{4B40E582-D9D2-4836-8440-F87F078E6B72}"/>
            </a:ext>
          </a:extLst>
        </xdr:cNvPr>
        <xdr:cNvCxnSpPr/>
      </xdr:nvCxnSpPr>
      <xdr:spPr>
        <a:xfrm>
          <a:off x="16249624" y="2730501"/>
          <a:ext cx="219101" cy="6667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990600</xdr:colOff>
      <xdr:row>8</xdr:row>
      <xdr:rowOff>105018</xdr:rowOff>
    </xdr:from>
    <xdr:to>
      <xdr:col>14</xdr:col>
      <xdr:colOff>215900</xdr:colOff>
      <xdr:row>8</xdr:row>
      <xdr:rowOff>114300</xdr:rowOff>
    </xdr:to>
    <xdr:cxnSp macro="">
      <xdr:nvCxnSpPr>
        <xdr:cNvPr id="38" name="Straight Arrow Connector 3">
          <a:extLst>
            <a:ext uri="{FF2B5EF4-FFF2-40B4-BE49-F238E27FC236}">
              <a16:creationId xmlns:a16="http://schemas.microsoft.com/office/drawing/2014/main" id="{656E600E-4237-4A72-A1A4-D34860FE3794}"/>
            </a:ext>
          </a:extLst>
        </xdr:cNvPr>
        <xdr:cNvCxnSpPr/>
      </xdr:nvCxnSpPr>
      <xdr:spPr>
        <a:xfrm flipV="1">
          <a:off x="16230600" y="2892668"/>
          <a:ext cx="228600" cy="12457"/>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825500</xdr:colOff>
      <xdr:row>9</xdr:row>
      <xdr:rowOff>0</xdr:rowOff>
    </xdr:from>
    <xdr:to>
      <xdr:col>14</xdr:col>
      <xdr:colOff>1000125</xdr:colOff>
      <xdr:row>13</xdr:row>
      <xdr:rowOff>171450</xdr:rowOff>
    </xdr:to>
    <xdr:cxnSp macro="">
      <xdr:nvCxnSpPr>
        <xdr:cNvPr id="39" name="Straight Arrow Connector 20">
          <a:extLst>
            <a:ext uri="{FF2B5EF4-FFF2-40B4-BE49-F238E27FC236}">
              <a16:creationId xmlns:a16="http://schemas.microsoft.com/office/drawing/2014/main" id="{A728E721-F4D2-49BD-9415-F3923153DA14}"/>
            </a:ext>
          </a:extLst>
        </xdr:cNvPr>
        <xdr:cNvCxnSpPr>
          <a:cxnSpLocks/>
        </xdr:cNvCxnSpPr>
      </xdr:nvCxnSpPr>
      <xdr:spPr>
        <a:xfrm flipH="1" flipV="1">
          <a:off x="17065625" y="2971800"/>
          <a:ext cx="174625" cy="8953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501650</xdr:colOff>
      <xdr:row>2</xdr:row>
      <xdr:rowOff>125413</xdr:rowOff>
    </xdr:from>
    <xdr:to>
      <xdr:col>16</xdr:col>
      <xdr:colOff>501650</xdr:colOff>
      <xdr:row>4</xdr:row>
      <xdr:rowOff>369888</xdr:rowOff>
    </xdr:to>
    <xdr:cxnSp macro="">
      <xdr:nvCxnSpPr>
        <xdr:cNvPr id="49" name="Straight Arrow Connector 20">
          <a:extLst>
            <a:ext uri="{FF2B5EF4-FFF2-40B4-BE49-F238E27FC236}">
              <a16:creationId xmlns:a16="http://schemas.microsoft.com/office/drawing/2014/main" id="{0098ECBD-3FE0-4CAD-A822-7AA846B8889B}"/>
            </a:ext>
          </a:extLst>
        </xdr:cNvPr>
        <xdr:cNvCxnSpPr>
          <a:cxnSpLocks/>
        </xdr:cNvCxnSpPr>
      </xdr:nvCxnSpPr>
      <xdr:spPr>
        <a:xfrm>
          <a:off x="17970500" y="782638"/>
          <a:ext cx="0" cy="6254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46845</xdr:colOff>
      <xdr:row>12</xdr:row>
      <xdr:rowOff>62724</xdr:rowOff>
    </xdr:from>
    <xdr:to>
      <xdr:col>30</xdr:col>
      <xdr:colOff>297531</xdr:colOff>
      <xdr:row>32</xdr:row>
      <xdr:rowOff>84689</xdr:rowOff>
    </xdr:to>
    <xdr:pic>
      <xdr:nvPicPr>
        <xdr:cNvPr id="22" name="Picture 21">
          <a:extLst>
            <a:ext uri="{FF2B5EF4-FFF2-40B4-BE49-F238E27FC236}">
              <a16:creationId xmlns:a16="http://schemas.microsoft.com/office/drawing/2014/main" id="{5195A7DC-1A1E-7774-CAE4-988528055319}"/>
            </a:ext>
          </a:extLst>
        </xdr:cNvPr>
        <xdr:cNvPicPr>
          <a:picLocks noChangeAspect="1"/>
        </xdr:cNvPicPr>
      </xdr:nvPicPr>
      <xdr:blipFill>
        <a:blip xmlns:r="http://schemas.openxmlformats.org/officeDocument/2006/relationships" r:embed="rId1"/>
        <a:stretch>
          <a:fillRect/>
        </a:stretch>
      </xdr:blipFill>
      <xdr:spPr>
        <a:xfrm>
          <a:off x="655820" y="2326863"/>
          <a:ext cx="17985872" cy="3766331"/>
        </a:xfrm>
        <a:prstGeom prst="rect">
          <a:avLst/>
        </a:prstGeom>
      </xdr:spPr>
    </xdr:pic>
    <xdr:clientData/>
  </xdr:twoCellAnchor>
  <xdr:twoCellAnchor>
    <xdr:from>
      <xdr:col>1</xdr:col>
      <xdr:colOff>146047</xdr:colOff>
      <xdr:row>119</xdr:row>
      <xdr:rowOff>30442</xdr:rowOff>
    </xdr:from>
    <xdr:to>
      <xdr:col>9</xdr:col>
      <xdr:colOff>60139</xdr:colOff>
      <xdr:row>121</xdr:row>
      <xdr:rowOff>168088</xdr:rowOff>
    </xdr:to>
    <xdr:grpSp>
      <xdr:nvGrpSpPr>
        <xdr:cNvPr id="85" name="Group 84">
          <a:extLst>
            <a:ext uri="{FF2B5EF4-FFF2-40B4-BE49-F238E27FC236}">
              <a16:creationId xmlns:a16="http://schemas.microsoft.com/office/drawing/2014/main" id="{80D749D7-28BC-403D-9B65-3C6189A0818C}"/>
            </a:ext>
          </a:extLst>
        </xdr:cNvPr>
        <xdr:cNvGrpSpPr/>
      </xdr:nvGrpSpPr>
      <xdr:grpSpPr>
        <a:xfrm>
          <a:off x="755647" y="21995092"/>
          <a:ext cx="4838517" cy="499596"/>
          <a:chOff x="6911135" y="819048"/>
          <a:chExt cx="4802736" cy="488537"/>
        </a:xfrm>
      </xdr:grpSpPr>
      <xdr:sp macro="" textlink="">
        <xdr:nvSpPr>
          <xdr:cNvPr id="86" name="Rectangle 85">
            <a:extLst>
              <a:ext uri="{FF2B5EF4-FFF2-40B4-BE49-F238E27FC236}">
                <a16:creationId xmlns:a16="http://schemas.microsoft.com/office/drawing/2014/main" id="{738766CB-BDA8-4EB3-8431-5664C5A59499}"/>
              </a:ext>
            </a:extLst>
          </xdr:cNvPr>
          <xdr:cNvSpPr/>
        </xdr:nvSpPr>
        <xdr:spPr>
          <a:xfrm>
            <a:off x="10259095" y="828243"/>
            <a:ext cx="1454776"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backward efficiency</a:t>
            </a:r>
          </a:p>
        </xdr:txBody>
      </xdr:sp>
      <xdr:sp macro="" textlink="">
        <xdr:nvSpPr>
          <xdr:cNvPr id="87" name="Rectangle 86">
            <a:extLst>
              <a:ext uri="{FF2B5EF4-FFF2-40B4-BE49-F238E27FC236}">
                <a16:creationId xmlns:a16="http://schemas.microsoft.com/office/drawing/2014/main" id="{A4D2DD89-40E5-4A6F-8C1A-A7F12E48B3F0}"/>
              </a:ext>
            </a:extLst>
          </xdr:cNvPr>
          <xdr:cNvSpPr/>
        </xdr:nvSpPr>
        <xdr:spPr>
          <a:xfrm>
            <a:off x="6911135" y="819048"/>
            <a:ext cx="1422192" cy="48853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88" name="Rectangle 87">
            <a:extLst>
              <a:ext uri="{FF2B5EF4-FFF2-40B4-BE49-F238E27FC236}">
                <a16:creationId xmlns:a16="http://schemas.microsoft.com/office/drawing/2014/main" id="{38EB6940-FE8C-4DA9-87BB-29B198E26A11}"/>
              </a:ext>
            </a:extLst>
          </xdr:cNvPr>
          <xdr:cNvSpPr/>
        </xdr:nvSpPr>
        <xdr:spPr>
          <a:xfrm>
            <a:off x="8595377" y="822322"/>
            <a:ext cx="1389532"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module main output</a:t>
            </a:r>
            <a:endParaRPr lang="en-GB" sz="1200">
              <a:solidFill>
                <a:sysClr val="windowText" lastClr="000000"/>
              </a:solidFill>
              <a:effectLst/>
            </a:endParaRPr>
          </a:p>
        </xdr:txBody>
      </xdr:sp>
      <xdr:sp macro="" textlink="">
        <xdr:nvSpPr>
          <xdr:cNvPr id="89" name="Rectangle 88">
            <a:extLst>
              <a:ext uri="{FF2B5EF4-FFF2-40B4-BE49-F238E27FC236}">
                <a16:creationId xmlns:a16="http://schemas.microsoft.com/office/drawing/2014/main" id="{C368C511-2A64-4AA5-AC05-05B30B9F3B84}"/>
              </a:ext>
            </a:extLst>
          </xdr:cNvPr>
          <xdr:cNvSpPr/>
        </xdr:nvSpPr>
        <xdr:spPr>
          <a:xfrm>
            <a:off x="9945261"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90" name="Rectangle 89">
            <a:extLst>
              <a:ext uri="{FF2B5EF4-FFF2-40B4-BE49-F238E27FC236}">
                <a16:creationId xmlns:a16="http://schemas.microsoft.com/office/drawing/2014/main" id="{6A4F1022-31A3-4976-8A10-B1F77AEAA7E9}"/>
              </a:ext>
            </a:extLst>
          </xdr:cNvPr>
          <xdr:cNvSpPr/>
        </xdr:nvSpPr>
        <xdr:spPr>
          <a:xfrm>
            <a:off x="8360520"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3</xdr:col>
      <xdr:colOff>76199</xdr:colOff>
      <xdr:row>124</xdr:row>
      <xdr:rowOff>104775</xdr:rowOff>
    </xdr:from>
    <xdr:to>
      <xdr:col>7</xdr:col>
      <xdr:colOff>161924</xdr:colOff>
      <xdr:row>128</xdr:row>
      <xdr:rowOff>15875</xdr:rowOff>
    </xdr:to>
    <xdr:sp macro="" textlink="">
      <xdr:nvSpPr>
        <xdr:cNvPr id="93" name="TextBox 92">
          <a:extLst>
            <a:ext uri="{FF2B5EF4-FFF2-40B4-BE49-F238E27FC236}">
              <a16:creationId xmlns:a16="http://schemas.microsoft.com/office/drawing/2014/main" id="{CBB3328D-4BA4-4076-A9F8-27F68F203880}"/>
            </a:ext>
          </a:extLst>
        </xdr:cNvPr>
        <xdr:cNvSpPr txBox="1"/>
      </xdr:nvSpPr>
      <xdr:spPr>
        <a:xfrm>
          <a:off x="1904999" y="22821900"/>
          <a:ext cx="2524125" cy="635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Values</a:t>
          </a:r>
          <a:r>
            <a:rPr lang="en-GB" sz="1100" baseline="0"/>
            <a:t> are linked to the GHG emissions result calculated in the individual supply chain module worksheets</a:t>
          </a:r>
          <a:endParaRPr lang="en-GB" sz="1100"/>
        </a:p>
      </xdr:txBody>
    </xdr:sp>
    <xdr:clientData/>
  </xdr:twoCellAnchor>
  <xdr:twoCellAnchor>
    <xdr:from>
      <xdr:col>5</xdr:col>
      <xdr:colOff>85706</xdr:colOff>
      <xdr:row>121</xdr:row>
      <xdr:rowOff>146035</xdr:rowOff>
    </xdr:from>
    <xdr:to>
      <xdr:col>5</xdr:col>
      <xdr:colOff>120650</xdr:colOff>
      <xdr:row>124</xdr:row>
      <xdr:rowOff>101600</xdr:rowOff>
    </xdr:to>
    <xdr:cxnSp macro="">
      <xdr:nvCxnSpPr>
        <xdr:cNvPr id="94" name="Straight Arrow Connector 93">
          <a:extLst>
            <a:ext uri="{FF2B5EF4-FFF2-40B4-BE49-F238E27FC236}">
              <a16:creationId xmlns:a16="http://schemas.microsoft.com/office/drawing/2014/main" id="{CB8A143A-BBE6-4245-91A5-5CEB64CCC1CF}"/>
            </a:ext>
          </a:extLst>
        </xdr:cNvPr>
        <xdr:cNvCxnSpPr>
          <a:cxnSpLocks/>
          <a:stCxn id="93" idx="0"/>
          <a:endCxn id="88" idx="2"/>
        </xdr:cNvCxnSpPr>
      </xdr:nvCxnSpPr>
      <xdr:spPr>
        <a:xfrm flipH="1" flipV="1">
          <a:off x="3111294" y="22143182"/>
          <a:ext cx="34944" cy="4934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581020</xdr:colOff>
      <xdr:row>149</xdr:row>
      <xdr:rowOff>160058</xdr:rowOff>
    </xdr:from>
    <xdr:to>
      <xdr:col>8</xdr:col>
      <xdr:colOff>582701</xdr:colOff>
      <xdr:row>152</xdr:row>
      <xdr:rowOff>91670</xdr:rowOff>
    </xdr:to>
    <xdr:grpSp>
      <xdr:nvGrpSpPr>
        <xdr:cNvPr id="99" name="Group 98">
          <a:extLst>
            <a:ext uri="{FF2B5EF4-FFF2-40B4-BE49-F238E27FC236}">
              <a16:creationId xmlns:a16="http://schemas.microsoft.com/office/drawing/2014/main" id="{2BE2ADC2-5D68-4BB1-AB52-1903869FBAB4}"/>
            </a:ext>
          </a:extLst>
        </xdr:cNvPr>
        <xdr:cNvGrpSpPr/>
      </xdr:nvGrpSpPr>
      <xdr:grpSpPr>
        <a:xfrm>
          <a:off x="581020" y="27592058"/>
          <a:ext cx="4926106" cy="474537"/>
          <a:chOff x="7041102" y="817224"/>
          <a:chExt cx="4890406" cy="476511"/>
        </a:xfrm>
      </xdr:grpSpPr>
      <xdr:sp macro="" textlink="">
        <xdr:nvSpPr>
          <xdr:cNvPr id="100" name="Rectangle 99">
            <a:extLst>
              <a:ext uri="{FF2B5EF4-FFF2-40B4-BE49-F238E27FC236}">
                <a16:creationId xmlns:a16="http://schemas.microsoft.com/office/drawing/2014/main" id="{84036F82-D86A-4CB8-A588-F2DCE4C13C07}"/>
              </a:ext>
            </a:extLst>
          </xdr:cNvPr>
          <xdr:cNvSpPr/>
        </xdr:nvSpPr>
        <xdr:spPr>
          <a:xfrm>
            <a:off x="10571911" y="839425"/>
            <a:ext cx="1359597" cy="45431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101" name="Rectangle 100">
            <a:extLst>
              <a:ext uri="{FF2B5EF4-FFF2-40B4-BE49-F238E27FC236}">
                <a16:creationId xmlns:a16="http://schemas.microsoft.com/office/drawing/2014/main" id="{F1D6A5A1-B361-4EC3-8801-F28E4351A74C}"/>
              </a:ext>
            </a:extLst>
          </xdr:cNvPr>
          <xdr:cNvSpPr/>
        </xdr:nvSpPr>
        <xdr:spPr>
          <a:xfrm>
            <a:off x="7041102" y="817224"/>
            <a:ext cx="1354331" cy="463084"/>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a:t>
            </a:r>
            <a:r>
              <a:rPr lang="en-GB" sz="1200" kern="1200">
                <a:solidFill>
                  <a:sysClr val="windowText" lastClr="000000"/>
                </a:solidFill>
                <a:latin typeface="+mn-lt"/>
                <a:ea typeface="+mn-ea"/>
                <a:cs typeface="+mn-cs"/>
              </a:rPr>
              <a:t>MJ</a:t>
            </a:r>
            <a:r>
              <a:rPr lang="en-GB" sz="1200" kern="1200">
                <a:solidFill>
                  <a:sysClr val="windowText" lastClr="000000"/>
                </a:solidFill>
                <a:effectLst/>
                <a:latin typeface="+mn-lt"/>
                <a:ea typeface="+mn-ea"/>
                <a:cs typeface="+mn-cs"/>
              </a:rPr>
              <a:t>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 allocation)</a:t>
            </a:r>
            <a:endParaRPr lang="en-GB" sz="1200" baseline="0">
              <a:solidFill>
                <a:sysClr val="windowText" lastClr="000000"/>
              </a:solidFill>
              <a:effectLst/>
            </a:endParaRPr>
          </a:p>
        </xdr:txBody>
      </xdr:sp>
      <xdr:sp macro="" textlink="">
        <xdr:nvSpPr>
          <xdr:cNvPr id="102" name="Rectangle 101">
            <a:extLst>
              <a:ext uri="{FF2B5EF4-FFF2-40B4-BE49-F238E27FC236}">
                <a16:creationId xmlns:a16="http://schemas.microsoft.com/office/drawing/2014/main" id="{9F5737AD-A21C-4BE7-B7F3-5C13130F1AA3}"/>
              </a:ext>
            </a:extLst>
          </xdr:cNvPr>
          <xdr:cNvSpPr/>
        </xdr:nvSpPr>
        <xdr:spPr>
          <a:xfrm>
            <a:off x="8777178" y="822322"/>
            <a:ext cx="1492926" cy="46355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r>
              <a:rPr lang="en-GB" sz="1200" kern="1200">
                <a:solidFill>
                  <a:sysClr val="windowText" lastClr="000000"/>
                </a:solidFill>
                <a:effectLst/>
                <a:latin typeface="+mn-lt"/>
                <a:ea typeface="+mn-ea"/>
                <a:cs typeface="+mn-cs"/>
              </a:rPr>
              <a:t>gCO</a:t>
            </a:r>
            <a:r>
              <a:rPr lang="en-GB" sz="1200" kern="1200" baseline="-25000">
                <a:solidFill>
                  <a:sysClr val="windowText" lastClr="000000"/>
                </a:solidFill>
                <a:effectLst/>
                <a:latin typeface="+mn-lt"/>
                <a:ea typeface="+mn-ea"/>
                <a:cs typeface="+mn-cs"/>
              </a:rPr>
              <a:t>2</a:t>
            </a:r>
            <a:r>
              <a:rPr lang="en-GB" sz="1200" kern="1200">
                <a:solidFill>
                  <a:sysClr val="windowText" lastClr="000000"/>
                </a:solidFill>
                <a:effectLst/>
                <a:latin typeface="+mn-lt"/>
                <a:ea typeface="+mn-ea"/>
                <a:cs typeface="+mn-cs"/>
              </a:rPr>
              <a:t>e/MJ final H</a:t>
            </a:r>
            <a:r>
              <a:rPr lang="en-GB" sz="1200" kern="1200" baseline="-25000">
                <a:solidFill>
                  <a:sysClr val="windowText" lastClr="000000"/>
                </a:solidFill>
                <a:effectLst/>
                <a:latin typeface="+mn-lt"/>
                <a:ea typeface="+mn-ea"/>
                <a:cs typeface="+mn-cs"/>
              </a:rPr>
              <a:t>2 </a:t>
            </a:r>
            <a:r>
              <a:rPr lang="en-GB" sz="1200" kern="1200" baseline="0">
                <a:solidFill>
                  <a:sysClr val="windowText" lastClr="000000"/>
                </a:solidFill>
                <a:effectLst/>
                <a:latin typeface="+mn-lt"/>
                <a:ea typeface="+mn-ea"/>
                <a:cs typeface="+mn-cs"/>
              </a:rPr>
              <a:t>(without allocation)</a:t>
            </a:r>
            <a:endParaRPr lang="en-GB" sz="1200">
              <a:solidFill>
                <a:sysClr val="windowText" lastClr="000000"/>
              </a:solidFill>
              <a:effectLst/>
            </a:endParaRPr>
          </a:p>
        </xdr:txBody>
      </xdr:sp>
      <xdr:sp macro="" textlink="">
        <xdr:nvSpPr>
          <xdr:cNvPr id="103" name="Rectangle 102">
            <a:extLst>
              <a:ext uri="{FF2B5EF4-FFF2-40B4-BE49-F238E27FC236}">
                <a16:creationId xmlns:a16="http://schemas.microsoft.com/office/drawing/2014/main" id="{0A9126BC-195A-4A57-8DA1-9C76628B40B0}"/>
              </a:ext>
            </a:extLst>
          </xdr:cNvPr>
          <xdr:cNvSpPr/>
        </xdr:nvSpPr>
        <xdr:spPr>
          <a:xfrm>
            <a:off x="10252672" y="898610"/>
            <a:ext cx="328917" cy="2063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104" name="Rectangle 103">
            <a:extLst>
              <a:ext uri="{FF2B5EF4-FFF2-40B4-BE49-F238E27FC236}">
                <a16:creationId xmlns:a16="http://schemas.microsoft.com/office/drawing/2014/main" id="{ED39139F-8E02-42C7-863A-63621D81F120}"/>
              </a:ext>
            </a:extLst>
          </xdr:cNvPr>
          <xdr:cNvSpPr/>
        </xdr:nvSpPr>
        <xdr:spPr>
          <a:xfrm>
            <a:off x="8485466" y="949325"/>
            <a:ext cx="2476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clientData/>
  </xdr:twoCellAnchor>
  <xdr:twoCellAnchor>
    <xdr:from>
      <xdr:col>4</xdr:col>
      <xdr:colOff>162482</xdr:colOff>
      <xdr:row>90</xdr:row>
      <xdr:rowOff>1</xdr:rowOff>
    </xdr:from>
    <xdr:to>
      <xdr:col>6</xdr:col>
      <xdr:colOff>238682</xdr:colOff>
      <xdr:row>90</xdr:row>
      <xdr:rowOff>1</xdr:rowOff>
    </xdr:to>
    <xdr:cxnSp macro="">
      <xdr:nvCxnSpPr>
        <xdr:cNvPr id="106" name="Straight Arrow Connector 105">
          <a:extLst>
            <a:ext uri="{FF2B5EF4-FFF2-40B4-BE49-F238E27FC236}">
              <a16:creationId xmlns:a16="http://schemas.microsoft.com/office/drawing/2014/main" id="{7585C64B-4DE3-492A-9B6D-3894873D9E38}"/>
            </a:ext>
          </a:extLst>
        </xdr:cNvPr>
        <xdr:cNvCxnSpPr>
          <a:cxnSpLocks/>
        </xdr:cNvCxnSpPr>
      </xdr:nvCxnSpPr>
      <xdr:spPr>
        <a:xfrm>
          <a:off x="2582953" y="16383001"/>
          <a:ext cx="1286435"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353217</xdr:colOff>
      <xdr:row>89</xdr:row>
      <xdr:rowOff>6352</xdr:rowOff>
    </xdr:from>
    <xdr:to>
      <xdr:col>10</xdr:col>
      <xdr:colOff>64292</xdr:colOff>
      <xdr:row>90</xdr:row>
      <xdr:rowOff>111126</xdr:rowOff>
    </xdr:to>
    <xdr:sp macro="" textlink="">
      <xdr:nvSpPr>
        <xdr:cNvPr id="6435" name="TextBox 111">
          <a:extLst>
            <a:ext uri="{FF2B5EF4-FFF2-40B4-BE49-F238E27FC236}">
              <a16:creationId xmlns:a16="http://schemas.microsoft.com/office/drawing/2014/main" id="{198E1C61-F874-49C3-BABB-8FEB20AA1141}"/>
            </a:ext>
          </a:extLst>
        </xdr:cNvPr>
        <xdr:cNvSpPr txBox="1"/>
      </xdr:nvSpPr>
      <xdr:spPr>
        <a:xfrm>
          <a:off x="5839617" y="15798802"/>
          <a:ext cx="320675" cy="285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or</a:t>
          </a:r>
        </a:p>
      </xdr:txBody>
    </xdr:sp>
    <xdr:clientData/>
  </xdr:twoCellAnchor>
  <xdr:twoCellAnchor>
    <xdr:from>
      <xdr:col>13</xdr:col>
      <xdr:colOff>134142</xdr:colOff>
      <xdr:row>90</xdr:row>
      <xdr:rowOff>1</xdr:rowOff>
    </xdr:from>
    <xdr:to>
      <xdr:col>15</xdr:col>
      <xdr:colOff>65085</xdr:colOff>
      <xdr:row>90</xdr:row>
      <xdr:rowOff>2</xdr:rowOff>
    </xdr:to>
    <xdr:cxnSp macro="">
      <xdr:nvCxnSpPr>
        <xdr:cNvPr id="6450" name="Straight Arrow Connector 112">
          <a:extLst>
            <a:ext uri="{FF2B5EF4-FFF2-40B4-BE49-F238E27FC236}">
              <a16:creationId xmlns:a16="http://schemas.microsoft.com/office/drawing/2014/main" id="{9A828ADB-E9C6-4244-8609-A21B627661EF}"/>
            </a:ext>
          </a:extLst>
        </xdr:cNvPr>
        <xdr:cNvCxnSpPr>
          <a:cxnSpLocks/>
        </xdr:cNvCxnSpPr>
      </xdr:nvCxnSpPr>
      <xdr:spPr>
        <a:xfrm flipV="1">
          <a:off x="8058942" y="15973426"/>
          <a:ext cx="1150143" cy="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104774</xdr:colOff>
      <xdr:row>36</xdr:row>
      <xdr:rowOff>88898</xdr:rowOff>
    </xdr:from>
    <xdr:to>
      <xdr:col>34</xdr:col>
      <xdr:colOff>257735</xdr:colOff>
      <xdr:row>58</xdr:row>
      <xdr:rowOff>121511</xdr:rowOff>
    </xdr:to>
    <xdr:grpSp>
      <xdr:nvGrpSpPr>
        <xdr:cNvPr id="118" name="Group 50">
          <a:extLst>
            <a:ext uri="{FF2B5EF4-FFF2-40B4-BE49-F238E27FC236}">
              <a16:creationId xmlns:a16="http://schemas.microsoft.com/office/drawing/2014/main" id="{FCC05BFA-7789-4FB7-BC60-873CC2EF20E0}"/>
            </a:ext>
          </a:extLst>
        </xdr:cNvPr>
        <xdr:cNvGrpSpPr/>
      </xdr:nvGrpSpPr>
      <xdr:grpSpPr>
        <a:xfrm>
          <a:off x="714374" y="6661148"/>
          <a:ext cx="20317386" cy="4014063"/>
          <a:chOff x="720724" y="6305526"/>
          <a:chExt cx="20258632" cy="4017258"/>
        </a:xfrm>
      </xdr:grpSpPr>
      <xdr:grpSp>
        <xdr:nvGrpSpPr>
          <xdr:cNvPr id="119" name="Group 1">
            <a:extLst>
              <a:ext uri="{FF2B5EF4-FFF2-40B4-BE49-F238E27FC236}">
                <a16:creationId xmlns:a16="http://schemas.microsoft.com/office/drawing/2014/main" id="{2AAF2D1C-9D81-4258-946C-E1904890CEB4}"/>
              </a:ext>
            </a:extLst>
          </xdr:cNvPr>
          <xdr:cNvGrpSpPr/>
        </xdr:nvGrpSpPr>
        <xdr:grpSpPr>
          <a:xfrm>
            <a:off x="720724" y="6305526"/>
            <a:ext cx="20258632" cy="4017258"/>
            <a:chOff x="2092203" y="524235"/>
            <a:chExt cx="20043611" cy="4218276"/>
          </a:xfrm>
        </xdr:grpSpPr>
        <xdr:sp macro="" textlink="">
          <xdr:nvSpPr>
            <xdr:cNvPr id="120" name="Rectangle 2">
              <a:extLst>
                <a:ext uri="{FF2B5EF4-FFF2-40B4-BE49-F238E27FC236}">
                  <a16:creationId xmlns:a16="http://schemas.microsoft.com/office/drawing/2014/main" id="{8105E3BD-1523-47D1-A412-56A268B147AD}"/>
                </a:ext>
              </a:extLst>
            </xdr:cNvPr>
            <xdr:cNvSpPr/>
          </xdr:nvSpPr>
          <xdr:spPr>
            <a:xfrm>
              <a:off x="7170757" y="524235"/>
              <a:ext cx="7591507" cy="555222"/>
            </a:xfrm>
            <a:prstGeom prst="rect">
              <a:avLst/>
            </a:prstGeom>
            <a:solidFill>
              <a:schemeClr val="accent1">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400">
                  <a:solidFill>
                    <a:schemeClr val="tx1"/>
                  </a:solidFill>
                </a:rPr>
                <a:t>gCO</a:t>
              </a:r>
              <a:r>
                <a:rPr lang="en-GB" sz="1400" baseline="-25000">
                  <a:solidFill>
                    <a:schemeClr val="tx1"/>
                  </a:solidFill>
                </a:rPr>
                <a:t>2</a:t>
              </a:r>
              <a:r>
                <a:rPr lang="en-GB" sz="1400">
                  <a:solidFill>
                    <a:schemeClr val="tx1"/>
                  </a:solidFill>
                </a:rPr>
                <a:t>e/MJ final hydrogen</a:t>
              </a:r>
            </a:p>
          </xdr:txBody>
        </xdr:sp>
        <xdr:sp macro="" textlink="">
          <xdr:nvSpPr>
            <xdr:cNvPr id="121" name="Rectangle 3">
              <a:extLst>
                <a:ext uri="{FF2B5EF4-FFF2-40B4-BE49-F238E27FC236}">
                  <a16:creationId xmlns:a16="http://schemas.microsoft.com/office/drawing/2014/main" id="{D275D588-ADF4-42B1-BF7D-5E6FE4AB301E}"/>
                </a:ext>
              </a:extLst>
            </xdr:cNvPr>
            <xdr:cNvSpPr/>
          </xdr:nvSpPr>
          <xdr:spPr>
            <a:xfrm>
              <a:off x="4438418" y="1759786"/>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sp macro="" textlink="">
          <xdr:nvSpPr>
            <xdr:cNvPr id="122" name="Right Brace 4">
              <a:extLst>
                <a:ext uri="{FF2B5EF4-FFF2-40B4-BE49-F238E27FC236}">
                  <a16:creationId xmlns:a16="http://schemas.microsoft.com/office/drawing/2014/main" id="{DC0BFE3A-45C8-48BA-864E-D04E5DEC131A}"/>
                </a:ext>
              </a:extLst>
            </xdr:cNvPr>
            <xdr:cNvSpPr/>
          </xdr:nvSpPr>
          <xdr:spPr>
            <a:xfrm rot="16200000" flipV="1">
              <a:off x="11963145" y="-8707582"/>
              <a:ext cx="301728" cy="20043611"/>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3" name="Group 5">
              <a:extLst>
                <a:ext uri="{FF2B5EF4-FFF2-40B4-BE49-F238E27FC236}">
                  <a16:creationId xmlns:a16="http://schemas.microsoft.com/office/drawing/2014/main" id="{76ADDA6C-C01A-4E61-98D5-737C0755BA26}"/>
                </a:ext>
              </a:extLst>
            </xdr:cNvPr>
            <xdr:cNvGrpSpPr/>
          </xdr:nvGrpSpPr>
          <xdr:grpSpPr>
            <a:xfrm>
              <a:off x="2092205" y="1550418"/>
              <a:ext cx="2353004" cy="3192093"/>
              <a:chOff x="2092205" y="1550418"/>
              <a:chExt cx="2353004" cy="3192093"/>
            </a:xfrm>
          </xdr:grpSpPr>
          <xdr:sp macro="" textlink="">
            <xdr:nvSpPr>
              <xdr:cNvPr id="124" name="Rectangle 37">
                <a:extLst>
                  <a:ext uri="{FF2B5EF4-FFF2-40B4-BE49-F238E27FC236}">
                    <a16:creationId xmlns:a16="http://schemas.microsoft.com/office/drawing/2014/main" id="{402072AC-BE84-4811-BB76-C836DB854B0C}"/>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Feedstock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125" name="Group 38">
                <a:extLst>
                  <a:ext uri="{FF2B5EF4-FFF2-40B4-BE49-F238E27FC236}">
                    <a16:creationId xmlns:a16="http://schemas.microsoft.com/office/drawing/2014/main" id="{9B33D427-9F22-4A4E-872E-0B6031206665}"/>
                  </a:ext>
                </a:extLst>
              </xdr:cNvPr>
              <xdr:cNvGrpSpPr/>
            </xdr:nvGrpSpPr>
            <xdr:grpSpPr>
              <a:xfrm>
                <a:off x="2092205" y="2303053"/>
                <a:ext cx="2353004" cy="2439458"/>
                <a:chOff x="2085414" y="2571500"/>
                <a:chExt cx="2353004" cy="2439458"/>
              </a:xfrm>
            </xdr:grpSpPr>
            <xdr:sp macro="" textlink="">
              <xdr:nvSpPr>
                <xdr:cNvPr id="126" name="Right Brace 39">
                  <a:extLst>
                    <a:ext uri="{FF2B5EF4-FFF2-40B4-BE49-F238E27FC236}">
                      <a16:creationId xmlns:a16="http://schemas.microsoft.com/office/drawing/2014/main" id="{B1E16B9C-D1C3-4FAD-B1BA-E991025F80ED}"/>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127" name="Group 40">
                  <a:extLst>
                    <a:ext uri="{FF2B5EF4-FFF2-40B4-BE49-F238E27FC236}">
                      <a16:creationId xmlns:a16="http://schemas.microsoft.com/office/drawing/2014/main" id="{985744D8-0735-42A1-9A1C-DFE2B46AEE84}"/>
                    </a:ext>
                  </a:extLst>
                </xdr:cNvPr>
                <xdr:cNvGrpSpPr/>
              </xdr:nvGrpSpPr>
              <xdr:grpSpPr>
                <a:xfrm>
                  <a:off x="2206896" y="2965085"/>
                  <a:ext cx="2129001" cy="1288801"/>
                  <a:chOff x="2245767" y="1205236"/>
                  <a:chExt cx="2129001" cy="1288800"/>
                </a:xfrm>
              </xdr:grpSpPr>
              <xdr:sp macro="" textlink="">
                <xdr:nvSpPr>
                  <xdr:cNvPr id="6336" name="Rectangle 43">
                    <a:extLst>
                      <a:ext uri="{FF2B5EF4-FFF2-40B4-BE49-F238E27FC236}">
                        <a16:creationId xmlns:a16="http://schemas.microsoft.com/office/drawing/2014/main" id="{3E3FC2B1-D72A-4B2E-9B55-EDDA32F7B337}"/>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37" name="Rectangle 44">
                    <a:extLst>
                      <a:ext uri="{FF2B5EF4-FFF2-40B4-BE49-F238E27FC236}">
                        <a16:creationId xmlns:a16="http://schemas.microsoft.com/office/drawing/2014/main" id="{577BF0AF-A1F6-4FBF-8FF0-7767BF1E59EC}"/>
                      </a:ext>
                    </a:extLst>
                  </xdr:cNvPr>
                  <xdr:cNvSpPr/>
                </xdr:nvSpPr>
                <xdr:spPr>
                  <a:xfrm rot="16200000">
                    <a:off x="2209453" y="1693444"/>
                    <a:ext cx="1288647" cy="312383"/>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38" name="Rectangle 45">
                    <a:extLst>
                      <a:ext uri="{FF2B5EF4-FFF2-40B4-BE49-F238E27FC236}">
                        <a16:creationId xmlns:a16="http://schemas.microsoft.com/office/drawing/2014/main" id="{7651AE74-9D9D-48DF-B399-1B12676576A9}"/>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39" name="Rectangle 46">
                    <a:extLst>
                      <a:ext uri="{FF2B5EF4-FFF2-40B4-BE49-F238E27FC236}">
                        <a16:creationId xmlns:a16="http://schemas.microsoft.com/office/drawing/2014/main" id="{DBF87964-0A5A-49AD-913E-8BE5267AF01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0" name="Rectangle 47">
                    <a:extLst>
                      <a:ext uri="{FF2B5EF4-FFF2-40B4-BE49-F238E27FC236}">
                        <a16:creationId xmlns:a16="http://schemas.microsoft.com/office/drawing/2014/main" id="{30B8583B-6CAC-489C-A0B5-FB5DC7AD8BC0}"/>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41" name="Rectangle 48">
                    <a:extLst>
                      <a:ext uri="{FF2B5EF4-FFF2-40B4-BE49-F238E27FC236}">
                        <a16:creationId xmlns:a16="http://schemas.microsoft.com/office/drawing/2014/main" id="{728ACB46-FF97-4F87-A9E4-777EC32E2928}"/>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42" name="Rectangle 49">
                    <a:extLst>
                      <a:ext uri="{FF2B5EF4-FFF2-40B4-BE49-F238E27FC236}">
                        <a16:creationId xmlns:a16="http://schemas.microsoft.com/office/drawing/2014/main" id="{0FFD3406-287E-45A3-B4C1-82310B3BB27D}"/>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43" name="Rectangle 41">
                  <a:extLst>
                    <a:ext uri="{FF2B5EF4-FFF2-40B4-BE49-F238E27FC236}">
                      <a16:creationId xmlns:a16="http://schemas.microsoft.com/office/drawing/2014/main" id="{F2B5FD7F-35E2-4EEE-B405-D51AF3157D52}"/>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44" name="Right Brace 42">
                  <a:extLst>
                    <a:ext uri="{FF2B5EF4-FFF2-40B4-BE49-F238E27FC236}">
                      <a16:creationId xmlns:a16="http://schemas.microsoft.com/office/drawing/2014/main" id="{7CC0AEA1-9E67-451D-B158-0B88B13857F9}"/>
                    </a:ext>
                  </a:extLst>
                </xdr:cNvPr>
                <xdr:cNvSpPr/>
              </xdr:nvSpPr>
              <xdr:spPr>
                <a:xfrm rot="16200000" flipV="1">
                  <a:off x="3125429" y="3265176"/>
                  <a:ext cx="292261" cy="23140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nvGrpSpPr>
            <xdr:cNvPr id="6345" name="Group 6">
              <a:extLst>
                <a:ext uri="{FF2B5EF4-FFF2-40B4-BE49-F238E27FC236}">
                  <a16:creationId xmlns:a16="http://schemas.microsoft.com/office/drawing/2014/main" id="{4FBCF123-DD37-44E4-806E-D8E3FECFB759}"/>
                </a:ext>
              </a:extLst>
            </xdr:cNvPr>
            <xdr:cNvGrpSpPr/>
          </xdr:nvGrpSpPr>
          <xdr:grpSpPr>
            <a:xfrm>
              <a:off x="4725570" y="1550418"/>
              <a:ext cx="2353004" cy="3192093"/>
              <a:chOff x="2092205" y="1550418"/>
              <a:chExt cx="2353004" cy="3192093"/>
            </a:xfrm>
          </xdr:grpSpPr>
          <xdr:sp macro="" textlink="">
            <xdr:nvSpPr>
              <xdr:cNvPr id="6346" name="Rectangle 24">
                <a:extLst>
                  <a:ext uri="{FF2B5EF4-FFF2-40B4-BE49-F238E27FC236}">
                    <a16:creationId xmlns:a16="http://schemas.microsoft.com/office/drawing/2014/main" id="{0AFE23B2-B937-4E71-A9CF-047612D990D1}"/>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Energy supply</a:t>
                </a: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47" name="Group 25">
                <a:extLst>
                  <a:ext uri="{FF2B5EF4-FFF2-40B4-BE49-F238E27FC236}">
                    <a16:creationId xmlns:a16="http://schemas.microsoft.com/office/drawing/2014/main" id="{811261AE-A467-4AFB-9499-2EE09D6A6DBD}"/>
                  </a:ext>
                </a:extLst>
              </xdr:cNvPr>
              <xdr:cNvGrpSpPr/>
            </xdr:nvGrpSpPr>
            <xdr:grpSpPr>
              <a:xfrm>
                <a:off x="2092205" y="2303053"/>
                <a:ext cx="2353004" cy="2439458"/>
                <a:chOff x="2085414" y="2571500"/>
                <a:chExt cx="2353004" cy="2439458"/>
              </a:xfrm>
            </xdr:grpSpPr>
            <xdr:sp macro="" textlink="">
              <xdr:nvSpPr>
                <xdr:cNvPr id="6349" name="Right Brace 26">
                  <a:extLst>
                    <a:ext uri="{FF2B5EF4-FFF2-40B4-BE49-F238E27FC236}">
                      <a16:creationId xmlns:a16="http://schemas.microsoft.com/office/drawing/2014/main" id="{E9B1B922-69A4-4612-8C39-EDD122058534}"/>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50" name="Group 27">
                  <a:extLst>
                    <a:ext uri="{FF2B5EF4-FFF2-40B4-BE49-F238E27FC236}">
                      <a16:creationId xmlns:a16="http://schemas.microsoft.com/office/drawing/2014/main" id="{48164666-3799-47BB-85BE-A0E8EDBF1CBC}"/>
                    </a:ext>
                  </a:extLst>
                </xdr:cNvPr>
                <xdr:cNvGrpSpPr/>
              </xdr:nvGrpSpPr>
              <xdr:grpSpPr>
                <a:xfrm>
                  <a:off x="2206896" y="2965085"/>
                  <a:ext cx="2129001" cy="1288801"/>
                  <a:chOff x="2245767" y="1205236"/>
                  <a:chExt cx="2129001" cy="1288800"/>
                </a:xfrm>
              </xdr:grpSpPr>
              <xdr:sp macro="" textlink="">
                <xdr:nvSpPr>
                  <xdr:cNvPr id="6352" name="Rectangle 30">
                    <a:extLst>
                      <a:ext uri="{FF2B5EF4-FFF2-40B4-BE49-F238E27FC236}">
                        <a16:creationId xmlns:a16="http://schemas.microsoft.com/office/drawing/2014/main" id="{FF4DBFA1-A4A3-47B9-BC65-D03E70E79EA8}"/>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53" name="Rectangle 31">
                    <a:extLst>
                      <a:ext uri="{FF2B5EF4-FFF2-40B4-BE49-F238E27FC236}">
                        <a16:creationId xmlns:a16="http://schemas.microsoft.com/office/drawing/2014/main" id="{B8392A49-51F5-4ACF-BCE5-D9BB70E43174}"/>
                      </a:ext>
                    </a:extLst>
                  </xdr:cNvPr>
                  <xdr:cNvSpPr/>
                </xdr:nvSpPr>
                <xdr:spPr>
                  <a:xfrm rot="16200000">
                    <a:off x="2192772" y="1676159"/>
                    <a:ext cx="1288647" cy="34695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55" name="Rectangle 32">
                    <a:extLst>
                      <a:ext uri="{FF2B5EF4-FFF2-40B4-BE49-F238E27FC236}">
                        <a16:creationId xmlns:a16="http://schemas.microsoft.com/office/drawing/2014/main" id="{7B29DA4D-B800-488E-B865-D5E71A8D194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56" name="Rectangle 33">
                    <a:extLst>
                      <a:ext uri="{FF2B5EF4-FFF2-40B4-BE49-F238E27FC236}">
                        <a16:creationId xmlns:a16="http://schemas.microsoft.com/office/drawing/2014/main" id="{2B8D8A85-5D55-48E5-8AA7-ADD8CFF7B031}"/>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8" name="Rectangle 34">
                    <a:extLst>
                      <a:ext uri="{FF2B5EF4-FFF2-40B4-BE49-F238E27FC236}">
                        <a16:creationId xmlns:a16="http://schemas.microsoft.com/office/drawing/2014/main" id="{F3C8F283-EC0F-478B-8EE2-52805ED9E558}"/>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59" name="Rectangle 35">
                    <a:extLst>
                      <a:ext uri="{FF2B5EF4-FFF2-40B4-BE49-F238E27FC236}">
                        <a16:creationId xmlns:a16="http://schemas.microsoft.com/office/drawing/2014/main" id="{3AE5D1A6-151F-4EDA-9C73-FC9C6289DCB3}"/>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60" name="Rectangle 36">
                    <a:extLst>
                      <a:ext uri="{FF2B5EF4-FFF2-40B4-BE49-F238E27FC236}">
                        <a16:creationId xmlns:a16="http://schemas.microsoft.com/office/drawing/2014/main" id="{64C60F06-F823-45E9-BC98-4F0800D12D1C}"/>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61" name="Rectangle 28">
                  <a:extLst>
                    <a:ext uri="{FF2B5EF4-FFF2-40B4-BE49-F238E27FC236}">
                      <a16:creationId xmlns:a16="http://schemas.microsoft.com/office/drawing/2014/main" id="{0B712C61-C3E7-4757-BDC4-3BCD715E1B5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a:t>
                  </a:r>
                  <a:endParaRPr lang="en-GB" sz="1200" i="1">
                    <a:solidFill>
                      <a:schemeClr val="tx1"/>
                    </a:solidFill>
                  </a:endParaRPr>
                </a:p>
              </xdr:txBody>
            </xdr:sp>
            <xdr:sp macro="" textlink="">
              <xdr:nvSpPr>
                <xdr:cNvPr id="6362" name="Right Brace 29">
                  <a:extLst>
                    <a:ext uri="{FF2B5EF4-FFF2-40B4-BE49-F238E27FC236}">
                      <a16:creationId xmlns:a16="http://schemas.microsoft.com/office/drawing/2014/main" id="{F87093B2-1759-4346-8B43-8107B03362E7}"/>
                    </a:ext>
                  </a:extLst>
                </xdr:cNvPr>
                <xdr:cNvSpPr/>
              </xdr:nvSpPr>
              <xdr:spPr>
                <a:xfrm rot="16200000" flipV="1">
                  <a:off x="3112829" y="3277776"/>
                  <a:ext cx="292261"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sp macro="" textlink="">
          <xdr:nvSpPr>
            <xdr:cNvPr id="6364" name="Rectangle 7">
              <a:extLst>
                <a:ext uri="{FF2B5EF4-FFF2-40B4-BE49-F238E27FC236}">
                  <a16:creationId xmlns:a16="http://schemas.microsoft.com/office/drawing/2014/main" id="{AA68DE6E-9F56-49C3-9F13-E4BBB08CF7D0}"/>
                </a:ext>
              </a:extLst>
            </xdr:cNvPr>
            <xdr:cNvSpPr/>
          </xdr:nvSpPr>
          <xdr:spPr>
            <a:xfrm>
              <a:off x="7043555" y="1755638"/>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grpSp>
          <xdr:nvGrpSpPr>
            <xdr:cNvPr id="6365" name="Group 8">
              <a:extLst>
                <a:ext uri="{FF2B5EF4-FFF2-40B4-BE49-F238E27FC236}">
                  <a16:creationId xmlns:a16="http://schemas.microsoft.com/office/drawing/2014/main" id="{36BD932E-622D-44D4-87F5-7A99A7CE6067}"/>
                </a:ext>
              </a:extLst>
            </xdr:cNvPr>
            <xdr:cNvGrpSpPr/>
          </xdr:nvGrpSpPr>
          <xdr:grpSpPr>
            <a:xfrm>
              <a:off x="7330707" y="1546270"/>
              <a:ext cx="2353004" cy="3192093"/>
              <a:chOff x="2092205" y="1550418"/>
              <a:chExt cx="2353004" cy="3192093"/>
            </a:xfrm>
          </xdr:grpSpPr>
          <xdr:sp macro="" textlink="">
            <xdr:nvSpPr>
              <xdr:cNvPr id="6367" name="Rectangle 11">
                <a:extLst>
                  <a:ext uri="{FF2B5EF4-FFF2-40B4-BE49-F238E27FC236}">
                    <a16:creationId xmlns:a16="http://schemas.microsoft.com/office/drawing/2014/main" id="{092BBA71-3534-4261-BEA3-0406F9E03C30}"/>
                  </a:ext>
                </a:extLst>
              </xdr:cNvPr>
              <xdr:cNvSpPr/>
            </xdr:nvSpPr>
            <xdr:spPr>
              <a:xfrm>
                <a:off x="2232101" y="1550418"/>
                <a:ext cx="2117844" cy="685244"/>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 materials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nvGrpSpPr>
              <xdr:cNvPr id="6368" name="Group 12">
                <a:extLst>
                  <a:ext uri="{FF2B5EF4-FFF2-40B4-BE49-F238E27FC236}">
                    <a16:creationId xmlns:a16="http://schemas.microsoft.com/office/drawing/2014/main" id="{D6F33219-7A07-483B-AD61-812E1E1AC80A}"/>
                  </a:ext>
                </a:extLst>
              </xdr:cNvPr>
              <xdr:cNvGrpSpPr/>
            </xdr:nvGrpSpPr>
            <xdr:grpSpPr>
              <a:xfrm>
                <a:off x="2092205" y="2303053"/>
                <a:ext cx="2353004" cy="2439458"/>
                <a:chOff x="2085414" y="2571500"/>
                <a:chExt cx="2353004" cy="2439458"/>
              </a:xfrm>
            </xdr:grpSpPr>
            <xdr:sp macro="" textlink="">
              <xdr:nvSpPr>
                <xdr:cNvPr id="6370" name="Right Brace 13">
                  <a:extLst>
                    <a:ext uri="{FF2B5EF4-FFF2-40B4-BE49-F238E27FC236}">
                      <a16:creationId xmlns:a16="http://schemas.microsoft.com/office/drawing/2014/main" id="{06BB2E56-0FD6-4B36-A1EB-C2EF9240E321}"/>
                    </a:ext>
                  </a:extLst>
                </xdr:cNvPr>
                <xdr:cNvSpPr/>
              </xdr:nvSpPr>
              <xdr:spPr>
                <a:xfrm rot="16200000" flipV="1">
                  <a:off x="3115785" y="1541129"/>
                  <a:ext cx="292261" cy="2353004"/>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nvGrpSpPr>
                <xdr:cNvPr id="6371" name="Group 14">
                  <a:extLst>
                    <a:ext uri="{FF2B5EF4-FFF2-40B4-BE49-F238E27FC236}">
                      <a16:creationId xmlns:a16="http://schemas.microsoft.com/office/drawing/2014/main" id="{D97FACD1-DC8B-4CC6-972C-4F7F0C62130F}"/>
                    </a:ext>
                  </a:extLst>
                </xdr:cNvPr>
                <xdr:cNvGrpSpPr/>
              </xdr:nvGrpSpPr>
              <xdr:grpSpPr>
                <a:xfrm>
                  <a:off x="2206896" y="2965085"/>
                  <a:ext cx="2129001" cy="1288801"/>
                  <a:chOff x="2245767" y="1205236"/>
                  <a:chExt cx="2129001" cy="1288800"/>
                </a:xfrm>
              </xdr:grpSpPr>
              <xdr:sp macro="" textlink="">
                <xdr:nvSpPr>
                  <xdr:cNvPr id="6373" name="Rectangle 17">
                    <a:extLst>
                      <a:ext uri="{FF2B5EF4-FFF2-40B4-BE49-F238E27FC236}">
                        <a16:creationId xmlns:a16="http://schemas.microsoft.com/office/drawing/2014/main" id="{6004B6BD-4BF1-44E3-805D-BCFE541F776A}"/>
                      </a:ext>
                    </a:extLst>
                  </xdr:cNvPr>
                  <xdr:cNvSpPr/>
                </xdr:nvSpPr>
                <xdr:spPr>
                  <a:xfrm rot="16200000">
                    <a:off x="1720056" y="1730947"/>
                    <a:ext cx="1288800" cy="237377"/>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sp macro="" textlink="">
                <xdr:nvSpPr>
                  <xdr:cNvPr id="6374" name="Rectangle 18">
                    <a:extLst>
                      <a:ext uri="{FF2B5EF4-FFF2-40B4-BE49-F238E27FC236}">
                        <a16:creationId xmlns:a16="http://schemas.microsoft.com/office/drawing/2014/main" id="{1BAD5BE5-EB90-4C72-98ED-E6AAC05CD67E}"/>
                      </a:ext>
                    </a:extLst>
                  </xdr:cNvPr>
                  <xdr:cNvSpPr/>
                </xdr:nvSpPr>
                <xdr:spPr>
                  <a:xfrm rot="16200000">
                    <a:off x="2218993" y="1683905"/>
                    <a:ext cx="1288647" cy="33146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sp macro="" textlink="">
                <xdr:nvSpPr>
                  <xdr:cNvPr id="6376" name="Rectangle 19">
                    <a:extLst>
                      <a:ext uri="{FF2B5EF4-FFF2-40B4-BE49-F238E27FC236}">
                        <a16:creationId xmlns:a16="http://schemas.microsoft.com/office/drawing/2014/main" id="{92091420-6D3F-4032-8313-CCC6420BAB18}"/>
                      </a:ext>
                    </a:extLst>
                  </xdr:cNvPr>
                  <xdr:cNvSpPr/>
                </xdr:nvSpPr>
                <xdr:spPr>
                  <a:xfrm rot="16200000">
                    <a:off x="2805018"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sp macro="" textlink="">
                <xdr:nvSpPr>
                  <xdr:cNvPr id="6377" name="Rectangle 20">
                    <a:extLst>
                      <a:ext uri="{FF2B5EF4-FFF2-40B4-BE49-F238E27FC236}">
                        <a16:creationId xmlns:a16="http://schemas.microsoft.com/office/drawing/2014/main" id="{57C35457-EE38-4F7F-ABDD-F33B01CC8559}"/>
                      </a:ext>
                    </a:extLst>
                  </xdr:cNvPr>
                  <xdr:cNvSpPr/>
                </xdr:nvSpPr>
                <xdr:spPr>
                  <a:xfrm>
                    <a:off x="2932890"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79" name="Rectangle 21">
                    <a:extLst>
                      <a:ext uri="{FF2B5EF4-FFF2-40B4-BE49-F238E27FC236}">
                        <a16:creationId xmlns:a16="http://schemas.microsoft.com/office/drawing/2014/main" id="{CF72796C-9258-4862-BD79-2D58E0F6EB87}"/>
                      </a:ext>
                    </a:extLst>
                  </xdr:cNvPr>
                  <xdr:cNvSpPr/>
                </xdr:nvSpPr>
                <xdr:spPr>
                  <a:xfrm>
                    <a:off x="2443156"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sp macro="" textlink="">
                <xdr:nvSpPr>
                  <xdr:cNvPr id="6380" name="Rectangle 22">
                    <a:extLst>
                      <a:ext uri="{FF2B5EF4-FFF2-40B4-BE49-F238E27FC236}">
                        <a16:creationId xmlns:a16="http://schemas.microsoft.com/office/drawing/2014/main" id="{290A5502-5F63-4BAA-87BB-B227406C3AC6}"/>
                      </a:ext>
                    </a:extLst>
                  </xdr:cNvPr>
                  <xdr:cNvSpPr/>
                </xdr:nvSpPr>
                <xdr:spPr>
                  <a:xfrm rot="16200000">
                    <a:off x="3505963" y="1625230"/>
                    <a:ext cx="1288800"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sp macro="" textlink="">
                <xdr:nvSpPr>
                  <xdr:cNvPr id="6383" name="Rectangle 23">
                    <a:extLst>
                      <a:ext uri="{FF2B5EF4-FFF2-40B4-BE49-F238E27FC236}">
                        <a16:creationId xmlns:a16="http://schemas.microsoft.com/office/drawing/2014/main" id="{E8EE99E2-77AE-4BB9-947E-774F01553CFB}"/>
                      </a:ext>
                    </a:extLst>
                  </xdr:cNvPr>
                  <xdr:cNvSpPr/>
                </xdr:nvSpPr>
                <xdr:spPr>
                  <a:xfrm>
                    <a:off x="3633835" y="1738055"/>
                    <a:ext cx="332110" cy="223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grpSp>
            <xdr:sp macro="" textlink="">
              <xdr:nvSpPr>
                <xdr:cNvPr id="6384" name="Rectangle 15">
                  <a:extLst>
                    <a:ext uri="{FF2B5EF4-FFF2-40B4-BE49-F238E27FC236}">
                      <a16:creationId xmlns:a16="http://schemas.microsoft.com/office/drawing/2014/main" id="{D19F05A1-2E02-4789-A74E-67AE2434BB3B}"/>
                    </a:ext>
                  </a:extLst>
                </xdr:cNvPr>
                <xdr:cNvSpPr/>
              </xdr:nvSpPr>
              <xdr:spPr>
                <a:xfrm>
                  <a:off x="2181674" y="4562147"/>
                  <a:ext cx="2168271" cy="44881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sp macro="" textlink="">
              <xdr:nvSpPr>
                <xdr:cNvPr id="6385" name="Right Brace 16">
                  <a:extLst>
                    <a:ext uri="{FF2B5EF4-FFF2-40B4-BE49-F238E27FC236}">
                      <a16:creationId xmlns:a16="http://schemas.microsoft.com/office/drawing/2014/main" id="{25814079-4030-4B61-8627-EEF514436F15}"/>
                    </a:ext>
                  </a:extLst>
                </xdr:cNvPr>
                <xdr:cNvSpPr/>
              </xdr:nvSpPr>
              <xdr:spPr>
                <a:xfrm rot="16200000" flipV="1">
                  <a:off x="3110755" y="3279850"/>
                  <a:ext cx="296409" cy="2288878"/>
                </a:xfrm>
                <a:prstGeom prst="rightBrace">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grpSp>
        </xdr:grpSp>
      </xdr:grpSp>
      <xdr:sp macro="" textlink="">
        <xdr:nvSpPr>
          <xdr:cNvPr id="6386" name="Rectangle 121">
            <a:extLst>
              <a:ext uri="{FF2B5EF4-FFF2-40B4-BE49-F238E27FC236}">
                <a16:creationId xmlns:a16="http://schemas.microsoft.com/office/drawing/2014/main" id="{C6780193-0428-4DBB-9866-346D63676163}"/>
              </a:ext>
            </a:extLst>
          </xdr:cNvPr>
          <xdr:cNvSpPr/>
        </xdr:nvSpPr>
        <xdr:spPr>
          <a:xfrm>
            <a:off x="8743914"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Process CO</a:t>
            </a:r>
            <a:r>
              <a:rPr lang="en-GB" sz="1200" baseline="-25000">
                <a:solidFill>
                  <a:schemeClr val="tx1"/>
                </a:solidFill>
              </a:rPr>
              <a:t>2</a:t>
            </a:r>
            <a:r>
              <a:rPr lang="en-GB" sz="1200">
                <a:solidFill>
                  <a:schemeClr val="tx1"/>
                </a:solidFill>
              </a:rPr>
              <a:t>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7" name="Rectangle 122">
            <a:extLst>
              <a:ext uri="{FF2B5EF4-FFF2-40B4-BE49-F238E27FC236}">
                <a16:creationId xmlns:a16="http://schemas.microsoft.com/office/drawing/2014/main" id="{7382D781-0D73-4B75-AF3B-71C11B3941C1}"/>
              </a:ext>
            </a:extLst>
          </xdr:cNvPr>
          <xdr:cNvSpPr/>
        </xdr:nvSpPr>
        <xdr:spPr>
          <a:xfrm>
            <a:off x="11304787" y="7275568"/>
            <a:ext cx="2146422" cy="65841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CO</a:t>
            </a:r>
            <a:r>
              <a:rPr lang="en-GB" sz="1200" baseline="-25000">
                <a:solidFill>
                  <a:schemeClr val="tx1"/>
                </a:solidFill>
              </a:rPr>
              <a:t>2</a:t>
            </a:r>
            <a:r>
              <a:rPr lang="en-GB" sz="1200" baseline="0">
                <a:solidFill>
                  <a:schemeClr val="tx1"/>
                </a:solidFill>
              </a:rPr>
              <a:t> capture and network entry</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8" name="Rectangle 123">
            <a:extLst>
              <a:ext uri="{FF2B5EF4-FFF2-40B4-BE49-F238E27FC236}">
                <a16:creationId xmlns:a16="http://schemas.microsoft.com/office/drawing/2014/main" id="{440655E4-3679-4C11-B322-3DD9CB4D2F80}"/>
              </a:ext>
            </a:extLst>
          </xdr:cNvPr>
          <xdr:cNvSpPr/>
        </xdr:nvSpPr>
        <xdr:spPr>
          <a:xfrm>
            <a:off x="13820658" y="7273925"/>
            <a:ext cx="2142853"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CO</a:t>
            </a:r>
            <a:r>
              <a:rPr lang="en-GB" sz="1200" baseline="-25000">
                <a:solidFill>
                  <a:schemeClr val="tx1"/>
                </a:solidFill>
              </a:rPr>
              <a:t>2</a:t>
            </a:r>
            <a:r>
              <a:rPr lang="en-GB" sz="1200">
                <a:solidFill>
                  <a:schemeClr val="tx1"/>
                </a:solidFill>
              </a:rPr>
              <a:t> sequestration</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sp macro="" textlink="">
        <xdr:nvSpPr>
          <xdr:cNvPr id="6389" name="Rectangle 124">
            <a:extLst>
              <a:ext uri="{FF2B5EF4-FFF2-40B4-BE49-F238E27FC236}">
                <a16:creationId xmlns:a16="http://schemas.microsoft.com/office/drawing/2014/main" id="{ABE68568-FCA3-48A4-B17F-E79FAB1C97FD}"/>
              </a:ext>
            </a:extLst>
          </xdr:cNvPr>
          <xdr:cNvSpPr/>
        </xdr:nvSpPr>
        <xdr:spPr>
          <a:xfrm>
            <a:off x="16316258" y="7273925"/>
            <a:ext cx="2146028" cy="659451"/>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Fugitive non-CO</a:t>
            </a:r>
            <a:r>
              <a:rPr lang="en-GB" sz="1200" baseline="-25000">
                <a:solidFill>
                  <a:schemeClr val="tx1"/>
                </a:solidFill>
              </a:rPr>
              <a:t>2</a:t>
            </a:r>
            <a:r>
              <a:rPr lang="en-GB" sz="1200">
                <a:solidFill>
                  <a:schemeClr val="tx1"/>
                </a:solidFill>
              </a:rPr>
              <a:t> emissions</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grpSp>
    <xdr:clientData/>
  </xdr:twoCellAnchor>
  <xdr:twoCellAnchor>
    <xdr:from>
      <xdr:col>13</xdr:col>
      <xdr:colOff>609599</xdr:colOff>
      <xdr:row>45</xdr:row>
      <xdr:rowOff>141899</xdr:rowOff>
    </xdr:from>
    <xdr:to>
      <xdr:col>17</xdr:col>
      <xdr:colOff>550799</xdr:colOff>
      <xdr:row>47</xdr:row>
      <xdr:rowOff>50799</xdr:rowOff>
    </xdr:to>
    <xdr:sp macro="" textlink="">
      <xdr:nvSpPr>
        <xdr:cNvPr id="6437" name="Right Brace 125">
          <a:extLst>
            <a:ext uri="{FF2B5EF4-FFF2-40B4-BE49-F238E27FC236}">
              <a16:creationId xmlns:a16="http://schemas.microsoft.com/office/drawing/2014/main" id="{FDA88632-3495-47E4-9CA7-006F78CA276E}"/>
            </a:ext>
          </a:extLst>
        </xdr:cNvPr>
        <xdr:cNvSpPr/>
      </xdr:nvSpPr>
      <xdr:spPr>
        <a:xfrm rot="16200000" flipV="1">
          <a:off x="9588774" y="6936124"/>
          <a:ext cx="27085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129722</xdr:colOff>
      <xdr:row>45</xdr:row>
      <xdr:rowOff>145074</xdr:rowOff>
    </xdr:from>
    <xdr:to>
      <xdr:col>22</xdr:col>
      <xdr:colOff>70922</xdr:colOff>
      <xdr:row>47</xdr:row>
      <xdr:rowOff>57149</xdr:rowOff>
    </xdr:to>
    <xdr:sp macro="" textlink="">
      <xdr:nvSpPr>
        <xdr:cNvPr id="5770" name="Right Brace 126">
          <a:extLst>
            <a:ext uri="{FF2B5EF4-FFF2-40B4-BE49-F238E27FC236}">
              <a16:creationId xmlns:a16="http://schemas.microsoft.com/office/drawing/2014/main" id="{DFBFB3BB-FA84-4BC3-BDCE-A67E2F07B002}"/>
            </a:ext>
          </a:extLst>
        </xdr:cNvPr>
        <xdr:cNvSpPr/>
      </xdr:nvSpPr>
      <xdr:spPr>
        <a:xfrm rot="16200000" flipV="1">
          <a:off x="12241034" y="7560012"/>
          <a:ext cx="293075"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259897</xdr:colOff>
      <xdr:row>45</xdr:row>
      <xdr:rowOff>145073</xdr:rowOff>
    </xdr:from>
    <xdr:to>
      <xdr:col>26</xdr:col>
      <xdr:colOff>201097</xdr:colOff>
      <xdr:row>47</xdr:row>
      <xdr:rowOff>50798</xdr:rowOff>
    </xdr:to>
    <xdr:sp macro="" textlink="">
      <xdr:nvSpPr>
        <xdr:cNvPr id="5781" name="Right Brace 127">
          <a:extLst>
            <a:ext uri="{FF2B5EF4-FFF2-40B4-BE49-F238E27FC236}">
              <a16:creationId xmlns:a16="http://schemas.microsoft.com/office/drawing/2014/main" id="{7FF53D7D-67AD-4D64-BFFB-2ECFE8662871}"/>
            </a:ext>
          </a:extLst>
        </xdr:cNvPr>
        <xdr:cNvSpPr/>
      </xdr:nvSpPr>
      <xdr:spPr>
        <a:xfrm rot="16200000" flipV="1">
          <a:off x="14823670" y="7556836"/>
          <a:ext cx="286725"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26</xdr:col>
      <xdr:colOff>394609</xdr:colOff>
      <xdr:row>45</xdr:row>
      <xdr:rowOff>141898</xdr:rowOff>
    </xdr:from>
    <xdr:to>
      <xdr:col>30</xdr:col>
      <xdr:colOff>335809</xdr:colOff>
      <xdr:row>47</xdr:row>
      <xdr:rowOff>47623</xdr:rowOff>
    </xdr:to>
    <xdr:sp macro="" textlink="">
      <xdr:nvSpPr>
        <xdr:cNvPr id="5799" name="Right Brace 128">
          <a:extLst>
            <a:ext uri="{FF2B5EF4-FFF2-40B4-BE49-F238E27FC236}">
              <a16:creationId xmlns:a16="http://schemas.microsoft.com/office/drawing/2014/main" id="{403E5F66-928E-4FB1-95FC-1C3257A85464}"/>
            </a:ext>
          </a:extLst>
        </xdr:cNvPr>
        <xdr:cNvSpPr/>
      </xdr:nvSpPr>
      <xdr:spPr>
        <a:xfrm rot="16200000" flipV="1">
          <a:off x="17407668" y="7553661"/>
          <a:ext cx="286725" cy="2390485"/>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13</xdr:col>
      <xdr:colOff>384174</xdr:colOff>
      <xdr:row>42</xdr:row>
      <xdr:rowOff>180973</xdr:rowOff>
    </xdr:from>
    <xdr:to>
      <xdr:col>14</xdr:col>
      <xdr:colOff>104020</xdr:colOff>
      <xdr:row>44</xdr:row>
      <xdr:rowOff>37729</xdr:rowOff>
    </xdr:to>
    <xdr:sp macro="" textlink="">
      <xdr:nvSpPr>
        <xdr:cNvPr id="208" name="Rectangle 129">
          <a:extLst>
            <a:ext uri="{FF2B5EF4-FFF2-40B4-BE49-F238E27FC236}">
              <a16:creationId xmlns:a16="http://schemas.microsoft.com/office/drawing/2014/main" id="{259D39BC-F66A-495A-BC19-FF04FB5AEF58}"/>
            </a:ext>
          </a:extLst>
        </xdr:cNvPr>
        <xdr:cNvSpPr/>
      </xdr:nvSpPr>
      <xdr:spPr>
        <a:xfrm>
          <a:off x="8308974" y="7486648"/>
          <a:ext cx="329446" cy="218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17</xdr:col>
      <xdr:colOff>561974</xdr:colOff>
      <xdr:row>43</xdr:row>
      <xdr:rowOff>9523</xdr:rowOff>
    </xdr:from>
    <xdr:to>
      <xdr:col>18</xdr:col>
      <xdr:colOff>284995</xdr:colOff>
      <xdr:row>44</xdr:row>
      <xdr:rowOff>37729</xdr:rowOff>
    </xdr:to>
    <xdr:sp macro="" textlink="">
      <xdr:nvSpPr>
        <xdr:cNvPr id="5744" name="Rectangle 130">
          <a:extLst>
            <a:ext uri="{FF2B5EF4-FFF2-40B4-BE49-F238E27FC236}">
              <a16:creationId xmlns:a16="http://schemas.microsoft.com/office/drawing/2014/main" id="{4D87BBD0-31E9-4EC1-8EA7-DAB6360E7D68}"/>
            </a:ext>
          </a:extLst>
        </xdr:cNvPr>
        <xdr:cNvSpPr/>
      </xdr:nvSpPr>
      <xdr:spPr>
        <a:xfrm>
          <a:off x="10925174" y="7496173"/>
          <a:ext cx="332621"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22</xdr:col>
      <xdr:colOff>76200</xdr:colOff>
      <xdr:row>43</xdr:row>
      <xdr:rowOff>6350</xdr:rowOff>
    </xdr:from>
    <xdr:to>
      <xdr:col>22</xdr:col>
      <xdr:colOff>408821</xdr:colOff>
      <xdr:row>44</xdr:row>
      <xdr:rowOff>37731</xdr:rowOff>
    </xdr:to>
    <xdr:sp macro="" textlink="">
      <xdr:nvSpPr>
        <xdr:cNvPr id="5733" name="Rectangle 131">
          <a:extLst>
            <a:ext uri="{FF2B5EF4-FFF2-40B4-BE49-F238E27FC236}">
              <a16:creationId xmlns:a16="http://schemas.microsoft.com/office/drawing/2014/main" id="{D57F1599-7AE2-4A2A-AC60-83EB9610CD3D}"/>
            </a:ext>
          </a:extLst>
        </xdr:cNvPr>
        <xdr:cNvSpPr/>
      </xdr:nvSpPr>
      <xdr:spPr>
        <a:xfrm>
          <a:off x="13487400" y="7493000"/>
          <a:ext cx="332621" cy="2123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26</xdr:col>
      <xdr:colOff>123825</xdr:colOff>
      <xdr:row>43</xdr:row>
      <xdr:rowOff>19050</xdr:rowOff>
    </xdr:from>
    <xdr:to>
      <xdr:col>26</xdr:col>
      <xdr:colOff>459621</xdr:colOff>
      <xdr:row>44</xdr:row>
      <xdr:rowOff>47256</xdr:rowOff>
    </xdr:to>
    <xdr:sp macro="" textlink="">
      <xdr:nvSpPr>
        <xdr:cNvPr id="5710" name="Rectangle 132">
          <a:extLst>
            <a:ext uri="{FF2B5EF4-FFF2-40B4-BE49-F238E27FC236}">
              <a16:creationId xmlns:a16="http://schemas.microsoft.com/office/drawing/2014/main" id="{A852CA7C-56BB-40F3-A548-93A81326AF1A}"/>
            </a:ext>
          </a:extLst>
        </xdr:cNvPr>
        <xdr:cNvSpPr/>
      </xdr:nvSpPr>
      <xdr:spPr>
        <a:xfrm>
          <a:off x="15973425" y="7505700"/>
          <a:ext cx="335796" cy="2091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14</xdr:col>
      <xdr:colOff>114588</xdr:colOff>
      <xdr:row>48</xdr:row>
      <xdr:rowOff>29762</xdr:rowOff>
    </xdr:from>
    <xdr:to>
      <xdr:col>14</xdr:col>
      <xdr:colOff>352613</xdr:colOff>
      <xdr:row>54</xdr:row>
      <xdr:rowOff>132337</xdr:rowOff>
    </xdr:to>
    <xdr:sp macro="" textlink="">
      <xdr:nvSpPr>
        <xdr:cNvPr id="6209" name="Rectangle 136">
          <a:extLst>
            <a:ext uri="{FF2B5EF4-FFF2-40B4-BE49-F238E27FC236}">
              <a16:creationId xmlns:a16="http://schemas.microsoft.com/office/drawing/2014/main" id="{C6BF7D96-C225-43B4-900C-6C415340B894}"/>
            </a:ext>
          </a:extLst>
        </xdr:cNvPr>
        <xdr:cNvSpPr/>
      </xdr:nvSpPr>
      <xdr:spPr>
        <a:xfrm rot="16200000">
          <a:off x="8173788" y="8896487"/>
          <a:ext cx="118842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15</xdr:col>
      <xdr:colOff>85730</xdr:colOff>
      <xdr:row>48</xdr:row>
      <xdr:rowOff>26587</xdr:rowOff>
    </xdr:from>
    <xdr:to>
      <xdr:col>15</xdr:col>
      <xdr:colOff>454025</xdr:colOff>
      <xdr:row>54</xdr:row>
      <xdr:rowOff>171512</xdr:rowOff>
    </xdr:to>
    <xdr:sp macro="" textlink="">
      <xdr:nvSpPr>
        <xdr:cNvPr id="6210" name="Rectangle 137">
          <a:extLst>
            <a:ext uri="{FF2B5EF4-FFF2-40B4-BE49-F238E27FC236}">
              <a16:creationId xmlns:a16="http://schemas.microsoft.com/office/drawing/2014/main" id="{7708AD8C-2952-4DB9-92E7-40E355054366}"/>
            </a:ext>
          </a:extLst>
        </xdr:cNvPr>
        <xdr:cNvSpPr/>
      </xdr:nvSpPr>
      <xdr:spPr>
        <a:xfrm rot="16200000">
          <a:off x="8798490" y="9030327"/>
          <a:ext cx="1230775" cy="36829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16</xdr:col>
      <xdr:colOff>88312</xdr:colOff>
      <xdr:row>48</xdr:row>
      <xdr:rowOff>26586</xdr:rowOff>
    </xdr:from>
    <xdr:to>
      <xdr:col>16</xdr:col>
      <xdr:colOff>535562</xdr:colOff>
      <xdr:row>54</xdr:row>
      <xdr:rowOff>171511</xdr:rowOff>
    </xdr:to>
    <xdr:sp macro="" textlink="">
      <xdr:nvSpPr>
        <xdr:cNvPr id="6207" name="Rectangle 138">
          <a:extLst>
            <a:ext uri="{FF2B5EF4-FFF2-40B4-BE49-F238E27FC236}">
              <a16:creationId xmlns:a16="http://schemas.microsoft.com/office/drawing/2014/main" id="{D155227A-DE66-4421-82FD-78A9863B51AA}"/>
            </a:ext>
          </a:extLst>
        </xdr:cNvPr>
        <xdr:cNvSpPr/>
      </xdr:nvSpPr>
      <xdr:spPr>
        <a:xfrm rot="16200000">
          <a:off x="9450149"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17</xdr:col>
      <xdr:colOff>114718</xdr:colOff>
      <xdr:row>48</xdr:row>
      <xdr:rowOff>26586</xdr:rowOff>
    </xdr:from>
    <xdr:to>
      <xdr:col>17</xdr:col>
      <xdr:colOff>561968</xdr:colOff>
      <xdr:row>54</xdr:row>
      <xdr:rowOff>171511</xdr:rowOff>
    </xdr:to>
    <xdr:sp macro="" textlink="">
      <xdr:nvSpPr>
        <xdr:cNvPr id="6208" name="Rectangle 139">
          <a:extLst>
            <a:ext uri="{FF2B5EF4-FFF2-40B4-BE49-F238E27FC236}">
              <a16:creationId xmlns:a16="http://schemas.microsoft.com/office/drawing/2014/main" id="{B13C777B-CB52-4F36-A33C-65AD913E2554}"/>
            </a:ext>
          </a:extLst>
        </xdr:cNvPr>
        <xdr:cNvSpPr/>
      </xdr:nvSpPr>
      <xdr:spPr>
        <a:xfrm rot="16200000">
          <a:off x="10086155" y="8809874"/>
          <a:ext cx="1230775" cy="447250"/>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18</xdr:col>
      <xdr:colOff>193512</xdr:colOff>
      <xdr:row>48</xdr:row>
      <xdr:rowOff>10711</xdr:rowOff>
    </xdr:from>
    <xdr:to>
      <xdr:col>18</xdr:col>
      <xdr:colOff>431537</xdr:colOff>
      <xdr:row>54</xdr:row>
      <xdr:rowOff>113286</xdr:rowOff>
    </xdr:to>
    <xdr:sp macro="" textlink="">
      <xdr:nvSpPr>
        <xdr:cNvPr id="6220" name="Rectangle 141">
          <a:extLst>
            <a:ext uri="{FF2B5EF4-FFF2-40B4-BE49-F238E27FC236}">
              <a16:creationId xmlns:a16="http://schemas.microsoft.com/office/drawing/2014/main" id="{C2D82FC3-CFFD-450A-A215-5CAE562B0862}"/>
            </a:ext>
          </a:extLst>
        </xdr:cNvPr>
        <xdr:cNvSpPr/>
      </xdr:nvSpPr>
      <xdr:spPr>
        <a:xfrm rot="16200000">
          <a:off x="10752344" y="9549629"/>
          <a:ext cx="1245575" cy="238025"/>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19</xdr:col>
      <xdr:colOff>136073</xdr:colOff>
      <xdr:row>48</xdr:row>
      <xdr:rowOff>7535</xdr:rowOff>
    </xdr:from>
    <xdr:to>
      <xdr:col>19</xdr:col>
      <xdr:colOff>519794</xdr:colOff>
      <xdr:row>54</xdr:row>
      <xdr:rowOff>152460</xdr:rowOff>
    </xdr:to>
    <xdr:sp macro="" textlink="">
      <xdr:nvSpPr>
        <xdr:cNvPr id="6222" name="Rectangle 142">
          <a:extLst>
            <a:ext uri="{FF2B5EF4-FFF2-40B4-BE49-F238E27FC236}">
              <a16:creationId xmlns:a16="http://schemas.microsoft.com/office/drawing/2014/main" id="{94E668A9-51AD-4CA5-A7E9-8AFC7CA8E10D}"/>
            </a:ext>
          </a:extLst>
        </xdr:cNvPr>
        <xdr:cNvSpPr/>
      </xdr:nvSpPr>
      <xdr:spPr>
        <a:xfrm rot="16200000">
          <a:off x="11358900" y="9494780"/>
          <a:ext cx="1287925" cy="38372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20</xdr:col>
      <xdr:colOff>167236</xdr:colOff>
      <xdr:row>48</xdr:row>
      <xdr:rowOff>7535</xdr:rowOff>
    </xdr:from>
    <xdr:to>
      <xdr:col>21</xdr:col>
      <xdr:colOff>4886</xdr:colOff>
      <xdr:row>54</xdr:row>
      <xdr:rowOff>152460</xdr:rowOff>
    </xdr:to>
    <xdr:sp macro="" textlink="">
      <xdr:nvSpPr>
        <xdr:cNvPr id="6219" name="Rectangle 143">
          <a:extLst>
            <a:ext uri="{FF2B5EF4-FFF2-40B4-BE49-F238E27FC236}">
              <a16:creationId xmlns:a16="http://schemas.microsoft.com/office/drawing/2014/main" id="{BBAB12A7-0A12-414F-AAED-7D3145B3EEA1}"/>
            </a:ext>
          </a:extLst>
        </xdr:cNvPr>
        <xdr:cNvSpPr/>
      </xdr:nvSpPr>
      <xdr:spPr>
        <a:xfrm rot="16200000">
          <a:off x="12035509" y="9461655"/>
          <a:ext cx="1287925"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21</xdr:col>
      <xdr:colOff>193642</xdr:colOff>
      <xdr:row>48</xdr:row>
      <xdr:rowOff>7535</xdr:rowOff>
    </xdr:from>
    <xdr:to>
      <xdr:col>22</xdr:col>
      <xdr:colOff>31292</xdr:colOff>
      <xdr:row>54</xdr:row>
      <xdr:rowOff>152460</xdr:rowOff>
    </xdr:to>
    <xdr:sp macro="" textlink="">
      <xdr:nvSpPr>
        <xdr:cNvPr id="6221" name="Rectangle 144">
          <a:extLst>
            <a:ext uri="{FF2B5EF4-FFF2-40B4-BE49-F238E27FC236}">
              <a16:creationId xmlns:a16="http://schemas.microsoft.com/office/drawing/2014/main" id="{FA1BADBC-3EB4-4E83-BF28-8A9855645AED}"/>
            </a:ext>
          </a:extLst>
        </xdr:cNvPr>
        <xdr:cNvSpPr/>
      </xdr:nvSpPr>
      <xdr:spPr>
        <a:xfrm rot="16200000">
          <a:off x="12674236" y="9461655"/>
          <a:ext cx="1287925"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22</xdr:col>
      <xdr:colOff>384013</xdr:colOff>
      <xdr:row>48</xdr:row>
      <xdr:rowOff>1187</xdr:rowOff>
    </xdr:from>
    <xdr:to>
      <xdr:col>23</xdr:col>
      <xdr:colOff>12438</xdr:colOff>
      <xdr:row>54</xdr:row>
      <xdr:rowOff>103762</xdr:rowOff>
    </xdr:to>
    <xdr:sp macro="" textlink="">
      <xdr:nvSpPr>
        <xdr:cNvPr id="6233" name="Rectangle 145">
          <a:extLst>
            <a:ext uri="{FF2B5EF4-FFF2-40B4-BE49-F238E27FC236}">
              <a16:creationId xmlns:a16="http://schemas.microsoft.com/office/drawing/2014/main" id="{07408BC3-8652-4154-9AE1-E78DD77BFB73}"/>
            </a:ext>
          </a:extLst>
        </xdr:cNvPr>
        <xdr:cNvSpPr/>
      </xdr:nvSpPr>
      <xdr:spPr>
        <a:xfrm rot="16200000">
          <a:off x="13393491" y="9538745"/>
          <a:ext cx="1245575" cy="24074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23</xdr:col>
      <xdr:colOff>326577</xdr:colOff>
      <xdr:row>48</xdr:row>
      <xdr:rowOff>1187</xdr:rowOff>
    </xdr:from>
    <xdr:to>
      <xdr:col>24</xdr:col>
      <xdr:colOff>88451</xdr:colOff>
      <xdr:row>54</xdr:row>
      <xdr:rowOff>142937</xdr:rowOff>
    </xdr:to>
    <xdr:sp macro="" textlink="">
      <xdr:nvSpPr>
        <xdr:cNvPr id="6231" name="Rectangle 146">
          <a:extLst>
            <a:ext uri="{FF2B5EF4-FFF2-40B4-BE49-F238E27FC236}">
              <a16:creationId xmlns:a16="http://schemas.microsoft.com/office/drawing/2014/main" id="{49EA7DE0-86C5-423F-805D-B0B970CD7616}"/>
            </a:ext>
          </a:extLst>
        </xdr:cNvPr>
        <xdr:cNvSpPr/>
      </xdr:nvSpPr>
      <xdr:spPr>
        <a:xfrm rot="16200000">
          <a:off x="13995514" y="9491607"/>
          <a:ext cx="1284750" cy="3741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24</xdr:col>
      <xdr:colOff>357737</xdr:colOff>
      <xdr:row>47</xdr:row>
      <xdr:rowOff>178986</xdr:rowOff>
    </xdr:from>
    <xdr:to>
      <xdr:col>25</xdr:col>
      <xdr:colOff>195387</xdr:colOff>
      <xdr:row>54</xdr:row>
      <xdr:rowOff>142936</xdr:rowOff>
    </xdr:to>
    <xdr:sp macro="" textlink="">
      <xdr:nvSpPr>
        <xdr:cNvPr id="6234" name="Rectangle 147">
          <a:extLst>
            <a:ext uri="{FF2B5EF4-FFF2-40B4-BE49-F238E27FC236}">
              <a16:creationId xmlns:a16="http://schemas.microsoft.com/office/drawing/2014/main" id="{FD5CEDC0-99AE-4234-9A3E-BA8FAD91792A}"/>
            </a:ext>
          </a:extLst>
        </xdr:cNvPr>
        <xdr:cNvSpPr/>
      </xdr:nvSpPr>
      <xdr:spPr>
        <a:xfrm rot="16200000">
          <a:off x="14670534" y="9447368"/>
          <a:ext cx="1297450"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25</xdr:col>
      <xdr:colOff>384143</xdr:colOff>
      <xdr:row>47</xdr:row>
      <xdr:rowOff>178986</xdr:rowOff>
    </xdr:from>
    <xdr:to>
      <xdr:col>26</xdr:col>
      <xdr:colOff>221793</xdr:colOff>
      <xdr:row>54</xdr:row>
      <xdr:rowOff>142936</xdr:rowOff>
    </xdr:to>
    <xdr:sp macro="" textlink="">
      <xdr:nvSpPr>
        <xdr:cNvPr id="6232" name="Rectangle 148">
          <a:extLst>
            <a:ext uri="{FF2B5EF4-FFF2-40B4-BE49-F238E27FC236}">
              <a16:creationId xmlns:a16="http://schemas.microsoft.com/office/drawing/2014/main" id="{5D33498A-A18E-4C05-9D7F-75B6D04CAA72}"/>
            </a:ext>
          </a:extLst>
        </xdr:cNvPr>
        <xdr:cNvSpPr/>
      </xdr:nvSpPr>
      <xdr:spPr>
        <a:xfrm rot="16200000">
          <a:off x="15309261" y="9447368"/>
          <a:ext cx="1297450"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26</xdr:col>
      <xdr:colOff>490149</xdr:colOff>
      <xdr:row>47</xdr:row>
      <xdr:rowOff>172638</xdr:rowOff>
    </xdr:from>
    <xdr:to>
      <xdr:col>27</xdr:col>
      <xdr:colOff>118574</xdr:colOff>
      <xdr:row>54</xdr:row>
      <xdr:rowOff>97413</xdr:rowOff>
    </xdr:to>
    <xdr:sp macro="" textlink="">
      <xdr:nvSpPr>
        <xdr:cNvPr id="6235" name="Rectangle 149">
          <a:extLst>
            <a:ext uri="{FF2B5EF4-FFF2-40B4-BE49-F238E27FC236}">
              <a16:creationId xmlns:a16="http://schemas.microsoft.com/office/drawing/2014/main" id="{17917863-308E-4270-9025-FE54A1C46FE6}"/>
            </a:ext>
          </a:extLst>
        </xdr:cNvPr>
        <xdr:cNvSpPr/>
      </xdr:nvSpPr>
      <xdr:spPr>
        <a:xfrm rot="16200000">
          <a:off x="15942563" y="9526046"/>
          <a:ext cx="1258275" cy="24074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Input</a:t>
          </a:r>
          <a:r>
            <a:rPr lang="en-GB" sz="1200" i="1">
              <a:solidFill>
                <a:schemeClr val="tx1"/>
              </a:solidFill>
            </a:rPr>
            <a:t> n</a:t>
          </a:r>
        </a:p>
      </xdr:txBody>
    </xdr:sp>
    <xdr:clientData/>
  </xdr:twoCellAnchor>
  <xdr:twoCellAnchor>
    <xdr:from>
      <xdr:col>27</xdr:col>
      <xdr:colOff>470810</xdr:colOff>
      <xdr:row>47</xdr:row>
      <xdr:rowOff>172638</xdr:rowOff>
    </xdr:from>
    <xdr:to>
      <xdr:col>28</xdr:col>
      <xdr:colOff>270785</xdr:colOff>
      <xdr:row>54</xdr:row>
      <xdr:rowOff>130238</xdr:rowOff>
    </xdr:to>
    <xdr:sp macro="" textlink="">
      <xdr:nvSpPr>
        <xdr:cNvPr id="6236" name="Rectangle 150">
          <a:extLst>
            <a:ext uri="{FF2B5EF4-FFF2-40B4-BE49-F238E27FC236}">
              <a16:creationId xmlns:a16="http://schemas.microsoft.com/office/drawing/2014/main" id="{647F7AF5-7773-4C48-98CE-A8BD145C7B3F}"/>
            </a:ext>
          </a:extLst>
        </xdr:cNvPr>
        <xdr:cNvSpPr/>
      </xdr:nvSpPr>
      <xdr:spPr>
        <a:xfrm rot="16200000">
          <a:off x="16604908" y="9456683"/>
          <a:ext cx="1291100" cy="4122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28</xdr:col>
      <xdr:colOff>463873</xdr:colOff>
      <xdr:row>47</xdr:row>
      <xdr:rowOff>172637</xdr:rowOff>
    </xdr:from>
    <xdr:to>
      <xdr:col>29</xdr:col>
      <xdr:colOff>301523</xdr:colOff>
      <xdr:row>54</xdr:row>
      <xdr:rowOff>130237</xdr:rowOff>
    </xdr:to>
    <xdr:sp macro="" textlink="">
      <xdr:nvSpPr>
        <xdr:cNvPr id="6237" name="Rectangle 151">
          <a:extLst>
            <a:ext uri="{FF2B5EF4-FFF2-40B4-BE49-F238E27FC236}">
              <a16:creationId xmlns:a16="http://schemas.microsoft.com/office/drawing/2014/main" id="{B2813229-F055-45A4-9C48-B3B4BA3D5B05}"/>
            </a:ext>
          </a:extLst>
        </xdr:cNvPr>
        <xdr:cNvSpPr/>
      </xdr:nvSpPr>
      <xdr:spPr>
        <a:xfrm rot="16200000">
          <a:off x="17229130" y="9437844"/>
          <a:ext cx="1291100" cy="449972"/>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efficiency</a:t>
          </a:r>
        </a:p>
      </xdr:txBody>
    </xdr:sp>
    <xdr:clientData/>
  </xdr:twoCellAnchor>
  <xdr:twoCellAnchor>
    <xdr:from>
      <xdr:col>29</xdr:col>
      <xdr:colOff>490279</xdr:colOff>
      <xdr:row>47</xdr:row>
      <xdr:rowOff>172637</xdr:rowOff>
    </xdr:from>
    <xdr:to>
      <xdr:col>30</xdr:col>
      <xdr:colOff>327929</xdr:colOff>
      <xdr:row>54</xdr:row>
      <xdr:rowOff>130237</xdr:rowOff>
    </xdr:to>
    <xdr:sp macro="" textlink="">
      <xdr:nvSpPr>
        <xdr:cNvPr id="6238" name="Rectangle 152">
          <a:extLst>
            <a:ext uri="{FF2B5EF4-FFF2-40B4-BE49-F238E27FC236}">
              <a16:creationId xmlns:a16="http://schemas.microsoft.com/office/drawing/2014/main" id="{80B6210C-0F37-4EC1-BA97-6A37CD1388A5}"/>
            </a:ext>
          </a:extLst>
        </xdr:cNvPr>
        <xdr:cNvSpPr/>
      </xdr:nvSpPr>
      <xdr:spPr>
        <a:xfrm rot="16200000">
          <a:off x="17867858" y="9437844"/>
          <a:ext cx="1291100" cy="449971"/>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Cumulative Allocation Factor</a:t>
          </a:r>
        </a:p>
      </xdr:txBody>
    </xdr:sp>
    <xdr:clientData/>
  </xdr:twoCellAnchor>
  <xdr:twoCellAnchor>
    <xdr:from>
      <xdr:col>14</xdr:col>
      <xdr:colOff>333374</xdr:colOff>
      <xdr:row>50</xdr:row>
      <xdr:rowOff>69848</xdr:rowOff>
    </xdr:from>
    <xdr:to>
      <xdr:col>15</xdr:col>
      <xdr:colOff>65858</xdr:colOff>
      <xdr:row>51</xdr:row>
      <xdr:rowOff>107580</xdr:rowOff>
    </xdr:to>
    <xdr:sp macro="" textlink="">
      <xdr:nvSpPr>
        <xdr:cNvPr id="6348" name="Rectangle 153">
          <a:extLst>
            <a:ext uri="{FF2B5EF4-FFF2-40B4-BE49-F238E27FC236}">
              <a16:creationId xmlns:a16="http://schemas.microsoft.com/office/drawing/2014/main" id="{38448F37-011E-4565-8A23-3A9CC43C6123}"/>
            </a:ext>
          </a:extLst>
        </xdr:cNvPr>
        <xdr:cNvSpPr/>
      </xdr:nvSpPr>
      <xdr:spPr>
        <a:xfrm>
          <a:off x="8867774" y="88233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15</xdr:col>
      <xdr:colOff>384174</xdr:colOff>
      <xdr:row>50</xdr:row>
      <xdr:rowOff>38098</xdr:rowOff>
    </xdr:from>
    <xdr:to>
      <xdr:col>16</xdr:col>
      <xdr:colOff>116658</xdr:colOff>
      <xdr:row>51</xdr:row>
      <xdr:rowOff>75830</xdr:rowOff>
    </xdr:to>
    <xdr:sp macro="" textlink="">
      <xdr:nvSpPr>
        <xdr:cNvPr id="6351" name="Rectangle 154">
          <a:extLst>
            <a:ext uri="{FF2B5EF4-FFF2-40B4-BE49-F238E27FC236}">
              <a16:creationId xmlns:a16="http://schemas.microsoft.com/office/drawing/2014/main" id="{2F7611C6-8930-469A-82EF-9C6F64D8CC54}"/>
            </a:ext>
          </a:extLst>
        </xdr:cNvPr>
        <xdr:cNvSpPr/>
      </xdr:nvSpPr>
      <xdr:spPr>
        <a:xfrm>
          <a:off x="9528174" y="879157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16</xdr:col>
      <xdr:colOff>488949</xdr:colOff>
      <xdr:row>50</xdr:row>
      <xdr:rowOff>31748</xdr:rowOff>
    </xdr:from>
    <xdr:to>
      <xdr:col>17</xdr:col>
      <xdr:colOff>221433</xdr:colOff>
      <xdr:row>51</xdr:row>
      <xdr:rowOff>69480</xdr:rowOff>
    </xdr:to>
    <xdr:sp macro="" textlink="">
      <xdr:nvSpPr>
        <xdr:cNvPr id="6354" name="Rectangle 155">
          <a:extLst>
            <a:ext uri="{FF2B5EF4-FFF2-40B4-BE49-F238E27FC236}">
              <a16:creationId xmlns:a16="http://schemas.microsoft.com/office/drawing/2014/main" id="{EBAE5F18-3DF9-4230-BD86-7574E89559F1}"/>
            </a:ext>
          </a:extLst>
        </xdr:cNvPr>
        <xdr:cNvSpPr/>
      </xdr:nvSpPr>
      <xdr:spPr>
        <a:xfrm>
          <a:off x="10242549" y="8785223"/>
          <a:ext cx="342084" cy="2187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18</xdr:col>
      <xdr:colOff>472169</xdr:colOff>
      <xdr:row>50</xdr:row>
      <xdr:rowOff>19048</xdr:rowOff>
    </xdr:from>
    <xdr:to>
      <xdr:col>19</xdr:col>
      <xdr:colOff>201931</xdr:colOff>
      <xdr:row>51</xdr:row>
      <xdr:rowOff>56780</xdr:rowOff>
    </xdr:to>
    <xdr:sp macro="" textlink="">
      <xdr:nvSpPr>
        <xdr:cNvPr id="6357" name="Rectangle 156">
          <a:extLst>
            <a:ext uri="{FF2B5EF4-FFF2-40B4-BE49-F238E27FC236}">
              <a16:creationId xmlns:a16="http://schemas.microsoft.com/office/drawing/2014/main" id="{C3E16CC0-1AA9-40B1-B126-4F805695B2D0}"/>
            </a:ext>
          </a:extLst>
        </xdr:cNvPr>
        <xdr:cNvSpPr/>
      </xdr:nvSpPr>
      <xdr:spPr>
        <a:xfrm>
          <a:off x="11534776" y="943519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19</xdr:col>
      <xdr:colOff>475343</xdr:colOff>
      <xdr:row>50</xdr:row>
      <xdr:rowOff>28573</xdr:rowOff>
    </xdr:from>
    <xdr:to>
      <xdr:col>20</xdr:col>
      <xdr:colOff>205106</xdr:colOff>
      <xdr:row>51</xdr:row>
      <xdr:rowOff>66305</xdr:rowOff>
    </xdr:to>
    <xdr:sp macro="" textlink="">
      <xdr:nvSpPr>
        <xdr:cNvPr id="6363" name="Rectangle 157">
          <a:extLst>
            <a:ext uri="{FF2B5EF4-FFF2-40B4-BE49-F238E27FC236}">
              <a16:creationId xmlns:a16="http://schemas.microsoft.com/office/drawing/2014/main" id="{3A17F92F-5FF9-4FEB-964D-43C00294FFE6}"/>
            </a:ext>
          </a:extLst>
        </xdr:cNvPr>
        <xdr:cNvSpPr/>
      </xdr:nvSpPr>
      <xdr:spPr>
        <a:xfrm>
          <a:off x="12150272" y="944471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20</xdr:col>
      <xdr:colOff>557893</xdr:colOff>
      <xdr:row>50</xdr:row>
      <xdr:rowOff>12698</xdr:rowOff>
    </xdr:from>
    <xdr:to>
      <xdr:col>21</xdr:col>
      <xdr:colOff>287656</xdr:colOff>
      <xdr:row>51</xdr:row>
      <xdr:rowOff>50430</xdr:rowOff>
    </xdr:to>
    <xdr:sp macro="" textlink="">
      <xdr:nvSpPr>
        <xdr:cNvPr id="6366" name="Rectangle 159">
          <a:extLst>
            <a:ext uri="{FF2B5EF4-FFF2-40B4-BE49-F238E27FC236}">
              <a16:creationId xmlns:a16="http://schemas.microsoft.com/office/drawing/2014/main" id="{1743B89F-A0A4-4817-B29D-CC0220853745}"/>
            </a:ext>
          </a:extLst>
        </xdr:cNvPr>
        <xdr:cNvSpPr/>
      </xdr:nvSpPr>
      <xdr:spPr>
        <a:xfrm>
          <a:off x="12845143" y="942884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23</xdr:col>
      <xdr:colOff>2722</xdr:colOff>
      <xdr:row>50</xdr:row>
      <xdr:rowOff>9523</xdr:rowOff>
    </xdr:from>
    <xdr:to>
      <xdr:col>23</xdr:col>
      <xdr:colOff>344806</xdr:colOff>
      <xdr:row>51</xdr:row>
      <xdr:rowOff>47255</xdr:rowOff>
    </xdr:to>
    <xdr:sp macro="" textlink="">
      <xdr:nvSpPr>
        <xdr:cNvPr id="6369" name="Rectangle 160">
          <a:extLst>
            <a:ext uri="{FF2B5EF4-FFF2-40B4-BE49-F238E27FC236}">
              <a16:creationId xmlns:a16="http://schemas.microsoft.com/office/drawing/2014/main" id="{BAB7C82F-2BFD-4058-BC54-A8B9A5C0FE0E}"/>
            </a:ext>
          </a:extLst>
        </xdr:cNvPr>
        <xdr:cNvSpPr/>
      </xdr:nvSpPr>
      <xdr:spPr>
        <a:xfrm>
          <a:off x="14126936" y="942566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24</xdr:col>
      <xdr:colOff>69397</xdr:colOff>
      <xdr:row>50</xdr:row>
      <xdr:rowOff>3173</xdr:rowOff>
    </xdr:from>
    <xdr:to>
      <xdr:col>24</xdr:col>
      <xdr:colOff>411481</xdr:colOff>
      <xdr:row>51</xdr:row>
      <xdr:rowOff>40905</xdr:rowOff>
    </xdr:to>
    <xdr:sp macro="" textlink="">
      <xdr:nvSpPr>
        <xdr:cNvPr id="6372" name="Rectangle 161">
          <a:extLst>
            <a:ext uri="{FF2B5EF4-FFF2-40B4-BE49-F238E27FC236}">
              <a16:creationId xmlns:a16="http://schemas.microsoft.com/office/drawing/2014/main" id="{9A51A4DE-2919-46E3-8C50-DD7750E50C0B}"/>
            </a:ext>
          </a:extLst>
        </xdr:cNvPr>
        <xdr:cNvSpPr/>
      </xdr:nvSpPr>
      <xdr:spPr>
        <a:xfrm>
          <a:off x="14805933" y="9419316"/>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25</xdr:col>
      <xdr:colOff>139247</xdr:colOff>
      <xdr:row>50</xdr:row>
      <xdr:rowOff>3173</xdr:rowOff>
    </xdr:from>
    <xdr:to>
      <xdr:col>25</xdr:col>
      <xdr:colOff>484053</xdr:colOff>
      <xdr:row>51</xdr:row>
      <xdr:rowOff>40905</xdr:rowOff>
    </xdr:to>
    <xdr:sp macro="" textlink="">
      <xdr:nvSpPr>
        <xdr:cNvPr id="6375" name="Rectangle 162">
          <a:extLst>
            <a:ext uri="{FF2B5EF4-FFF2-40B4-BE49-F238E27FC236}">
              <a16:creationId xmlns:a16="http://schemas.microsoft.com/office/drawing/2014/main" id="{72F7ED32-465A-4B18-9C00-5CC26A327B6A}"/>
            </a:ext>
          </a:extLst>
        </xdr:cNvPr>
        <xdr:cNvSpPr/>
      </xdr:nvSpPr>
      <xdr:spPr>
        <a:xfrm>
          <a:off x="15488104" y="9419316"/>
          <a:ext cx="344806"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27</xdr:col>
      <xdr:colOff>159657</xdr:colOff>
      <xdr:row>50</xdr:row>
      <xdr:rowOff>22223</xdr:rowOff>
    </xdr:from>
    <xdr:to>
      <xdr:col>27</xdr:col>
      <xdr:colOff>501741</xdr:colOff>
      <xdr:row>51</xdr:row>
      <xdr:rowOff>56780</xdr:rowOff>
    </xdr:to>
    <xdr:sp macro="" textlink="">
      <xdr:nvSpPr>
        <xdr:cNvPr id="6378" name="Rectangle 163">
          <a:extLst>
            <a:ext uri="{FF2B5EF4-FFF2-40B4-BE49-F238E27FC236}">
              <a16:creationId xmlns:a16="http://schemas.microsoft.com/office/drawing/2014/main" id="{F13DC197-ED64-46FF-A6FA-AC4ACEB3504F}"/>
            </a:ext>
          </a:extLst>
        </xdr:cNvPr>
        <xdr:cNvSpPr/>
      </xdr:nvSpPr>
      <xdr:spPr>
        <a:xfrm>
          <a:off x="16733157" y="9438366"/>
          <a:ext cx="342084" cy="225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28</xdr:col>
      <xdr:colOff>166007</xdr:colOff>
      <xdr:row>50</xdr:row>
      <xdr:rowOff>12698</xdr:rowOff>
    </xdr:from>
    <xdr:to>
      <xdr:col>28</xdr:col>
      <xdr:colOff>508091</xdr:colOff>
      <xdr:row>51</xdr:row>
      <xdr:rowOff>50430</xdr:rowOff>
    </xdr:to>
    <xdr:sp macro="" textlink="">
      <xdr:nvSpPr>
        <xdr:cNvPr id="6381" name="Rectangle 164">
          <a:extLst>
            <a:ext uri="{FF2B5EF4-FFF2-40B4-BE49-F238E27FC236}">
              <a16:creationId xmlns:a16="http://schemas.microsoft.com/office/drawing/2014/main" id="{C7856B3B-B12F-42BF-897C-27645072D5EC}"/>
            </a:ext>
          </a:extLst>
        </xdr:cNvPr>
        <xdr:cNvSpPr/>
      </xdr:nvSpPr>
      <xdr:spPr>
        <a:xfrm>
          <a:off x="17351828" y="9428841"/>
          <a:ext cx="342084" cy="2282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29</xdr:col>
      <xdr:colOff>232682</xdr:colOff>
      <xdr:row>49</xdr:row>
      <xdr:rowOff>180973</xdr:rowOff>
    </xdr:from>
    <xdr:to>
      <xdr:col>29</xdr:col>
      <xdr:colOff>577487</xdr:colOff>
      <xdr:row>51</xdr:row>
      <xdr:rowOff>37730</xdr:rowOff>
    </xdr:to>
    <xdr:sp macro="" textlink="">
      <xdr:nvSpPr>
        <xdr:cNvPr id="6382" name="Rectangle 165">
          <a:extLst>
            <a:ext uri="{FF2B5EF4-FFF2-40B4-BE49-F238E27FC236}">
              <a16:creationId xmlns:a16="http://schemas.microsoft.com/office/drawing/2014/main" id="{477D6D0E-9B66-4EE1-9298-42730AA6122D}"/>
            </a:ext>
          </a:extLst>
        </xdr:cNvPr>
        <xdr:cNvSpPr/>
      </xdr:nvSpPr>
      <xdr:spPr>
        <a:xfrm>
          <a:off x="18030825" y="9406616"/>
          <a:ext cx="344805" cy="2377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14</xdr:col>
      <xdr:colOff>38099</xdr:colOff>
      <xdr:row>54</xdr:row>
      <xdr:rowOff>173649</xdr:rowOff>
    </xdr:from>
    <xdr:to>
      <xdr:col>17</xdr:col>
      <xdr:colOff>588899</xdr:colOff>
      <xdr:row>56</xdr:row>
      <xdr:rowOff>76199</xdr:rowOff>
    </xdr:to>
    <xdr:sp macro="" textlink="">
      <xdr:nvSpPr>
        <xdr:cNvPr id="6440" name="Right Brace 167">
          <a:extLst>
            <a:ext uri="{FF2B5EF4-FFF2-40B4-BE49-F238E27FC236}">
              <a16:creationId xmlns:a16="http://schemas.microsoft.com/office/drawing/2014/main" id="{B8ABE2CB-5AE1-4190-8CC3-500D59E57A40}"/>
            </a:ext>
          </a:extLst>
        </xdr:cNvPr>
        <xdr:cNvSpPr/>
      </xdr:nvSpPr>
      <xdr:spPr>
        <a:xfrm rot="16200000" flipV="1">
          <a:off x="9630049" y="8593474"/>
          <a:ext cx="264500" cy="2379600"/>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18</xdr:col>
      <xdr:colOff>174172</xdr:colOff>
      <xdr:row>54</xdr:row>
      <xdr:rowOff>179999</xdr:rowOff>
    </xdr:from>
    <xdr:to>
      <xdr:col>22</xdr:col>
      <xdr:colOff>115372</xdr:colOff>
      <xdr:row>56</xdr:row>
      <xdr:rowOff>88899</xdr:rowOff>
    </xdr:to>
    <xdr:sp macro="" textlink="">
      <xdr:nvSpPr>
        <xdr:cNvPr id="6443" name="Right Brace 168">
          <a:extLst>
            <a:ext uri="{FF2B5EF4-FFF2-40B4-BE49-F238E27FC236}">
              <a16:creationId xmlns:a16="http://schemas.microsoft.com/office/drawing/2014/main" id="{3ADAFD78-B28D-4A22-B9BF-2DCFD59F0C49}"/>
            </a:ext>
          </a:extLst>
        </xdr:cNvPr>
        <xdr:cNvSpPr/>
      </xdr:nvSpPr>
      <xdr:spPr>
        <a:xfrm rot="16200000" flipV="1">
          <a:off x="12287072" y="9307849"/>
          <a:ext cx="289900"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22</xdr:col>
      <xdr:colOff>355147</xdr:colOff>
      <xdr:row>54</xdr:row>
      <xdr:rowOff>173649</xdr:rowOff>
    </xdr:from>
    <xdr:to>
      <xdr:col>26</xdr:col>
      <xdr:colOff>296347</xdr:colOff>
      <xdr:row>56</xdr:row>
      <xdr:rowOff>76199</xdr:rowOff>
    </xdr:to>
    <xdr:sp macro="" textlink="">
      <xdr:nvSpPr>
        <xdr:cNvPr id="6446" name="Right Brace 169">
          <a:extLst>
            <a:ext uri="{FF2B5EF4-FFF2-40B4-BE49-F238E27FC236}">
              <a16:creationId xmlns:a16="http://schemas.microsoft.com/office/drawing/2014/main" id="{19F29A92-A06E-4F54-83F3-3CFF35327F62}"/>
            </a:ext>
          </a:extLst>
        </xdr:cNvPr>
        <xdr:cNvSpPr/>
      </xdr:nvSpPr>
      <xdr:spPr>
        <a:xfrm rot="16200000" flipV="1">
          <a:off x="14920508" y="9298324"/>
          <a:ext cx="283550" cy="2390486"/>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26</xdr:col>
      <xdr:colOff>490311</xdr:colOff>
      <xdr:row>54</xdr:row>
      <xdr:rowOff>173649</xdr:rowOff>
    </xdr:from>
    <xdr:to>
      <xdr:col>30</xdr:col>
      <xdr:colOff>428790</xdr:colOff>
      <xdr:row>56</xdr:row>
      <xdr:rowOff>76199</xdr:rowOff>
    </xdr:to>
    <xdr:sp macro="" textlink="">
      <xdr:nvSpPr>
        <xdr:cNvPr id="6447" name="Right Brace 170">
          <a:extLst>
            <a:ext uri="{FF2B5EF4-FFF2-40B4-BE49-F238E27FC236}">
              <a16:creationId xmlns:a16="http://schemas.microsoft.com/office/drawing/2014/main" id="{2C999773-1A5F-4095-8587-3099159CDAB4}"/>
            </a:ext>
          </a:extLst>
        </xdr:cNvPr>
        <xdr:cNvSpPr/>
      </xdr:nvSpPr>
      <xdr:spPr>
        <a:xfrm rot="16200000" flipV="1">
          <a:off x="17503597" y="9299685"/>
          <a:ext cx="283550" cy="2387764"/>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14</xdr:col>
      <xdr:colOff>85724</xdr:colOff>
      <xdr:row>56</xdr:row>
      <xdr:rowOff>76198</xdr:rowOff>
    </xdr:from>
    <xdr:to>
      <xdr:col>17</xdr:col>
      <xdr:colOff>448855</xdr:colOff>
      <xdr:row>58</xdr:row>
      <xdr:rowOff>150856</xdr:rowOff>
    </xdr:to>
    <xdr:sp macro="" textlink="">
      <xdr:nvSpPr>
        <xdr:cNvPr id="6578" name="Rectangle 171">
          <a:extLst>
            <a:ext uri="{FF2B5EF4-FFF2-40B4-BE49-F238E27FC236}">
              <a16:creationId xmlns:a16="http://schemas.microsoft.com/office/drawing/2014/main" id="{A26F2E9E-2DEB-46BF-AE46-E427D99F7345}"/>
            </a:ext>
          </a:extLst>
        </xdr:cNvPr>
        <xdr:cNvSpPr/>
      </xdr:nvSpPr>
      <xdr:spPr>
        <a:xfrm>
          <a:off x="8620124" y="9915523"/>
          <a:ext cx="2191931" cy="43660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18</xdr:col>
      <xdr:colOff>269422</xdr:colOff>
      <xdr:row>56</xdr:row>
      <xdr:rowOff>76198</xdr:rowOff>
    </xdr:from>
    <xdr:to>
      <xdr:col>22</xdr:col>
      <xdr:colOff>22953</xdr:colOff>
      <xdr:row>58</xdr:row>
      <xdr:rowOff>150856</xdr:rowOff>
    </xdr:to>
    <xdr:sp macro="" textlink="">
      <xdr:nvSpPr>
        <xdr:cNvPr id="6577" name="Rectangle 172">
          <a:extLst>
            <a:ext uri="{FF2B5EF4-FFF2-40B4-BE49-F238E27FC236}">
              <a16:creationId xmlns:a16="http://schemas.microsoft.com/office/drawing/2014/main" id="{F01FCFA1-DFDF-4036-9096-8EA13A0EFFC1}"/>
            </a:ext>
          </a:extLst>
        </xdr:cNvPr>
        <xdr:cNvSpPr/>
      </xdr:nvSpPr>
      <xdr:spPr>
        <a:xfrm>
          <a:off x="11332029" y="10635341"/>
          <a:ext cx="2202817"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22</xdr:col>
      <xdr:colOff>462644</xdr:colOff>
      <xdr:row>56</xdr:row>
      <xdr:rowOff>76198</xdr:rowOff>
    </xdr:from>
    <xdr:to>
      <xdr:col>26</xdr:col>
      <xdr:colOff>213454</xdr:colOff>
      <xdr:row>58</xdr:row>
      <xdr:rowOff>150856</xdr:rowOff>
    </xdr:to>
    <xdr:sp macro="" textlink="">
      <xdr:nvSpPr>
        <xdr:cNvPr id="6576" name="Rectangle 173">
          <a:extLst>
            <a:ext uri="{FF2B5EF4-FFF2-40B4-BE49-F238E27FC236}">
              <a16:creationId xmlns:a16="http://schemas.microsoft.com/office/drawing/2014/main" id="{D80E76DB-30C2-4E11-A070-B32161C4012F}"/>
            </a:ext>
          </a:extLst>
        </xdr:cNvPr>
        <xdr:cNvSpPr/>
      </xdr:nvSpPr>
      <xdr:spPr>
        <a:xfrm>
          <a:off x="13974537" y="10635341"/>
          <a:ext cx="2200096"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26</xdr:col>
      <xdr:colOff>572862</xdr:colOff>
      <xdr:row>56</xdr:row>
      <xdr:rowOff>76198</xdr:rowOff>
    </xdr:from>
    <xdr:to>
      <xdr:col>30</xdr:col>
      <xdr:colOff>323672</xdr:colOff>
      <xdr:row>58</xdr:row>
      <xdr:rowOff>150856</xdr:rowOff>
    </xdr:to>
    <xdr:sp macro="" textlink="">
      <xdr:nvSpPr>
        <xdr:cNvPr id="6590" name="Rectangle 174">
          <a:extLst>
            <a:ext uri="{FF2B5EF4-FFF2-40B4-BE49-F238E27FC236}">
              <a16:creationId xmlns:a16="http://schemas.microsoft.com/office/drawing/2014/main" id="{C3E66143-F67E-4E8E-BBDE-F8BBC4E98FD0}"/>
            </a:ext>
          </a:extLst>
        </xdr:cNvPr>
        <xdr:cNvSpPr/>
      </xdr:nvSpPr>
      <xdr:spPr>
        <a:xfrm>
          <a:off x="16534041" y="10635341"/>
          <a:ext cx="2200095"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&amp; Foreground data </a:t>
          </a:r>
          <a:endParaRPr lang="en-GB" sz="1200" i="1">
            <a:solidFill>
              <a:schemeClr val="tx1"/>
            </a:solidFill>
          </a:endParaRPr>
        </a:p>
      </xdr:txBody>
    </xdr:sp>
    <xdr:clientData/>
  </xdr:twoCellAnchor>
  <xdr:twoCellAnchor>
    <xdr:from>
      <xdr:col>26</xdr:col>
      <xdr:colOff>522735</xdr:colOff>
      <xdr:row>34</xdr:row>
      <xdr:rowOff>97582</xdr:rowOff>
    </xdr:from>
    <xdr:to>
      <xdr:col>30</xdr:col>
      <xdr:colOff>468442</xdr:colOff>
      <xdr:row>37</xdr:row>
      <xdr:rowOff>29508</xdr:rowOff>
    </xdr:to>
    <xdr:sp macro="" textlink="">
      <xdr:nvSpPr>
        <xdr:cNvPr id="6458" name="TextBox 52">
          <a:extLst>
            <a:ext uri="{FF2B5EF4-FFF2-40B4-BE49-F238E27FC236}">
              <a16:creationId xmlns:a16="http://schemas.microsoft.com/office/drawing/2014/main" id="{8F010B29-2211-412E-A45E-2DB5FB3BDF98}"/>
            </a:ext>
          </a:extLst>
        </xdr:cNvPr>
        <xdr:cNvSpPr txBox="1"/>
      </xdr:nvSpPr>
      <xdr:spPr>
        <a:xfrm>
          <a:off x="16434169" y="6296639"/>
          <a:ext cx="2381609" cy="4940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is unlikely</a:t>
          </a:r>
          <a:r>
            <a:rPr lang="en-GB" sz="1100" baseline="0"/>
            <a:t> to be </a:t>
          </a:r>
          <a:r>
            <a:rPr lang="en-GB" sz="1100"/>
            <a:t>compliant</a:t>
          </a:r>
          <a:r>
            <a:rPr lang="en-GB" sz="1100" baseline="0"/>
            <a:t> with the GHG emissions threshold.</a:t>
          </a:r>
          <a:endParaRPr lang="en-GB" sz="1100"/>
        </a:p>
      </xdr:txBody>
    </xdr:sp>
    <xdr:clientData/>
  </xdr:twoCellAnchor>
  <xdr:twoCellAnchor>
    <xdr:from>
      <xdr:col>8</xdr:col>
      <xdr:colOff>204375</xdr:colOff>
      <xdr:row>31</xdr:row>
      <xdr:rowOff>179906</xdr:rowOff>
    </xdr:from>
    <xdr:to>
      <xdr:col>11</xdr:col>
      <xdr:colOff>505446</xdr:colOff>
      <xdr:row>33</xdr:row>
      <xdr:rowOff>128103</xdr:rowOff>
    </xdr:to>
    <xdr:sp macro="" textlink="">
      <xdr:nvSpPr>
        <xdr:cNvPr id="165" name="TextBox 54">
          <a:extLst>
            <a:ext uri="{FF2B5EF4-FFF2-40B4-BE49-F238E27FC236}">
              <a16:creationId xmlns:a16="http://schemas.microsoft.com/office/drawing/2014/main" id="{BA6A9B9D-8540-4B85-9E4E-38C5E13465E0}"/>
            </a:ext>
          </a:extLst>
        </xdr:cNvPr>
        <xdr:cNvSpPr txBox="1"/>
      </xdr:nvSpPr>
      <xdr:spPr>
        <a:xfrm>
          <a:off x="5130436" y="5885285"/>
          <a:ext cx="2119480" cy="31380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Pathway cumulative efficiency.</a:t>
          </a:r>
        </a:p>
      </xdr:txBody>
    </xdr:sp>
    <xdr:clientData/>
  </xdr:twoCellAnchor>
  <xdr:twoCellAnchor>
    <xdr:from>
      <xdr:col>8</xdr:col>
      <xdr:colOff>585619</xdr:colOff>
      <xdr:row>29</xdr:row>
      <xdr:rowOff>153920</xdr:rowOff>
    </xdr:from>
    <xdr:to>
      <xdr:col>10</xdr:col>
      <xdr:colOff>372299</xdr:colOff>
      <xdr:row>31</xdr:row>
      <xdr:rowOff>64226</xdr:rowOff>
    </xdr:to>
    <xdr:sp macro="" textlink="">
      <xdr:nvSpPr>
        <xdr:cNvPr id="171" name="Rectangle 53">
          <a:extLst>
            <a:ext uri="{FF2B5EF4-FFF2-40B4-BE49-F238E27FC236}">
              <a16:creationId xmlns:a16="http://schemas.microsoft.com/office/drawing/2014/main" id="{EBACE01B-1BD7-4948-8A34-D475CBEDCDB6}"/>
            </a:ext>
          </a:extLst>
        </xdr:cNvPr>
        <xdr:cNvSpPr/>
      </xdr:nvSpPr>
      <xdr:spPr>
        <a:xfrm>
          <a:off x="5535496" y="5603469"/>
          <a:ext cx="1004631" cy="28506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273942</xdr:colOff>
      <xdr:row>10</xdr:row>
      <xdr:rowOff>161925</xdr:rowOff>
    </xdr:from>
    <xdr:to>
      <xdr:col>9</xdr:col>
      <xdr:colOff>27970</xdr:colOff>
      <xdr:row>29</xdr:row>
      <xdr:rowOff>131634</xdr:rowOff>
    </xdr:to>
    <xdr:sp macro="" textlink="">
      <xdr:nvSpPr>
        <xdr:cNvPr id="6756" name="Rectangle 80">
          <a:extLst>
            <a:ext uri="{FF2B5EF4-FFF2-40B4-BE49-F238E27FC236}">
              <a16:creationId xmlns:a16="http://schemas.microsoft.com/office/drawing/2014/main" id="{02F28B66-C5B4-4BFE-B0FB-A57D070CD917}"/>
            </a:ext>
          </a:extLst>
        </xdr:cNvPr>
        <xdr:cNvSpPr/>
      </xdr:nvSpPr>
      <xdr:spPr>
        <a:xfrm>
          <a:off x="4005868" y="2051310"/>
          <a:ext cx="1580954" cy="352987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385837</xdr:colOff>
      <xdr:row>11</xdr:row>
      <xdr:rowOff>30094</xdr:rowOff>
    </xdr:from>
    <xdr:to>
      <xdr:col>8</xdr:col>
      <xdr:colOff>34193</xdr:colOff>
      <xdr:row>12</xdr:row>
      <xdr:rowOff>6761</xdr:rowOff>
    </xdr:to>
    <xdr:sp macro="" textlink="">
      <xdr:nvSpPr>
        <xdr:cNvPr id="150" name="Rectangle 81">
          <a:extLst>
            <a:ext uri="{FF2B5EF4-FFF2-40B4-BE49-F238E27FC236}">
              <a16:creationId xmlns:a16="http://schemas.microsoft.com/office/drawing/2014/main" id="{3A8DEE95-F200-4F7B-B1AB-123C700FB885}"/>
            </a:ext>
          </a:extLst>
        </xdr:cNvPr>
        <xdr:cNvSpPr/>
      </xdr:nvSpPr>
      <xdr:spPr>
        <a:xfrm>
          <a:off x="4726739" y="2106856"/>
          <a:ext cx="257331" cy="16404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1</a:t>
          </a:r>
        </a:p>
      </xdr:txBody>
    </xdr:sp>
    <xdr:clientData/>
  </xdr:twoCellAnchor>
  <xdr:twoCellAnchor>
    <xdr:from>
      <xdr:col>13</xdr:col>
      <xdr:colOff>217300</xdr:colOff>
      <xdr:row>11</xdr:row>
      <xdr:rowOff>8055</xdr:rowOff>
    </xdr:from>
    <xdr:to>
      <xdr:col>13</xdr:col>
      <xdr:colOff>453245</xdr:colOff>
      <xdr:row>12</xdr:row>
      <xdr:rowOff>12450</xdr:rowOff>
    </xdr:to>
    <xdr:sp macro="" textlink="">
      <xdr:nvSpPr>
        <xdr:cNvPr id="133" name="Rectangle 83">
          <a:extLst>
            <a:ext uri="{FF2B5EF4-FFF2-40B4-BE49-F238E27FC236}">
              <a16:creationId xmlns:a16="http://schemas.microsoft.com/office/drawing/2014/main" id="{3176251D-E175-40B8-BA94-EEC848E0D542}"/>
            </a:ext>
          </a:extLst>
        </xdr:cNvPr>
        <xdr:cNvSpPr/>
      </xdr:nvSpPr>
      <xdr:spPr>
        <a:xfrm>
          <a:off x="8212054" y="2084817"/>
          <a:ext cx="235945" cy="1917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2</a:t>
          </a:r>
        </a:p>
      </xdr:txBody>
    </xdr:sp>
    <xdr:clientData/>
  </xdr:twoCellAnchor>
  <xdr:twoCellAnchor>
    <xdr:from>
      <xdr:col>21</xdr:col>
      <xdr:colOff>531637</xdr:colOff>
      <xdr:row>10</xdr:row>
      <xdr:rowOff>174650</xdr:rowOff>
    </xdr:from>
    <xdr:to>
      <xdr:col>22</xdr:col>
      <xdr:colOff>171725</xdr:colOff>
      <xdr:row>11</xdr:row>
      <xdr:rowOff>157667</xdr:rowOff>
    </xdr:to>
    <xdr:sp macro="" textlink="">
      <xdr:nvSpPr>
        <xdr:cNvPr id="134" name="Rectangle 109">
          <a:extLst>
            <a:ext uri="{FF2B5EF4-FFF2-40B4-BE49-F238E27FC236}">
              <a16:creationId xmlns:a16="http://schemas.microsoft.com/office/drawing/2014/main" id="{A056416D-9B8E-4310-A66B-7EC00BBE0A3D}"/>
            </a:ext>
          </a:extLst>
        </xdr:cNvPr>
        <xdr:cNvSpPr/>
      </xdr:nvSpPr>
      <xdr:spPr>
        <a:xfrm>
          <a:off x="13396737" y="2016150"/>
          <a:ext cx="249688" cy="160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b="1">
              <a:solidFill>
                <a:srgbClr val="FF0000"/>
              </a:solidFill>
            </a:rPr>
            <a:t>3</a:t>
          </a:r>
        </a:p>
      </xdr:txBody>
    </xdr:sp>
    <xdr:clientData/>
  </xdr:twoCellAnchor>
  <xdr:twoCellAnchor>
    <xdr:from>
      <xdr:col>9</xdr:col>
      <xdr:colOff>50697</xdr:colOff>
      <xdr:row>10</xdr:row>
      <xdr:rowOff>162361</xdr:rowOff>
    </xdr:from>
    <xdr:to>
      <xdr:col>18</xdr:col>
      <xdr:colOff>171762</xdr:colOff>
      <xdr:row>25</xdr:row>
      <xdr:rowOff>109303</xdr:rowOff>
    </xdr:to>
    <xdr:sp macro="" textlink="">
      <xdr:nvSpPr>
        <xdr:cNvPr id="6742" name="Rectangle 80">
          <a:extLst>
            <a:ext uri="{FF2B5EF4-FFF2-40B4-BE49-F238E27FC236}">
              <a16:creationId xmlns:a16="http://schemas.microsoft.com/office/drawing/2014/main" id="{DBA384D5-5D2C-4824-8352-4B62AE754389}"/>
            </a:ext>
          </a:extLst>
        </xdr:cNvPr>
        <xdr:cNvSpPr/>
      </xdr:nvSpPr>
      <xdr:spPr>
        <a:xfrm>
          <a:off x="5609549" y="2051746"/>
          <a:ext cx="5601844" cy="2757598"/>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18</xdr:col>
      <xdr:colOff>171761</xdr:colOff>
      <xdr:row>10</xdr:row>
      <xdr:rowOff>158751</xdr:rowOff>
    </xdr:from>
    <xdr:to>
      <xdr:col>25</xdr:col>
      <xdr:colOff>593360</xdr:colOff>
      <xdr:row>25</xdr:row>
      <xdr:rowOff>107779</xdr:rowOff>
    </xdr:to>
    <xdr:sp macro="" textlink="">
      <xdr:nvSpPr>
        <xdr:cNvPr id="6743" name="Rectangle 80">
          <a:extLst>
            <a:ext uri="{FF2B5EF4-FFF2-40B4-BE49-F238E27FC236}">
              <a16:creationId xmlns:a16="http://schemas.microsoft.com/office/drawing/2014/main" id="{46EBAEFE-1527-4503-AA61-8E36BE490B26}"/>
            </a:ext>
          </a:extLst>
        </xdr:cNvPr>
        <xdr:cNvSpPr/>
      </xdr:nvSpPr>
      <xdr:spPr>
        <a:xfrm>
          <a:off x="11211392" y="2048136"/>
          <a:ext cx="4684427" cy="275968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27</xdr:col>
      <xdr:colOff>402920</xdr:colOff>
      <xdr:row>29</xdr:row>
      <xdr:rowOff>125168</xdr:rowOff>
    </xdr:from>
    <xdr:to>
      <xdr:col>30</xdr:col>
      <xdr:colOff>249836</xdr:colOff>
      <xdr:row>33</xdr:row>
      <xdr:rowOff>93689</xdr:rowOff>
    </xdr:to>
    <xdr:sp macro="" textlink="">
      <xdr:nvSpPr>
        <xdr:cNvPr id="6723" name="Rectangle 53">
          <a:extLst>
            <a:ext uri="{FF2B5EF4-FFF2-40B4-BE49-F238E27FC236}">
              <a16:creationId xmlns:a16="http://schemas.microsoft.com/office/drawing/2014/main" id="{7AB2F1F3-4724-447B-AC7D-237DC7040D6D}"/>
            </a:ext>
          </a:extLst>
        </xdr:cNvPr>
        <xdr:cNvSpPr/>
      </xdr:nvSpPr>
      <xdr:spPr>
        <a:xfrm>
          <a:off x="16923330" y="5574717"/>
          <a:ext cx="1673842" cy="53065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515471</xdr:colOff>
      <xdr:row>68</xdr:row>
      <xdr:rowOff>1</xdr:rowOff>
    </xdr:from>
    <xdr:to>
      <xdr:col>23</xdr:col>
      <xdr:colOff>278520</xdr:colOff>
      <xdr:row>79</xdr:row>
      <xdr:rowOff>75926</xdr:rowOff>
    </xdr:to>
    <xdr:pic>
      <xdr:nvPicPr>
        <xdr:cNvPr id="166" name="Picture 165">
          <a:extLst>
            <a:ext uri="{FF2B5EF4-FFF2-40B4-BE49-F238E27FC236}">
              <a16:creationId xmlns:a16="http://schemas.microsoft.com/office/drawing/2014/main" id="{E2A6B40B-E53C-468C-BBE3-66DE8FF81ABE}"/>
            </a:ext>
          </a:extLst>
        </xdr:cNvPr>
        <xdr:cNvPicPr>
          <a:picLocks noChangeAspect="1"/>
        </xdr:cNvPicPr>
      </xdr:nvPicPr>
      <xdr:blipFill>
        <a:blip xmlns:r="http://schemas.openxmlformats.org/officeDocument/2006/relationships" r:embed="rId2"/>
        <a:stretch>
          <a:fillRect/>
        </a:stretch>
      </xdr:blipFill>
      <xdr:spPr>
        <a:xfrm>
          <a:off x="515471" y="12438530"/>
          <a:ext cx="13762371" cy="2048161"/>
        </a:xfrm>
        <a:prstGeom prst="rect">
          <a:avLst/>
        </a:prstGeom>
      </xdr:spPr>
    </xdr:pic>
    <xdr:clientData/>
  </xdr:twoCellAnchor>
  <xdr:twoCellAnchor>
    <xdr:from>
      <xdr:col>30</xdr:col>
      <xdr:colOff>190501</xdr:colOff>
      <xdr:row>42</xdr:row>
      <xdr:rowOff>163285</xdr:rowOff>
    </xdr:from>
    <xdr:to>
      <xdr:col>30</xdr:col>
      <xdr:colOff>526297</xdr:colOff>
      <xdr:row>44</xdr:row>
      <xdr:rowOff>991</xdr:rowOff>
    </xdr:to>
    <xdr:sp macro="" textlink="">
      <xdr:nvSpPr>
        <xdr:cNvPr id="2" name="Rectangle 132">
          <a:extLst>
            <a:ext uri="{FF2B5EF4-FFF2-40B4-BE49-F238E27FC236}">
              <a16:creationId xmlns:a16="http://schemas.microsoft.com/office/drawing/2014/main" id="{DE1D94B7-6608-406C-A619-88442785CDE7}"/>
            </a:ext>
          </a:extLst>
        </xdr:cNvPr>
        <xdr:cNvSpPr/>
      </xdr:nvSpPr>
      <xdr:spPr>
        <a:xfrm>
          <a:off x="18600965" y="8055428"/>
          <a:ext cx="335796" cy="218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a:t>
          </a:r>
        </a:p>
      </xdr:txBody>
    </xdr:sp>
    <xdr:clientData/>
  </xdr:twoCellAnchor>
  <xdr:twoCellAnchor>
    <xdr:from>
      <xdr:col>30</xdr:col>
      <xdr:colOff>598714</xdr:colOff>
      <xdr:row>41</xdr:row>
      <xdr:rowOff>163286</xdr:rowOff>
    </xdr:from>
    <xdr:to>
      <xdr:col>34</xdr:col>
      <xdr:colOff>258535</xdr:colOff>
      <xdr:row>45</xdr:row>
      <xdr:rowOff>94611</xdr:rowOff>
    </xdr:to>
    <xdr:sp macro="" textlink="">
      <xdr:nvSpPr>
        <xdr:cNvPr id="3" name="Rectangle 124">
          <a:extLst>
            <a:ext uri="{FF2B5EF4-FFF2-40B4-BE49-F238E27FC236}">
              <a16:creationId xmlns:a16="http://schemas.microsoft.com/office/drawing/2014/main" id="{4D427524-8435-4C2B-BA23-CAEF02998387}"/>
            </a:ext>
          </a:extLst>
        </xdr:cNvPr>
        <xdr:cNvSpPr/>
      </xdr:nvSpPr>
      <xdr:spPr>
        <a:xfrm>
          <a:off x="19009178" y="7864929"/>
          <a:ext cx="2109107" cy="69332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i="0" baseline="0">
              <a:solidFill>
                <a:schemeClr val="tx1"/>
              </a:solidFill>
            </a:rPr>
            <a:t>Compression and purification</a:t>
          </a:r>
          <a:endParaRPr lang="en-GB" sz="1200" i="1">
            <a:solidFill>
              <a:schemeClr val="tx1"/>
            </a:solidFill>
          </a:endParaRPr>
        </a:p>
        <a:p>
          <a:pPr algn="ctr"/>
          <a:r>
            <a:rPr lang="en-GB" sz="1200">
              <a:solidFill>
                <a:schemeClr val="tx1"/>
              </a:solidFill>
            </a:rPr>
            <a:t>gCO</a:t>
          </a:r>
          <a:r>
            <a:rPr lang="en-GB" sz="1200" baseline="-25000">
              <a:solidFill>
                <a:schemeClr val="tx1"/>
              </a:solidFill>
            </a:rPr>
            <a:t>2</a:t>
          </a:r>
          <a:r>
            <a:rPr lang="en-GB" sz="1200">
              <a:solidFill>
                <a:schemeClr val="tx1"/>
              </a:solidFill>
            </a:rPr>
            <a:t>e/MJ final hydrogen</a:t>
          </a:r>
        </a:p>
      </xdr:txBody>
    </xdr:sp>
    <xdr:clientData/>
  </xdr:twoCellAnchor>
  <xdr:twoCellAnchor>
    <xdr:from>
      <xdr:col>31</xdr:col>
      <xdr:colOff>27215</xdr:colOff>
      <xdr:row>45</xdr:row>
      <xdr:rowOff>149678</xdr:rowOff>
    </xdr:from>
    <xdr:to>
      <xdr:col>34</xdr:col>
      <xdr:colOff>149679</xdr:colOff>
      <xdr:row>47</xdr:row>
      <xdr:rowOff>54427</xdr:rowOff>
    </xdr:to>
    <xdr:sp macro="" textlink="">
      <xdr:nvSpPr>
        <xdr:cNvPr id="4" name="Right Brace 128">
          <a:extLst>
            <a:ext uri="{FF2B5EF4-FFF2-40B4-BE49-F238E27FC236}">
              <a16:creationId xmlns:a16="http://schemas.microsoft.com/office/drawing/2014/main" id="{7DBB6D72-0F3E-482D-B67D-7D7BA567DC1B}"/>
            </a:ext>
          </a:extLst>
        </xdr:cNvPr>
        <xdr:cNvSpPr/>
      </xdr:nvSpPr>
      <xdr:spPr>
        <a:xfrm rot="16200000" flipV="1">
          <a:off x="19886840" y="7776482"/>
          <a:ext cx="285749" cy="1959428"/>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32</xdr:col>
      <xdr:colOff>13899</xdr:colOff>
      <xdr:row>48</xdr:row>
      <xdr:rowOff>3526</xdr:rowOff>
    </xdr:from>
    <xdr:to>
      <xdr:col>32</xdr:col>
      <xdr:colOff>367397</xdr:colOff>
      <xdr:row>54</xdr:row>
      <xdr:rowOff>118801</xdr:rowOff>
    </xdr:to>
    <xdr:sp macro="" textlink="">
      <xdr:nvSpPr>
        <xdr:cNvPr id="5" name="Rectangle 149">
          <a:extLst>
            <a:ext uri="{FF2B5EF4-FFF2-40B4-BE49-F238E27FC236}">
              <a16:creationId xmlns:a16="http://schemas.microsoft.com/office/drawing/2014/main" id="{DE211DA1-E5C3-4FA2-8D0F-67D30EC1B460}"/>
            </a:ext>
          </a:extLst>
        </xdr:cNvPr>
        <xdr:cNvSpPr/>
      </xdr:nvSpPr>
      <xdr:spPr>
        <a:xfrm rot="16200000">
          <a:off x="19196617" y="9491058"/>
          <a:ext cx="1258275" cy="35349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Theoretical</a:t>
          </a:r>
          <a:r>
            <a:rPr lang="en-GB" sz="1200" baseline="0">
              <a:solidFill>
                <a:schemeClr val="tx1"/>
              </a:solidFill>
            </a:rPr>
            <a:t> </a:t>
          </a:r>
          <a:r>
            <a:rPr lang="en-GB" sz="1200">
              <a:solidFill>
                <a:schemeClr val="tx1"/>
              </a:solidFill>
            </a:rPr>
            <a:t>Input</a:t>
          </a:r>
          <a:r>
            <a:rPr lang="en-GB" sz="1200" i="1">
              <a:solidFill>
                <a:schemeClr val="tx1"/>
              </a:solidFill>
            </a:rPr>
            <a:t> n</a:t>
          </a:r>
        </a:p>
      </xdr:txBody>
    </xdr:sp>
    <xdr:clientData/>
  </xdr:twoCellAnchor>
  <xdr:twoCellAnchor>
    <xdr:from>
      <xdr:col>32</xdr:col>
      <xdr:colOff>606881</xdr:colOff>
      <xdr:row>48</xdr:row>
      <xdr:rowOff>3526</xdr:rowOff>
    </xdr:from>
    <xdr:to>
      <xdr:col>33</xdr:col>
      <xdr:colOff>406855</xdr:colOff>
      <xdr:row>54</xdr:row>
      <xdr:rowOff>151626</xdr:rowOff>
    </xdr:to>
    <xdr:sp macro="" textlink="">
      <xdr:nvSpPr>
        <xdr:cNvPr id="6" name="Rectangle 150">
          <a:extLst>
            <a:ext uri="{FF2B5EF4-FFF2-40B4-BE49-F238E27FC236}">
              <a16:creationId xmlns:a16="http://schemas.microsoft.com/office/drawing/2014/main" id="{F780F70B-4D66-4DA7-93DD-BF2912BBBED9}"/>
            </a:ext>
          </a:extLst>
        </xdr:cNvPr>
        <xdr:cNvSpPr/>
      </xdr:nvSpPr>
      <xdr:spPr>
        <a:xfrm rot="16200000">
          <a:off x="19802586" y="9478071"/>
          <a:ext cx="1291100" cy="41229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Emission factor </a:t>
          </a:r>
          <a:r>
            <a:rPr lang="en-GB" sz="1200" i="1">
              <a:solidFill>
                <a:schemeClr val="tx1"/>
              </a:solidFill>
            </a:rPr>
            <a:t>n</a:t>
          </a:r>
        </a:p>
      </xdr:txBody>
    </xdr:sp>
    <xdr:clientData/>
  </xdr:twoCellAnchor>
  <xdr:twoCellAnchor>
    <xdr:from>
      <xdr:col>32</xdr:col>
      <xdr:colOff>295728</xdr:colOff>
      <xdr:row>50</xdr:row>
      <xdr:rowOff>43611</xdr:rowOff>
    </xdr:from>
    <xdr:to>
      <xdr:col>33</xdr:col>
      <xdr:colOff>25490</xdr:colOff>
      <xdr:row>51</xdr:row>
      <xdr:rowOff>78168</xdr:rowOff>
    </xdr:to>
    <xdr:sp macro="" textlink="">
      <xdr:nvSpPr>
        <xdr:cNvPr id="7" name="Rectangle 163">
          <a:extLst>
            <a:ext uri="{FF2B5EF4-FFF2-40B4-BE49-F238E27FC236}">
              <a16:creationId xmlns:a16="http://schemas.microsoft.com/office/drawing/2014/main" id="{82E877CC-FC53-4560-8E32-1159C3138B44}"/>
            </a:ext>
          </a:extLst>
        </xdr:cNvPr>
        <xdr:cNvSpPr/>
      </xdr:nvSpPr>
      <xdr:spPr>
        <a:xfrm>
          <a:off x="19930835" y="9459754"/>
          <a:ext cx="342084" cy="22505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x</a:t>
          </a:r>
        </a:p>
      </xdr:txBody>
    </xdr:sp>
    <xdr:clientData/>
  </xdr:twoCellAnchor>
  <xdr:twoCellAnchor>
    <xdr:from>
      <xdr:col>31</xdr:col>
      <xdr:colOff>122917</xdr:colOff>
      <xdr:row>54</xdr:row>
      <xdr:rowOff>181430</xdr:rowOff>
    </xdr:from>
    <xdr:to>
      <xdr:col>34</xdr:col>
      <xdr:colOff>190500</xdr:colOff>
      <xdr:row>56</xdr:row>
      <xdr:rowOff>68036</xdr:rowOff>
    </xdr:to>
    <xdr:sp macro="" textlink="">
      <xdr:nvSpPr>
        <xdr:cNvPr id="9" name="Right Brace 170">
          <a:extLst>
            <a:ext uri="{FF2B5EF4-FFF2-40B4-BE49-F238E27FC236}">
              <a16:creationId xmlns:a16="http://schemas.microsoft.com/office/drawing/2014/main" id="{8D913A51-7A2E-4C29-A8C1-C6A8C23D25CA}"/>
            </a:ext>
          </a:extLst>
        </xdr:cNvPr>
        <xdr:cNvSpPr/>
      </xdr:nvSpPr>
      <xdr:spPr>
        <a:xfrm rot="16200000" flipV="1">
          <a:off x="19964174" y="9541102"/>
          <a:ext cx="267606" cy="1904547"/>
        </a:xfrm>
        <a:prstGeom prst="rightBrace">
          <a:avLst>
            <a:gd name="adj1" fmla="val 8333"/>
            <a:gd name="adj2" fmla="val 48757"/>
          </a:avLst>
        </a:prstGeom>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395" rtl="0" eaLnBrk="1" latinLnBrk="0" hangingPunct="1">
            <a:defRPr sz="1801" kern="1200">
              <a:solidFill>
                <a:schemeClr val="tx1"/>
              </a:solidFill>
              <a:latin typeface="+mn-lt"/>
              <a:ea typeface="+mn-ea"/>
              <a:cs typeface="+mn-cs"/>
            </a:defRPr>
          </a:lvl1pPr>
          <a:lvl2pPr marL="457196" algn="l" defTabSz="914395" rtl="0" eaLnBrk="1" latinLnBrk="0" hangingPunct="1">
            <a:defRPr sz="1801" kern="1200">
              <a:solidFill>
                <a:schemeClr val="tx1"/>
              </a:solidFill>
              <a:latin typeface="+mn-lt"/>
              <a:ea typeface="+mn-ea"/>
              <a:cs typeface="+mn-cs"/>
            </a:defRPr>
          </a:lvl2pPr>
          <a:lvl3pPr marL="914395" algn="l" defTabSz="914395" rtl="0" eaLnBrk="1" latinLnBrk="0" hangingPunct="1">
            <a:defRPr sz="1801" kern="1200">
              <a:solidFill>
                <a:schemeClr val="tx1"/>
              </a:solidFill>
              <a:latin typeface="+mn-lt"/>
              <a:ea typeface="+mn-ea"/>
              <a:cs typeface="+mn-cs"/>
            </a:defRPr>
          </a:lvl3pPr>
          <a:lvl4pPr marL="1371591" algn="l" defTabSz="914395" rtl="0" eaLnBrk="1" latinLnBrk="0" hangingPunct="1">
            <a:defRPr sz="1801" kern="1200">
              <a:solidFill>
                <a:schemeClr val="tx1"/>
              </a:solidFill>
              <a:latin typeface="+mn-lt"/>
              <a:ea typeface="+mn-ea"/>
              <a:cs typeface="+mn-cs"/>
            </a:defRPr>
          </a:lvl4pPr>
          <a:lvl5pPr marL="1828789" algn="l" defTabSz="914395" rtl="0" eaLnBrk="1" latinLnBrk="0" hangingPunct="1">
            <a:defRPr sz="1801" kern="1200">
              <a:solidFill>
                <a:schemeClr val="tx1"/>
              </a:solidFill>
              <a:latin typeface="+mn-lt"/>
              <a:ea typeface="+mn-ea"/>
              <a:cs typeface="+mn-cs"/>
            </a:defRPr>
          </a:lvl5pPr>
          <a:lvl6pPr marL="2285985" algn="l" defTabSz="914395" rtl="0" eaLnBrk="1" latinLnBrk="0" hangingPunct="1">
            <a:defRPr sz="1801" kern="1200">
              <a:solidFill>
                <a:schemeClr val="tx1"/>
              </a:solidFill>
              <a:latin typeface="+mn-lt"/>
              <a:ea typeface="+mn-ea"/>
              <a:cs typeface="+mn-cs"/>
            </a:defRPr>
          </a:lvl6pPr>
          <a:lvl7pPr marL="2743182" algn="l" defTabSz="914395" rtl="0" eaLnBrk="1" latinLnBrk="0" hangingPunct="1">
            <a:defRPr sz="1801" kern="1200">
              <a:solidFill>
                <a:schemeClr val="tx1"/>
              </a:solidFill>
              <a:latin typeface="+mn-lt"/>
              <a:ea typeface="+mn-ea"/>
              <a:cs typeface="+mn-cs"/>
            </a:defRPr>
          </a:lvl7pPr>
          <a:lvl8pPr marL="3200380" algn="l" defTabSz="914395" rtl="0" eaLnBrk="1" latinLnBrk="0" hangingPunct="1">
            <a:defRPr sz="1801" kern="1200">
              <a:solidFill>
                <a:schemeClr val="tx1"/>
              </a:solidFill>
              <a:latin typeface="+mn-lt"/>
              <a:ea typeface="+mn-ea"/>
              <a:cs typeface="+mn-cs"/>
            </a:defRPr>
          </a:lvl8pPr>
          <a:lvl9pPr marL="3657576" algn="l" defTabSz="914395" rtl="0" eaLnBrk="1" latinLnBrk="0" hangingPunct="1">
            <a:defRPr sz="1801" kern="1200">
              <a:solidFill>
                <a:schemeClr val="tx1"/>
              </a:solidFill>
              <a:latin typeface="+mn-lt"/>
              <a:ea typeface="+mn-ea"/>
              <a:cs typeface="+mn-cs"/>
            </a:defRPr>
          </a:lvl9pPr>
        </a:lstStyle>
        <a:p>
          <a:pPr algn="ctr"/>
          <a:endParaRPr lang="en-GB" sz="780"/>
        </a:p>
      </xdr:txBody>
    </xdr:sp>
    <xdr:clientData/>
  </xdr:twoCellAnchor>
  <xdr:twoCellAnchor>
    <xdr:from>
      <xdr:col>31</xdr:col>
      <xdr:colOff>164647</xdr:colOff>
      <xdr:row>56</xdr:row>
      <xdr:rowOff>83979</xdr:rowOff>
    </xdr:from>
    <xdr:to>
      <xdr:col>34</xdr:col>
      <xdr:colOff>163286</xdr:colOff>
      <xdr:row>58</xdr:row>
      <xdr:rowOff>158637</xdr:rowOff>
    </xdr:to>
    <xdr:sp macro="" textlink="">
      <xdr:nvSpPr>
        <xdr:cNvPr id="10" name="Rectangle 174">
          <a:extLst>
            <a:ext uri="{FF2B5EF4-FFF2-40B4-BE49-F238E27FC236}">
              <a16:creationId xmlns:a16="http://schemas.microsoft.com/office/drawing/2014/main" id="{F8FD252A-495A-4395-A4D8-D6E51BBE851C}"/>
            </a:ext>
          </a:extLst>
        </xdr:cNvPr>
        <xdr:cNvSpPr/>
      </xdr:nvSpPr>
      <xdr:spPr>
        <a:xfrm>
          <a:off x="19187433" y="10643122"/>
          <a:ext cx="1835603" cy="455658"/>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395" rtl="0" eaLnBrk="1" latinLnBrk="0" hangingPunct="1">
            <a:defRPr sz="1801" kern="1200">
              <a:solidFill>
                <a:schemeClr val="lt1"/>
              </a:solidFill>
              <a:latin typeface="+mn-lt"/>
              <a:ea typeface="+mn-ea"/>
              <a:cs typeface="+mn-cs"/>
            </a:defRPr>
          </a:lvl1pPr>
          <a:lvl2pPr marL="457196" algn="l" defTabSz="914395" rtl="0" eaLnBrk="1" latinLnBrk="0" hangingPunct="1">
            <a:defRPr sz="1801" kern="1200">
              <a:solidFill>
                <a:schemeClr val="lt1"/>
              </a:solidFill>
              <a:latin typeface="+mn-lt"/>
              <a:ea typeface="+mn-ea"/>
              <a:cs typeface="+mn-cs"/>
            </a:defRPr>
          </a:lvl2pPr>
          <a:lvl3pPr marL="914395" algn="l" defTabSz="914395" rtl="0" eaLnBrk="1" latinLnBrk="0" hangingPunct="1">
            <a:defRPr sz="1801" kern="1200">
              <a:solidFill>
                <a:schemeClr val="lt1"/>
              </a:solidFill>
              <a:latin typeface="+mn-lt"/>
              <a:ea typeface="+mn-ea"/>
              <a:cs typeface="+mn-cs"/>
            </a:defRPr>
          </a:lvl3pPr>
          <a:lvl4pPr marL="1371591" algn="l" defTabSz="914395" rtl="0" eaLnBrk="1" latinLnBrk="0" hangingPunct="1">
            <a:defRPr sz="1801" kern="1200">
              <a:solidFill>
                <a:schemeClr val="lt1"/>
              </a:solidFill>
              <a:latin typeface="+mn-lt"/>
              <a:ea typeface="+mn-ea"/>
              <a:cs typeface="+mn-cs"/>
            </a:defRPr>
          </a:lvl4pPr>
          <a:lvl5pPr marL="1828789" algn="l" defTabSz="914395" rtl="0" eaLnBrk="1" latinLnBrk="0" hangingPunct="1">
            <a:defRPr sz="1801" kern="1200">
              <a:solidFill>
                <a:schemeClr val="lt1"/>
              </a:solidFill>
              <a:latin typeface="+mn-lt"/>
              <a:ea typeface="+mn-ea"/>
              <a:cs typeface="+mn-cs"/>
            </a:defRPr>
          </a:lvl5pPr>
          <a:lvl6pPr marL="2285985" algn="l" defTabSz="914395" rtl="0" eaLnBrk="1" latinLnBrk="0" hangingPunct="1">
            <a:defRPr sz="1801" kern="1200">
              <a:solidFill>
                <a:schemeClr val="lt1"/>
              </a:solidFill>
              <a:latin typeface="+mn-lt"/>
              <a:ea typeface="+mn-ea"/>
              <a:cs typeface="+mn-cs"/>
            </a:defRPr>
          </a:lvl6pPr>
          <a:lvl7pPr marL="2743182" algn="l" defTabSz="914395" rtl="0" eaLnBrk="1" latinLnBrk="0" hangingPunct="1">
            <a:defRPr sz="1801" kern="1200">
              <a:solidFill>
                <a:schemeClr val="lt1"/>
              </a:solidFill>
              <a:latin typeface="+mn-lt"/>
              <a:ea typeface="+mn-ea"/>
              <a:cs typeface="+mn-cs"/>
            </a:defRPr>
          </a:lvl7pPr>
          <a:lvl8pPr marL="3200380" algn="l" defTabSz="914395" rtl="0" eaLnBrk="1" latinLnBrk="0" hangingPunct="1">
            <a:defRPr sz="1801" kern="1200">
              <a:solidFill>
                <a:schemeClr val="lt1"/>
              </a:solidFill>
              <a:latin typeface="+mn-lt"/>
              <a:ea typeface="+mn-ea"/>
              <a:cs typeface="+mn-cs"/>
            </a:defRPr>
          </a:lvl8pPr>
          <a:lvl9pPr marL="3657576" algn="l" defTabSz="914395" rtl="0" eaLnBrk="1" latinLnBrk="0" hangingPunct="1">
            <a:defRPr sz="1801" kern="1200">
              <a:solidFill>
                <a:schemeClr val="lt1"/>
              </a:solidFill>
              <a:latin typeface="+mn-lt"/>
              <a:ea typeface="+mn-ea"/>
              <a:cs typeface="+mn-cs"/>
            </a:defRPr>
          </a:lvl9pPr>
        </a:lstStyle>
        <a:p>
          <a:pPr algn="ctr"/>
          <a:r>
            <a:rPr lang="en-GB" sz="1200">
              <a:solidFill>
                <a:schemeClr val="tx1"/>
              </a:solidFill>
            </a:rPr>
            <a:t>Background data </a:t>
          </a:r>
          <a:endParaRPr lang="en-GB" sz="1200" i="1">
            <a:solidFill>
              <a:schemeClr val="tx1"/>
            </a:solidFill>
          </a:endParaRPr>
        </a:p>
      </xdr:txBody>
    </xdr:sp>
    <xdr:clientData/>
  </xdr:twoCellAnchor>
  <xdr:twoCellAnchor editAs="oneCell">
    <xdr:from>
      <xdr:col>1</xdr:col>
      <xdr:colOff>393699</xdr:colOff>
      <xdr:row>81</xdr:row>
      <xdr:rowOff>73025</xdr:rowOff>
    </xdr:from>
    <xdr:to>
      <xdr:col>4</xdr:col>
      <xdr:colOff>289</xdr:colOff>
      <xdr:row>97</xdr:row>
      <xdr:rowOff>47784</xdr:rowOff>
    </xdr:to>
    <xdr:pic>
      <xdr:nvPicPr>
        <xdr:cNvPr id="13" name="Picture 12">
          <a:extLst>
            <a:ext uri="{FF2B5EF4-FFF2-40B4-BE49-F238E27FC236}">
              <a16:creationId xmlns:a16="http://schemas.microsoft.com/office/drawing/2014/main" id="{22240A14-3014-278A-B626-4CA7E4628940}"/>
            </a:ext>
          </a:extLst>
        </xdr:cNvPr>
        <xdr:cNvPicPr>
          <a:picLocks noChangeAspect="1"/>
        </xdr:cNvPicPr>
      </xdr:nvPicPr>
      <xdr:blipFill rotWithShape="1">
        <a:blip xmlns:r="http://schemas.openxmlformats.org/officeDocument/2006/relationships" r:embed="rId3"/>
        <a:srcRect r="4013"/>
        <a:stretch/>
      </xdr:blipFill>
      <xdr:spPr>
        <a:xfrm>
          <a:off x="1003299" y="14960600"/>
          <a:ext cx="1508126" cy="2867184"/>
        </a:xfrm>
        <a:prstGeom prst="rect">
          <a:avLst/>
        </a:prstGeom>
      </xdr:spPr>
    </xdr:pic>
    <xdr:clientData/>
  </xdr:twoCellAnchor>
  <xdr:twoCellAnchor editAs="oneCell">
    <xdr:from>
      <xdr:col>10</xdr:col>
      <xdr:colOff>276226</xdr:colOff>
      <xdr:row>81</xdr:row>
      <xdr:rowOff>114300</xdr:rowOff>
    </xdr:from>
    <xdr:to>
      <xdr:col>12</xdr:col>
      <xdr:colOff>602371</xdr:colOff>
      <xdr:row>97</xdr:row>
      <xdr:rowOff>38100</xdr:rowOff>
    </xdr:to>
    <xdr:pic>
      <xdr:nvPicPr>
        <xdr:cNvPr id="14" name="Picture 13">
          <a:extLst>
            <a:ext uri="{FF2B5EF4-FFF2-40B4-BE49-F238E27FC236}">
              <a16:creationId xmlns:a16="http://schemas.microsoft.com/office/drawing/2014/main" id="{F3369D8A-CEF9-3ECA-9C85-7C872B61BD68}"/>
            </a:ext>
          </a:extLst>
        </xdr:cNvPr>
        <xdr:cNvPicPr>
          <a:picLocks noChangeAspect="1"/>
        </xdr:cNvPicPr>
      </xdr:nvPicPr>
      <xdr:blipFill>
        <a:blip xmlns:r="http://schemas.openxmlformats.org/officeDocument/2006/relationships" r:embed="rId4"/>
        <a:stretch>
          <a:fillRect/>
        </a:stretch>
      </xdr:blipFill>
      <xdr:spPr>
        <a:xfrm>
          <a:off x="6448426" y="15001875"/>
          <a:ext cx="1542170" cy="2819400"/>
        </a:xfrm>
        <a:prstGeom prst="rect">
          <a:avLst/>
        </a:prstGeom>
      </xdr:spPr>
    </xdr:pic>
    <xdr:clientData/>
  </xdr:twoCellAnchor>
  <xdr:twoCellAnchor editAs="oneCell">
    <xdr:from>
      <xdr:col>15</xdr:col>
      <xdr:colOff>304800</xdr:colOff>
      <xdr:row>81</xdr:row>
      <xdr:rowOff>25400</xdr:rowOff>
    </xdr:from>
    <xdr:to>
      <xdr:col>17</xdr:col>
      <xdr:colOff>600879</xdr:colOff>
      <xdr:row>99</xdr:row>
      <xdr:rowOff>95250</xdr:rowOff>
    </xdr:to>
    <xdr:pic>
      <xdr:nvPicPr>
        <xdr:cNvPr id="16" name="Picture 15">
          <a:extLst>
            <a:ext uri="{FF2B5EF4-FFF2-40B4-BE49-F238E27FC236}">
              <a16:creationId xmlns:a16="http://schemas.microsoft.com/office/drawing/2014/main" id="{99EE90DA-E59B-5717-F98F-1C65973C7356}"/>
            </a:ext>
          </a:extLst>
        </xdr:cNvPr>
        <xdr:cNvPicPr>
          <a:picLocks noChangeAspect="1"/>
        </xdr:cNvPicPr>
      </xdr:nvPicPr>
      <xdr:blipFill>
        <a:blip xmlns:r="http://schemas.openxmlformats.org/officeDocument/2006/relationships" r:embed="rId5"/>
        <a:stretch>
          <a:fillRect/>
        </a:stretch>
      </xdr:blipFill>
      <xdr:spPr>
        <a:xfrm>
          <a:off x="9525000" y="14912975"/>
          <a:ext cx="1512104" cy="3327400"/>
        </a:xfrm>
        <a:prstGeom prst="rect">
          <a:avLst/>
        </a:prstGeom>
      </xdr:spPr>
    </xdr:pic>
    <xdr:clientData/>
  </xdr:twoCellAnchor>
  <xdr:twoCellAnchor editAs="oneCell">
    <xdr:from>
      <xdr:col>0</xdr:col>
      <xdr:colOff>558800</xdr:colOff>
      <xdr:row>101</xdr:row>
      <xdr:rowOff>158750</xdr:rowOff>
    </xdr:from>
    <xdr:to>
      <xdr:col>10</xdr:col>
      <xdr:colOff>397714</xdr:colOff>
      <xdr:row>116</xdr:row>
      <xdr:rowOff>44821</xdr:rowOff>
    </xdr:to>
    <xdr:pic>
      <xdr:nvPicPr>
        <xdr:cNvPr id="17" name="Picture 16">
          <a:extLst>
            <a:ext uri="{FF2B5EF4-FFF2-40B4-BE49-F238E27FC236}">
              <a16:creationId xmlns:a16="http://schemas.microsoft.com/office/drawing/2014/main" id="{1F43C375-8782-A2D6-F92D-7BEC2C07B59E}"/>
            </a:ext>
          </a:extLst>
        </xdr:cNvPr>
        <xdr:cNvPicPr>
          <a:picLocks noChangeAspect="1"/>
        </xdr:cNvPicPr>
      </xdr:nvPicPr>
      <xdr:blipFill>
        <a:blip xmlns:r="http://schemas.openxmlformats.org/officeDocument/2006/relationships" r:embed="rId6"/>
        <a:stretch>
          <a:fillRect/>
        </a:stretch>
      </xdr:blipFill>
      <xdr:spPr>
        <a:xfrm>
          <a:off x="558800" y="18980150"/>
          <a:ext cx="6011114" cy="2657846"/>
        </a:xfrm>
        <a:prstGeom prst="rect">
          <a:avLst/>
        </a:prstGeom>
      </xdr:spPr>
    </xdr:pic>
    <xdr:clientData/>
  </xdr:twoCellAnchor>
  <xdr:twoCellAnchor editAs="oneCell">
    <xdr:from>
      <xdr:col>1</xdr:col>
      <xdr:colOff>0</xdr:colOff>
      <xdr:row>132</xdr:row>
      <xdr:rowOff>0</xdr:rowOff>
    </xdr:from>
    <xdr:to>
      <xdr:col>11</xdr:col>
      <xdr:colOff>483529</xdr:colOff>
      <xdr:row>146</xdr:row>
      <xdr:rowOff>1025</xdr:rowOff>
    </xdr:to>
    <xdr:pic>
      <xdr:nvPicPr>
        <xdr:cNvPr id="19" name="Picture 18">
          <a:extLst>
            <a:ext uri="{FF2B5EF4-FFF2-40B4-BE49-F238E27FC236}">
              <a16:creationId xmlns:a16="http://schemas.microsoft.com/office/drawing/2014/main" id="{F7423301-03CB-EB1A-1467-BBC5D2B3F58F}"/>
            </a:ext>
          </a:extLst>
        </xdr:cNvPr>
        <xdr:cNvPicPr>
          <a:picLocks noChangeAspect="1"/>
        </xdr:cNvPicPr>
      </xdr:nvPicPr>
      <xdr:blipFill>
        <a:blip xmlns:r="http://schemas.openxmlformats.org/officeDocument/2006/relationships" r:embed="rId7"/>
        <a:stretch>
          <a:fillRect/>
        </a:stretch>
      </xdr:blipFill>
      <xdr:spPr>
        <a:xfrm>
          <a:off x="609600" y="24574500"/>
          <a:ext cx="6658904" cy="2572109"/>
        </a:xfrm>
        <a:prstGeom prst="rect">
          <a:avLst/>
        </a:prstGeom>
      </xdr:spPr>
    </xdr:pic>
    <xdr:clientData/>
  </xdr:twoCellAnchor>
  <xdr:twoCellAnchor editAs="oneCell">
    <xdr:from>
      <xdr:col>6</xdr:col>
      <xdr:colOff>361950</xdr:colOff>
      <xdr:row>81</xdr:row>
      <xdr:rowOff>95250</xdr:rowOff>
    </xdr:from>
    <xdr:to>
      <xdr:col>9</xdr:col>
      <xdr:colOff>101600</xdr:colOff>
      <xdr:row>99</xdr:row>
      <xdr:rowOff>142482</xdr:rowOff>
    </xdr:to>
    <xdr:pic>
      <xdr:nvPicPr>
        <xdr:cNvPr id="20" name="Picture 19">
          <a:extLst>
            <a:ext uri="{FF2B5EF4-FFF2-40B4-BE49-F238E27FC236}">
              <a16:creationId xmlns:a16="http://schemas.microsoft.com/office/drawing/2014/main" id="{8FDC19DE-0555-4C57-87C9-A6D345BB040D}"/>
            </a:ext>
          </a:extLst>
        </xdr:cNvPr>
        <xdr:cNvPicPr>
          <a:picLocks noChangeAspect="1"/>
        </xdr:cNvPicPr>
      </xdr:nvPicPr>
      <xdr:blipFill>
        <a:blip xmlns:r="http://schemas.openxmlformats.org/officeDocument/2006/relationships" r:embed="rId8"/>
        <a:stretch>
          <a:fillRect/>
        </a:stretch>
      </xdr:blipFill>
      <xdr:spPr>
        <a:xfrm>
          <a:off x="4093876" y="15600701"/>
          <a:ext cx="1569751" cy="34231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3735</xdr:colOff>
      <xdr:row>0</xdr:row>
      <xdr:rowOff>168012</xdr:rowOff>
    </xdr:from>
    <xdr:to>
      <xdr:col>7</xdr:col>
      <xdr:colOff>15715</xdr:colOff>
      <xdr:row>118</xdr:row>
      <xdr:rowOff>21713</xdr:rowOff>
    </xdr:to>
    <xdr:sp macro="" textlink="">
      <xdr:nvSpPr>
        <xdr:cNvPr id="4" name="Rectangle 1">
          <a:extLst>
            <a:ext uri="{FF2B5EF4-FFF2-40B4-BE49-F238E27FC236}">
              <a16:creationId xmlns:a16="http://schemas.microsoft.com/office/drawing/2014/main" id="{ACC60377-E4E3-47E5-BB4A-231B42C22FE4}"/>
            </a:ext>
          </a:extLst>
        </xdr:cNvPr>
        <xdr:cNvSpPr/>
      </xdr:nvSpPr>
      <xdr:spPr>
        <a:xfrm>
          <a:off x="351117" y="168012"/>
          <a:ext cx="18748216" cy="2328520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1291</xdr:colOff>
      <xdr:row>118</xdr:row>
      <xdr:rowOff>28574</xdr:rowOff>
    </xdr:from>
    <xdr:to>
      <xdr:col>7</xdr:col>
      <xdr:colOff>11906</xdr:colOff>
      <xdr:row>137</xdr:row>
      <xdr:rowOff>149679</xdr:rowOff>
    </xdr:to>
    <xdr:sp macro="" textlink="">
      <xdr:nvSpPr>
        <xdr:cNvPr id="2" name="Rectangle 1">
          <a:extLst>
            <a:ext uri="{FF2B5EF4-FFF2-40B4-BE49-F238E27FC236}">
              <a16:creationId xmlns:a16="http://schemas.microsoft.com/office/drawing/2014/main" id="{C09CE003-EDBE-4196-8F44-08CA9A156DAE}"/>
            </a:ext>
          </a:extLst>
        </xdr:cNvPr>
        <xdr:cNvSpPr/>
      </xdr:nvSpPr>
      <xdr:spPr>
        <a:xfrm>
          <a:off x="246220" y="22194610"/>
          <a:ext cx="18910936" cy="340042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190500</xdr:colOff>
      <xdr:row>2</xdr:row>
      <xdr:rowOff>1</xdr:rowOff>
    </xdr:from>
    <xdr:to>
      <xdr:col>2</xdr:col>
      <xdr:colOff>459554</xdr:colOff>
      <xdr:row>6</xdr:row>
      <xdr:rowOff>114301</xdr:rowOff>
    </xdr:to>
    <xdr:pic>
      <xdr:nvPicPr>
        <xdr:cNvPr id="3" name="Picture 2" descr="DESNZ Logo">
          <a:extLst>
            <a:ext uri="{FF2B5EF4-FFF2-40B4-BE49-F238E27FC236}">
              <a16:creationId xmlns:a16="http://schemas.microsoft.com/office/drawing/2014/main" id="{9659C006-E3F4-42D9-A438-93374C29E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381001"/>
          <a:ext cx="1807575" cy="1066800"/>
        </a:xfrm>
        <a:prstGeom prst="rect">
          <a:avLst/>
        </a:prstGeom>
      </xdr:spPr>
    </xdr:pic>
    <xdr:clientData/>
  </xdr:twoCellAnchor>
  <xdr:twoCellAnchor editAs="oneCell">
    <xdr:from>
      <xdr:col>4</xdr:col>
      <xdr:colOff>180975</xdr:colOff>
      <xdr:row>119</xdr:row>
      <xdr:rowOff>190500</xdr:rowOff>
    </xdr:from>
    <xdr:to>
      <xdr:col>5</xdr:col>
      <xdr:colOff>121154</xdr:colOff>
      <xdr:row>123</xdr:row>
      <xdr:rowOff>266951</xdr:rowOff>
    </xdr:to>
    <xdr:pic>
      <xdr:nvPicPr>
        <xdr:cNvPr id="6" name="Picture 5">
          <a:extLst>
            <a:ext uri="{FF2B5EF4-FFF2-40B4-BE49-F238E27FC236}">
              <a16:creationId xmlns:a16="http://schemas.microsoft.com/office/drawing/2014/main" id="{659AE0D0-AD78-845D-9A0F-2B98A8BF2B33}"/>
            </a:ext>
          </a:extLst>
        </xdr:cNvPr>
        <xdr:cNvPicPr>
          <a:picLocks noChangeAspect="1"/>
        </xdr:cNvPicPr>
      </xdr:nvPicPr>
      <xdr:blipFill>
        <a:blip xmlns:r="http://schemas.openxmlformats.org/officeDocument/2006/relationships" r:embed="rId2"/>
        <a:stretch>
          <a:fillRect/>
        </a:stretch>
      </xdr:blipFill>
      <xdr:spPr>
        <a:xfrm>
          <a:off x="12954000" y="27412950"/>
          <a:ext cx="3607304" cy="1800476"/>
        </a:xfrm>
        <a:prstGeom prst="rect">
          <a:avLst/>
        </a:prstGeom>
      </xdr:spPr>
    </xdr:pic>
    <xdr:clientData/>
  </xdr:twoCellAnchor>
  <xdr:twoCellAnchor editAs="oneCell">
    <xdr:from>
      <xdr:col>3</xdr:col>
      <xdr:colOff>110378</xdr:colOff>
      <xdr:row>1</xdr:row>
      <xdr:rowOff>171637</xdr:rowOff>
    </xdr:from>
    <xdr:to>
      <xdr:col>3</xdr:col>
      <xdr:colOff>1847849</xdr:colOff>
      <xdr:row>5</xdr:row>
      <xdr:rowOff>104650</xdr:rowOff>
    </xdr:to>
    <xdr:pic>
      <xdr:nvPicPr>
        <xdr:cNvPr id="7" name="Picture 6">
          <a:extLst>
            <a:ext uri="{FF2B5EF4-FFF2-40B4-BE49-F238E27FC236}">
              <a16:creationId xmlns:a16="http://schemas.microsoft.com/office/drawing/2014/main" id="{F92CBD52-1D98-472D-9F31-E3D3CAB1F1D2}"/>
            </a:ext>
          </a:extLst>
        </xdr:cNvPr>
        <xdr:cNvPicPr>
          <a:picLocks noChangeAspect="1"/>
        </xdr:cNvPicPr>
      </xdr:nvPicPr>
      <xdr:blipFill>
        <a:blip xmlns:r="http://schemas.openxmlformats.org/officeDocument/2006/relationships" r:embed="rId3"/>
        <a:stretch>
          <a:fillRect/>
        </a:stretch>
      </xdr:blipFill>
      <xdr:spPr>
        <a:xfrm>
          <a:off x="2167778" y="362137"/>
          <a:ext cx="1737471" cy="7013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623160</xdr:colOff>
      <xdr:row>12</xdr:row>
      <xdr:rowOff>20091</xdr:rowOff>
    </xdr:from>
    <xdr:to>
      <xdr:col>17</xdr:col>
      <xdr:colOff>181473</xdr:colOff>
      <xdr:row>41</xdr:row>
      <xdr:rowOff>167644</xdr:rowOff>
    </xdr:to>
    <xdr:grpSp>
      <xdr:nvGrpSpPr>
        <xdr:cNvPr id="4" name="Group 3">
          <a:extLst>
            <a:ext uri="{FF2B5EF4-FFF2-40B4-BE49-F238E27FC236}">
              <a16:creationId xmlns:a16="http://schemas.microsoft.com/office/drawing/2014/main" id="{C713243C-6E3B-4E9C-9E1A-4E8C9B012D23}"/>
            </a:ext>
          </a:extLst>
        </xdr:cNvPr>
        <xdr:cNvGrpSpPr/>
      </xdr:nvGrpSpPr>
      <xdr:grpSpPr>
        <a:xfrm>
          <a:off x="613635" y="2372766"/>
          <a:ext cx="15674613" cy="5395828"/>
          <a:chOff x="438149" y="1988516"/>
          <a:chExt cx="16135623" cy="5354703"/>
        </a:xfrm>
      </xdr:grpSpPr>
      <xdr:sp macro="" textlink="">
        <xdr:nvSpPr>
          <xdr:cNvPr id="50" name="Arrow: Pentagon 49">
            <a:extLst>
              <a:ext uri="{FF2B5EF4-FFF2-40B4-BE49-F238E27FC236}">
                <a16:creationId xmlns:a16="http://schemas.microsoft.com/office/drawing/2014/main" id="{0068B18D-4C37-492A-98F8-9C9CC848D4D6}"/>
              </a:ext>
            </a:extLst>
          </xdr:cNvPr>
          <xdr:cNvSpPr/>
        </xdr:nvSpPr>
        <xdr:spPr>
          <a:xfrm rot="5400000">
            <a:off x="13704867" y="3268985"/>
            <a:ext cx="364305" cy="963365"/>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54" name="Rectangle 2">
            <a:extLst>
              <a:ext uri="{FF2B5EF4-FFF2-40B4-BE49-F238E27FC236}">
                <a16:creationId xmlns:a16="http://schemas.microsoft.com/office/drawing/2014/main" id="{25D3B6B2-CC9F-41E9-B6CF-BC4C2EC3EE90}"/>
              </a:ext>
            </a:extLst>
          </xdr:cNvPr>
          <xdr:cNvSpPr/>
        </xdr:nvSpPr>
        <xdr:spPr>
          <a:xfrm>
            <a:off x="10081906" y="3937147"/>
            <a:ext cx="3205552" cy="1215370"/>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ATR + CCS</a:t>
            </a:r>
          </a:p>
        </xdr:txBody>
      </xdr:sp>
      <xdr:sp macro="" textlink="">
        <xdr:nvSpPr>
          <xdr:cNvPr id="155" name="Rectangle 3">
            <a:extLst>
              <a:ext uri="{FF2B5EF4-FFF2-40B4-BE49-F238E27FC236}">
                <a16:creationId xmlns:a16="http://schemas.microsoft.com/office/drawing/2014/main" id="{97068059-1607-47FA-84E2-D40141F48101}"/>
              </a:ext>
            </a:extLst>
          </xdr:cNvPr>
          <xdr:cNvSpPr/>
        </xdr:nvSpPr>
        <xdr:spPr>
          <a:xfrm>
            <a:off x="14569962" y="3961331"/>
            <a:ext cx="2003810" cy="1152796"/>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Hydrogen </a:t>
            </a:r>
          </a:p>
          <a:p>
            <a:pPr algn="ctr"/>
            <a:r>
              <a:rPr lang="en-GB" sz="1600">
                <a:solidFill>
                  <a:schemeClr val="tx1"/>
                </a:solidFill>
              </a:rPr>
              <a:t>(99.9 vol% purity, </a:t>
            </a:r>
          </a:p>
          <a:p>
            <a:pPr algn="ctr"/>
            <a:r>
              <a:rPr lang="en-GB" sz="1600">
                <a:solidFill>
                  <a:schemeClr val="tx1"/>
                </a:solidFill>
              </a:rPr>
              <a:t>3 MPa)</a:t>
            </a:r>
          </a:p>
        </xdr:txBody>
      </xdr:sp>
      <xdr:sp macro="" textlink="">
        <xdr:nvSpPr>
          <xdr:cNvPr id="156" name="Arrow: Pentagon 4">
            <a:extLst>
              <a:ext uri="{FF2B5EF4-FFF2-40B4-BE49-F238E27FC236}">
                <a16:creationId xmlns:a16="http://schemas.microsoft.com/office/drawing/2014/main" id="{176A5F00-9877-45EA-8BA1-F100652EB03F}"/>
              </a:ext>
            </a:extLst>
          </xdr:cNvPr>
          <xdr:cNvSpPr/>
        </xdr:nvSpPr>
        <xdr:spPr>
          <a:xfrm>
            <a:off x="13339402" y="3956578"/>
            <a:ext cx="1188033" cy="1203940"/>
          </a:xfrm>
          <a:prstGeom prst="homePlate">
            <a:avLst>
              <a:gd name="adj" fmla="val 14626"/>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57" name="Rectangle 5">
            <a:extLst>
              <a:ext uri="{FF2B5EF4-FFF2-40B4-BE49-F238E27FC236}">
                <a16:creationId xmlns:a16="http://schemas.microsoft.com/office/drawing/2014/main" id="{5A82E947-B98A-BF49-993C-880E4D3F0689}"/>
              </a:ext>
            </a:extLst>
          </xdr:cNvPr>
          <xdr:cNvSpPr/>
        </xdr:nvSpPr>
        <xdr:spPr>
          <a:xfrm>
            <a:off x="6213522" y="3936260"/>
            <a:ext cx="1793962" cy="1197677"/>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Biogas production &amp; upgrading</a:t>
            </a:r>
          </a:p>
        </xdr:txBody>
      </xdr:sp>
      <xdr:sp macro="" textlink="">
        <xdr:nvSpPr>
          <xdr:cNvPr id="158" name="Arrow: Pentagon 6">
            <a:extLst>
              <a:ext uri="{FF2B5EF4-FFF2-40B4-BE49-F238E27FC236}">
                <a16:creationId xmlns:a16="http://schemas.microsoft.com/office/drawing/2014/main" id="{BE1DF5E9-6692-8843-8937-A6BD2B5929D6}"/>
              </a:ext>
            </a:extLst>
          </xdr:cNvPr>
          <xdr:cNvSpPr/>
        </xdr:nvSpPr>
        <xdr:spPr>
          <a:xfrm>
            <a:off x="3500680" y="3938948"/>
            <a:ext cx="381489" cy="1207202"/>
          </a:xfrm>
          <a:prstGeom prst="homePlat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59" name="Rectangle 8">
            <a:extLst>
              <a:ext uri="{FF2B5EF4-FFF2-40B4-BE49-F238E27FC236}">
                <a16:creationId xmlns:a16="http://schemas.microsoft.com/office/drawing/2014/main" id="{0DD4C5DE-EE9D-2D4D-9230-298A0276F152}"/>
              </a:ext>
            </a:extLst>
          </xdr:cNvPr>
          <xdr:cNvSpPr/>
        </xdr:nvSpPr>
        <xdr:spPr>
          <a:xfrm>
            <a:off x="631294" y="3939701"/>
            <a:ext cx="2793831" cy="1210226"/>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en-GB" sz="2000" kern="1200">
                <a:solidFill>
                  <a:schemeClr val="tx1"/>
                </a:solidFill>
                <a:latin typeface="+mn-lt"/>
                <a:ea typeface="+mn-ea"/>
                <a:cs typeface="+mn-cs"/>
              </a:rPr>
              <a:t>Maize cultivation</a:t>
            </a:r>
          </a:p>
        </xdr:txBody>
      </xdr:sp>
      <xdr:sp macro="" textlink="">
        <xdr:nvSpPr>
          <xdr:cNvPr id="161" name="Rectangle 27">
            <a:extLst>
              <a:ext uri="{FF2B5EF4-FFF2-40B4-BE49-F238E27FC236}">
                <a16:creationId xmlns:a16="http://schemas.microsoft.com/office/drawing/2014/main" id="{A14999E6-3EAF-ED42-9EC2-1B123D7AEA70}"/>
              </a:ext>
            </a:extLst>
          </xdr:cNvPr>
          <xdr:cNvSpPr/>
        </xdr:nvSpPr>
        <xdr:spPr>
          <a:xfrm rot="16200000">
            <a:off x="627805" y="2584360"/>
            <a:ext cx="1403818"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Fertiliser</a:t>
            </a:r>
            <a:endParaRPr lang="en-GB" sz="1200">
              <a:solidFill>
                <a:schemeClr val="tx1"/>
              </a:solidFill>
            </a:endParaRPr>
          </a:p>
        </xdr:txBody>
      </xdr:sp>
      <xdr:sp macro="" textlink="">
        <xdr:nvSpPr>
          <xdr:cNvPr id="162" name="Rectangle 28">
            <a:extLst>
              <a:ext uri="{FF2B5EF4-FFF2-40B4-BE49-F238E27FC236}">
                <a16:creationId xmlns:a16="http://schemas.microsoft.com/office/drawing/2014/main" id="{7E3C4F2B-C1DD-B242-8155-F0ADB1D6CDEF}"/>
              </a:ext>
            </a:extLst>
          </xdr:cNvPr>
          <xdr:cNvSpPr/>
        </xdr:nvSpPr>
        <xdr:spPr>
          <a:xfrm rot="16200000">
            <a:off x="1298585" y="2584362"/>
            <a:ext cx="1403817"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Maize seed</a:t>
            </a:r>
          </a:p>
        </xdr:txBody>
      </xdr:sp>
      <xdr:sp macro="" textlink="">
        <xdr:nvSpPr>
          <xdr:cNvPr id="163" name="Rectangle 29">
            <a:extLst>
              <a:ext uri="{FF2B5EF4-FFF2-40B4-BE49-F238E27FC236}">
                <a16:creationId xmlns:a16="http://schemas.microsoft.com/office/drawing/2014/main" id="{8F203214-0AD6-024E-BF20-78E15351EB43}"/>
              </a:ext>
            </a:extLst>
          </xdr:cNvPr>
          <xdr:cNvSpPr/>
        </xdr:nvSpPr>
        <xdr:spPr>
          <a:xfrm rot="16200000">
            <a:off x="1980798" y="2584359"/>
            <a:ext cx="1403816" cy="57063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Diesel</a:t>
            </a:r>
          </a:p>
        </xdr:txBody>
      </xdr:sp>
      <xdr:sp macro="" textlink="">
        <xdr:nvSpPr>
          <xdr:cNvPr id="164" name="Arrow: Pentagon 30">
            <a:extLst>
              <a:ext uri="{FF2B5EF4-FFF2-40B4-BE49-F238E27FC236}">
                <a16:creationId xmlns:a16="http://schemas.microsoft.com/office/drawing/2014/main" id="{4B75E21A-B468-6F4A-9D51-A05660640186}"/>
              </a:ext>
            </a:extLst>
          </xdr:cNvPr>
          <xdr:cNvSpPr/>
        </xdr:nvSpPr>
        <xdr:spPr>
          <a:xfrm rot="16200000" flipH="1">
            <a:off x="1868665" y="2790242"/>
            <a:ext cx="275093" cy="1923633"/>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5" name="Rectangle 10">
            <a:extLst>
              <a:ext uri="{FF2B5EF4-FFF2-40B4-BE49-F238E27FC236}">
                <a16:creationId xmlns:a16="http://schemas.microsoft.com/office/drawing/2014/main" id="{9B7BD375-22E2-C047-A93A-F5EC0CAEC494}"/>
              </a:ext>
            </a:extLst>
          </xdr:cNvPr>
          <xdr:cNvSpPr/>
        </xdr:nvSpPr>
        <xdr:spPr>
          <a:xfrm>
            <a:off x="3912828" y="3929563"/>
            <a:ext cx="1792750" cy="1197677"/>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Feedstock collection &amp; transport</a:t>
            </a:r>
          </a:p>
        </xdr:txBody>
      </xdr:sp>
      <xdr:sp macro="" textlink="">
        <xdr:nvSpPr>
          <xdr:cNvPr id="166" name="Rectangle 11">
            <a:extLst>
              <a:ext uri="{FF2B5EF4-FFF2-40B4-BE49-F238E27FC236}">
                <a16:creationId xmlns:a16="http://schemas.microsoft.com/office/drawing/2014/main" id="{43032507-AA92-DD43-BC36-45AD26335720}"/>
              </a:ext>
            </a:extLst>
          </xdr:cNvPr>
          <xdr:cNvSpPr/>
        </xdr:nvSpPr>
        <xdr:spPr>
          <a:xfrm>
            <a:off x="3912828" y="2602149"/>
            <a:ext cx="1792750" cy="93874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Road transport: distance travelled, diesel truck</a:t>
            </a:r>
          </a:p>
        </xdr:txBody>
      </xdr:sp>
      <xdr:sp macro="" textlink="">
        <xdr:nvSpPr>
          <xdr:cNvPr id="167" name="Arrow: Pentagon 12">
            <a:extLst>
              <a:ext uri="{FF2B5EF4-FFF2-40B4-BE49-F238E27FC236}">
                <a16:creationId xmlns:a16="http://schemas.microsoft.com/office/drawing/2014/main" id="{EFD53E71-524C-6A46-9DAF-34D0F289B2D9}"/>
              </a:ext>
            </a:extLst>
          </xdr:cNvPr>
          <xdr:cNvSpPr/>
        </xdr:nvSpPr>
        <xdr:spPr>
          <a:xfrm rot="5400000">
            <a:off x="4674896" y="2826515"/>
            <a:ext cx="268611" cy="179274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8" name="Arrow: Pentagon 13">
            <a:extLst>
              <a:ext uri="{FF2B5EF4-FFF2-40B4-BE49-F238E27FC236}">
                <a16:creationId xmlns:a16="http://schemas.microsoft.com/office/drawing/2014/main" id="{D6BFF58F-541B-2D41-AF8B-9294909D3ACF}"/>
              </a:ext>
            </a:extLst>
          </xdr:cNvPr>
          <xdr:cNvSpPr/>
        </xdr:nvSpPr>
        <xdr:spPr>
          <a:xfrm>
            <a:off x="5763781" y="3918008"/>
            <a:ext cx="371964" cy="1208977"/>
          </a:xfrm>
          <a:prstGeom prst="homePlate">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69" name="Pentagon 56">
            <a:extLst>
              <a:ext uri="{FF2B5EF4-FFF2-40B4-BE49-F238E27FC236}">
                <a16:creationId xmlns:a16="http://schemas.microsoft.com/office/drawing/2014/main" id="{80035EAD-72C9-104E-B073-EC9476CD63CF}"/>
              </a:ext>
            </a:extLst>
          </xdr:cNvPr>
          <xdr:cNvSpPr/>
        </xdr:nvSpPr>
        <xdr:spPr>
          <a:xfrm>
            <a:off x="8105154" y="3938197"/>
            <a:ext cx="1954344" cy="1195177"/>
          </a:xfrm>
          <a:prstGeom prst="homePlate">
            <a:avLst>
              <a:gd name="adj" fmla="val 25128"/>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Biomethane</a:t>
            </a:r>
          </a:p>
        </xdr:txBody>
      </xdr:sp>
      <xdr:sp macro="" textlink="">
        <xdr:nvSpPr>
          <xdr:cNvPr id="170" name="Arrow: Pentagon 17">
            <a:extLst>
              <a:ext uri="{FF2B5EF4-FFF2-40B4-BE49-F238E27FC236}">
                <a16:creationId xmlns:a16="http://schemas.microsoft.com/office/drawing/2014/main" id="{B45911FB-E099-AB4C-8A8E-62F77617E5BB}"/>
              </a:ext>
            </a:extLst>
          </xdr:cNvPr>
          <xdr:cNvSpPr/>
        </xdr:nvSpPr>
        <xdr:spPr>
          <a:xfrm rot="5400000">
            <a:off x="10841755" y="2821872"/>
            <a:ext cx="275470" cy="1795176"/>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1" name="Rectangle 18">
            <a:extLst>
              <a:ext uri="{FF2B5EF4-FFF2-40B4-BE49-F238E27FC236}">
                <a16:creationId xmlns:a16="http://schemas.microsoft.com/office/drawing/2014/main" id="{3F688BD7-A9E4-4E43-9632-0E186D08B9E0}"/>
              </a:ext>
            </a:extLst>
          </xdr:cNvPr>
          <xdr:cNvSpPr/>
        </xdr:nvSpPr>
        <xdr:spPr>
          <a:xfrm>
            <a:off x="10081900" y="1993084"/>
            <a:ext cx="1795173" cy="57096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72" name="Rectangle 19">
            <a:extLst>
              <a:ext uri="{FF2B5EF4-FFF2-40B4-BE49-F238E27FC236}">
                <a16:creationId xmlns:a16="http://schemas.microsoft.com/office/drawing/2014/main" id="{8391B5B3-BFFC-FD4B-BE01-B46C73F8E5CB}"/>
              </a:ext>
            </a:extLst>
          </xdr:cNvPr>
          <xdr:cNvSpPr/>
        </xdr:nvSpPr>
        <xdr:spPr>
          <a:xfrm>
            <a:off x="10081907" y="2927127"/>
            <a:ext cx="1795172" cy="57096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173" name="Arrow: Pentagon 20">
            <a:extLst>
              <a:ext uri="{FF2B5EF4-FFF2-40B4-BE49-F238E27FC236}">
                <a16:creationId xmlns:a16="http://schemas.microsoft.com/office/drawing/2014/main" id="{293AB32E-D2B7-DA44-921D-5F53DB910EB1}"/>
              </a:ext>
            </a:extLst>
          </xdr:cNvPr>
          <xdr:cNvSpPr/>
        </xdr:nvSpPr>
        <xdr:spPr>
          <a:xfrm rot="5400000">
            <a:off x="10845754" y="1854297"/>
            <a:ext cx="267467" cy="1795177"/>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4" name="Arrow: Pentagon 21">
            <a:extLst>
              <a:ext uri="{FF2B5EF4-FFF2-40B4-BE49-F238E27FC236}">
                <a16:creationId xmlns:a16="http://schemas.microsoft.com/office/drawing/2014/main" id="{551EF02A-A3C9-8946-BAC3-3A417FB3EA0E}"/>
              </a:ext>
            </a:extLst>
          </xdr:cNvPr>
          <xdr:cNvSpPr/>
        </xdr:nvSpPr>
        <xdr:spPr>
          <a:xfrm rot="5400000">
            <a:off x="12149483" y="4521994"/>
            <a:ext cx="462218" cy="180469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5" name="Rectangle 22">
            <a:extLst>
              <a:ext uri="{FF2B5EF4-FFF2-40B4-BE49-F238E27FC236}">
                <a16:creationId xmlns:a16="http://schemas.microsoft.com/office/drawing/2014/main" id="{77A6B77A-FE23-F845-9D75-C0F27A8964A0}"/>
              </a:ext>
            </a:extLst>
          </xdr:cNvPr>
          <xdr:cNvSpPr/>
        </xdr:nvSpPr>
        <xdr:spPr>
          <a:xfrm>
            <a:off x="11478245" y="5765726"/>
            <a:ext cx="1804698" cy="1577489"/>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Biogenic CO</a:t>
            </a:r>
            <a:r>
              <a:rPr lang="en-GB" sz="1600" baseline="-25000">
                <a:solidFill>
                  <a:schemeClr val="tx1"/>
                </a:solidFill>
              </a:rPr>
              <a:t>2</a:t>
            </a:r>
            <a:r>
              <a:rPr lang="en-GB" sz="1600">
                <a:solidFill>
                  <a:schemeClr val="tx1"/>
                </a:solidFill>
              </a:rPr>
              <a:t> capture and sequestration</a:t>
            </a:r>
          </a:p>
        </xdr:txBody>
      </xdr:sp>
      <xdr:sp macro="" textlink="">
        <xdr:nvSpPr>
          <xdr:cNvPr id="176" name="Arrow: Pentagon 23">
            <a:extLst>
              <a:ext uri="{FF2B5EF4-FFF2-40B4-BE49-F238E27FC236}">
                <a16:creationId xmlns:a16="http://schemas.microsoft.com/office/drawing/2014/main" id="{5CE57FDC-62AC-154E-AA0B-A86A942A4617}"/>
              </a:ext>
            </a:extLst>
          </xdr:cNvPr>
          <xdr:cNvSpPr/>
        </xdr:nvSpPr>
        <xdr:spPr>
          <a:xfrm rot="5400000">
            <a:off x="6973992" y="2828114"/>
            <a:ext cx="273019" cy="179396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7" name="Rectangle 24">
            <a:extLst>
              <a:ext uri="{FF2B5EF4-FFF2-40B4-BE49-F238E27FC236}">
                <a16:creationId xmlns:a16="http://schemas.microsoft.com/office/drawing/2014/main" id="{8BCBC994-FD87-8C43-AA43-F9477F3AD692}"/>
              </a:ext>
            </a:extLst>
          </xdr:cNvPr>
          <xdr:cNvSpPr/>
        </xdr:nvSpPr>
        <xdr:spPr>
          <a:xfrm>
            <a:off x="6213520" y="1988516"/>
            <a:ext cx="1793961" cy="57858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78" name="Arrow: Pentagon 25">
            <a:extLst>
              <a:ext uri="{FF2B5EF4-FFF2-40B4-BE49-F238E27FC236}">
                <a16:creationId xmlns:a16="http://schemas.microsoft.com/office/drawing/2014/main" id="{1420A524-796F-7C47-BBAD-C6D530FDC333}"/>
              </a:ext>
            </a:extLst>
          </xdr:cNvPr>
          <xdr:cNvSpPr/>
        </xdr:nvSpPr>
        <xdr:spPr>
          <a:xfrm rot="5400000">
            <a:off x="6979286" y="1860473"/>
            <a:ext cx="262429" cy="1793961"/>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79" name="Rectangle 26">
            <a:extLst>
              <a:ext uri="{FF2B5EF4-FFF2-40B4-BE49-F238E27FC236}">
                <a16:creationId xmlns:a16="http://schemas.microsoft.com/office/drawing/2014/main" id="{B5CCB825-260F-2A45-8EE6-D2CD3D45C784}"/>
              </a:ext>
            </a:extLst>
          </xdr:cNvPr>
          <xdr:cNvSpPr/>
        </xdr:nvSpPr>
        <xdr:spPr>
          <a:xfrm>
            <a:off x="6213522" y="2923665"/>
            <a:ext cx="1793960" cy="577227"/>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33" name="TextBox 32">
            <a:extLst>
              <a:ext uri="{FF2B5EF4-FFF2-40B4-BE49-F238E27FC236}">
                <a16:creationId xmlns:a16="http://schemas.microsoft.com/office/drawing/2014/main" id="{2D8B50CF-F0A0-40C0-87C6-59B734F7D36D}"/>
              </a:ext>
            </a:extLst>
          </xdr:cNvPr>
          <xdr:cNvSpPr txBox="1"/>
        </xdr:nvSpPr>
        <xdr:spPr>
          <a:xfrm>
            <a:off x="440055" y="5664798"/>
            <a:ext cx="2806187" cy="2728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Indicative</a:t>
            </a:r>
            <a:r>
              <a:rPr lang="en-GB" sz="1100" baseline="0">
                <a:solidFill>
                  <a:srgbClr val="FF0000"/>
                </a:solidFill>
              </a:rPr>
              <a:t> GHG emissions system boundary</a:t>
            </a:r>
            <a:endParaRPr lang="en-GB" sz="1100">
              <a:solidFill>
                <a:srgbClr val="FF0000"/>
              </a:solidFill>
            </a:endParaRPr>
          </a:p>
        </xdr:txBody>
      </xdr:sp>
      <xdr:sp macro="" textlink="">
        <xdr:nvSpPr>
          <xdr:cNvPr id="34" name="Rectangle 33">
            <a:extLst>
              <a:ext uri="{FF2B5EF4-FFF2-40B4-BE49-F238E27FC236}">
                <a16:creationId xmlns:a16="http://schemas.microsoft.com/office/drawing/2014/main" id="{F3D82ADE-E536-4DAA-8658-0EBB779FDD53}"/>
              </a:ext>
            </a:extLst>
          </xdr:cNvPr>
          <xdr:cNvSpPr/>
        </xdr:nvSpPr>
        <xdr:spPr>
          <a:xfrm>
            <a:off x="514332" y="3719232"/>
            <a:ext cx="9369380" cy="159078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5" name="TextBox 34">
            <a:extLst>
              <a:ext uri="{FF2B5EF4-FFF2-40B4-BE49-F238E27FC236}">
                <a16:creationId xmlns:a16="http://schemas.microsoft.com/office/drawing/2014/main" id="{3E6E04B3-6993-4BF8-BD02-ED3177F0AE7F}"/>
              </a:ext>
            </a:extLst>
          </xdr:cNvPr>
          <xdr:cNvSpPr txBox="1"/>
        </xdr:nvSpPr>
        <xdr:spPr>
          <a:xfrm>
            <a:off x="8747032" y="5065955"/>
            <a:ext cx="1178580"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Feedstock supply</a:t>
            </a:r>
          </a:p>
        </xdr:txBody>
      </xdr:sp>
      <xdr:sp macro="" textlink="">
        <xdr:nvSpPr>
          <xdr:cNvPr id="36" name="Rectangle 35">
            <a:extLst>
              <a:ext uri="{FF2B5EF4-FFF2-40B4-BE49-F238E27FC236}">
                <a16:creationId xmlns:a16="http://schemas.microsoft.com/office/drawing/2014/main" id="{421CCBA7-0EEE-47A2-90D2-3687AD22B372}"/>
              </a:ext>
            </a:extLst>
          </xdr:cNvPr>
          <xdr:cNvSpPr/>
        </xdr:nvSpPr>
        <xdr:spPr>
          <a:xfrm>
            <a:off x="10106543" y="3717326"/>
            <a:ext cx="1767870" cy="14310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7" name="TextBox 36">
            <a:extLst>
              <a:ext uri="{FF2B5EF4-FFF2-40B4-BE49-F238E27FC236}">
                <a16:creationId xmlns:a16="http://schemas.microsoft.com/office/drawing/2014/main" id="{6F0A09A3-58A1-4CE1-8DD1-62B360E33705}"/>
              </a:ext>
            </a:extLst>
          </xdr:cNvPr>
          <xdr:cNvSpPr txBox="1"/>
        </xdr:nvSpPr>
        <xdr:spPr>
          <a:xfrm>
            <a:off x="10543470" y="3644937"/>
            <a:ext cx="1058594"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Energy supply</a:t>
            </a:r>
          </a:p>
        </xdr:txBody>
      </xdr:sp>
      <xdr:sp macro="" textlink="">
        <xdr:nvSpPr>
          <xdr:cNvPr id="86" name="Arrow: Pentagon 37">
            <a:extLst>
              <a:ext uri="{FF2B5EF4-FFF2-40B4-BE49-F238E27FC236}">
                <a16:creationId xmlns:a16="http://schemas.microsoft.com/office/drawing/2014/main" id="{77F1303A-AFDC-4D35-9C82-6C429A6C3694}"/>
              </a:ext>
            </a:extLst>
          </xdr:cNvPr>
          <xdr:cNvSpPr/>
        </xdr:nvSpPr>
        <xdr:spPr>
          <a:xfrm rot="5400000">
            <a:off x="11102128" y="5258699"/>
            <a:ext cx="423452" cy="286007"/>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5" name="Rectangle 38">
            <a:extLst>
              <a:ext uri="{FF2B5EF4-FFF2-40B4-BE49-F238E27FC236}">
                <a16:creationId xmlns:a16="http://schemas.microsoft.com/office/drawing/2014/main" id="{1EDFEFA0-4A8B-47E3-8A93-0B3CBBE4D2B6}"/>
              </a:ext>
            </a:extLst>
          </xdr:cNvPr>
          <xdr:cNvSpPr/>
        </xdr:nvSpPr>
        <xdr:spPr>
          <a:xfrm rot="16200000">
            <a:off x="10513742" y="6417564"/>
            <a:ext cx="1586184" cy="265115"/>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Bio-CO</a:t>
            </a:r>
            <a:r>
              <a:rPr lang="en-GB" sz="1600" baseline="-25000">
                <a:solidFill>
                  <a:schemeClr val="tx1"/>
                </a:solidFill>
              </a:rPr>
              <a:t>2</a:t>
            </a:r>
            <a:r>
              <a:rPr lang="en-GB" sz="1600">
                <a:solidFill>
                  <a:schemeClr val="tx1"/>
                </a:solidFill>
              </a:rPr>
              <a:t> release</a:t>
            </a:r>
          </a:p>
        </xdr:txBody>
      </xdr:sp>
      <xdr:sp macro="" textlink="">
        <xdr:nvSpPr>
          <xdr:cNvPr id="121" name="Rectangle 39">
            <a:extLst>
              <a:ext uri="{FF2B5EF4-FFF2-40B4-BE49-F238E27FC236}">
                <a16:creationId xmlns:a16="http://schemas.microsoft.com/office/drawing/2014/main" id="{9E0DECC1-FEE8-48EE-A798-4777A205931B}"/>
              </a:ext>
            </a:extLst>
          </xdr:cNvPr>
          <xdr:cNvSpPr/>
        </xdr:nvSpPr>
        <xdr:spPr>
          <a:xfrm>
            <a:off x="11992498" y="2923766"/>
            <a:ext cx="892897" cy="57951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Water</a:t>
            </a:r>
          </a:p>
        </xdr:txBody>
      </xdr:sp>
      <xdr:sp macro="" textlink="">
        <xdr:nvSpPr>
          <xdr:cNvPr id="122" name="Arrow: Pentagon 40">
            <a:extLst>
              <a:ext uri="{FF2B5EF4-FFF2-40B4-BE49-F238E27FC236}">
                <a16:creationId xmlns:a16="http://schemas.microsoft.com/office/drawing/2014/main" id="{684CA63A-4F28-44C9-99E3-4716C8237514}"/>
              </a:ext>
            </a:extLst>
          </xdr:cNvPr>
          <xdr:cNvSpPr/>
        </xdr:nvSpPr>
        <xdr:spPr>
          <a:xfrm rot="5400000">
            <a:off x="12304025" y="3260013"/>
            <a:ext cx="286197" cy="91463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25" name="Rectangle 41">
            <a:extLst>
              <a:ext uri="{FF2B5EF4-FFF2-40B4-BE49-F238E27FC236}">
                <a16:creationId xmlns:a16="http://schemas.microsoft.com/office/drawing/2014/main" id="{69B442C1-E44B-49BF-A535-E1F3C1587743}"/>
              </a:ext>
            </a:extLst>
          </xdr:cNvPr>
          <xdr:cNvSpPr/>
        </xdr:nvSpPr>
        <xdr:spPr>
          <a:xfrm>
            <a:off x="11988687" y="3700180"/>
            <a:ext cx="915755" cy="18882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24" name="TextBox 42">
            <a:extLst>
              <a:ext uri="{FF2B5EF4-FFF2-40B4-BE49-F238E27FC236}">
                <a16:creationId xmlns:a16="http://schemas.microsoft.com/office/drawing/2014/main" id="{03AE3854-C959-4D70-89EB-D109994B88BE}"/>
              </a:ext>
            </a:extLst>
          </xdr:cNvPr>
          <xdr:cNvSpPr txBox="1"/>
        </xdr:nvSpPr>
        <xdr:spPr>
          <a:xfrm>
            <a:off x="11923934" y="3641127"/>
            <a:ext cx="1052880" cy="2916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Input materials</a:t>
            </a:r>
          </a:p>
        </xdr:txBody>
      </xdr:sp>
      <xdr:sp macro="" textlink="">
        <xdr:nvSpPr>
          <xdr:cNvPr id="2" name="Rectangle 1">
            <a:extLst>
              <a:ext uri="{FF2B5EF4-FFF2-40B4-BE49-F238E27FC236}">
                <a16:creationId xmlns:a16="http://schemas.microsoft.com/office/drawing/2014/main" id="{99A90066-F997-494E-996E-EFD3A8DED67D}"/>
              </a:ext>
            </a:extLst>
          </xdr:cNvPr>
          <xdr:cNvSpPr/>
        </xdr:nvSpPr>
        <xdr:spPr>
          <a:xfrm>
            <a:off x="438149" y="3643033"/>
            <a:ext cx="14021972" cy="2050340"/>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3" name="Rectangle 43">
            <a:extLst>
              <a:ext uri="{FF2B5EF4-FFF2-40B4-BE49-F238E27FC236}">
                <a16:creationId xmlns:a16="http://schemas.microsoft.com/office/drawing/2014/main" id="{F971B34B-4C91-40BB-B6BA-112E2DBFEB94}"/>
              </a:ext>
            </a:extLst>
          </xdr:cNvPr>
          <xdr:cNvSpPr/>
        </xdr:nvSpPr>
        <xdr:spPr>
          <a:xfrm>
            <a:off x="11155615" y="5166919"/>
            <a:ext cx="2129737" cy="162150"/>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2" name="Rectangle 44">
            <a:extLst>
              <a:ext uri="{FF2B5EF4-FFF2-40B4-BE49-F238E27FC236}">
                <a16:creationId xmlns:a16="http://schemas.microsoft.com/office/drawing/2014/main" id="{8EFA83FD-F18B-48A5-B499-F3433AE3AB1A}"/>
              </a:ext>
            </a:extLst>
          </xdr:cNvPr>
          <xdr:cNvSpPr/>
        </xdr:nvSpPr>
        <xdr:spPr>
          <a:xfrm>
            <a:off x="11487006" y="5388348"/>
            <a:ext cx="1819295" cy="16192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8" name="TextBox 45">
            <a:extLst>
              <a:ext uri="{FF2B5EF4-FFF2-40B4-BE49-F238E27FC236}">
                <a16:creationId xmlns:a16="http://schemas.microsoft.com/office/drawing/2014/main" id="{C7EE30DE-315A-48A8-95B5-C6CD011FA6EA}"/>
              </a:ext>
            </a:extLst>
          </xdr:cNvPr>
          <xdr:cNvSpPr txBox="1"/>
        </xdr:nvSpPr>
        <xdr:spPr>
          <a:xfrm>
            <a:off x="11536526" y="5113580"/>
            <a:ext cx="1919116" cy="282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Process CO2 emissions</a:t>
            </a:r>
          </a:p>
        </xdr:txBody>
      </xdr:sp>
      <xdr:sp macro="" textlink="">
        <xdr:nvSpPr>
          <xdr:cNvPr id="87" name="TextBox 46">
            <a:extLst>
              <a:ext uri="{FF2B5EF4-FFF2-40B4-BE49-F238E27FC236}">
                <a16:creationId xmlns:a16="http://schemas.microsoft.com/office/drawing/2014/main" id="{A44B0D46-53A1-4AAE-96E6-F587CCF1083A}"/>
              </a:ext>
            </a:extLst>
          </xdr:cNvPr>
          <xdr:cNvSpPr txBox="1"/>
        </xdr:nvSpPr>
        <xdr:spPr>
          <a:xfrm>
            <a:off x="11803947" y="5330974"/>
            <a:ext cx="1920234" cy="2823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CO2 sequestered</a:t>
            </a:r>
          </a:p>
        </xdr:txBody>
      </xdr:sp>
      <xdr:sp macro="" textlink="">
        <xdr:nvSpPr>
          <xdr:cNvPr id="48" name="Rectangle 47">
            <a:extLst>
              <a:ext uri="{FF2B5EF4-FFF2-40B4-BE49-F238E27FC236}">
                <a16:creationId xmlns:a16="http://schemas.microsoft.com/office/drawing/2014/main" id="{89C3DE9B-9D70-402D-A924-6357F550C8C5}"/>
              </a:ext>
            </a:extLst>
          </xdr:cNvPr>
          <xdr:cNvSpPr/>
        </xdr:nvSpPr>
        <xdr:spPr>
          <a:xfrm rot="16200000">
            <a:off x="13132586" y="3995790"/>
            <a:ext cx="1505061" cy="93289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9" name="TextBox 48">
            <a:extLst>
              <a:ext uri="{FF2B5EF4-FFF2-40B4-BE49-F238E27FC236}">
                <a16:creationId xmlns:a16="http://schemas.microsoft.com/office/drawing/2014/main" id="{A466C68B-07A4-4C79-B7B0-9034F36B1D3B}"/>
              </a:ext>
            </a:extLst>
          </xdr:cNvPr>
          <xdr:cNvSpPr txBox="1"/>
        </xdr:nvSpPr>
        <xdr:spPr>
          <a:xfrm>
            <a:off x="13421052" y="4220443"/>
            <a:ext cx="985742" cy="8955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Theoretical compression &amp; purification</a:t>
            </a:r>
          </a:p>
        </xdr:txBody>
      </xdr:sp>
      <xdr:sp macro="" textlink="">
        <xdr:nvSpPr>
          <xdr:cNvPr id="51" name="Rectangle 50">
            <a:extLst>
              <a:ext uri="{FF2B5EF4-FFF2-40B4-BE49-F238E27FC236}">
                <a16:creationId xmlns:a16="http://schemas.microsoft.com/office/drawing/2014/main" id="{9A46435A-99FD-403B-A5AA-D663DB58EF06}"/>
              </a:ext>
            </a:extLst>
          </xdr:cNvPr>
          <xdr:cNvSpPr/>
        </xdr:nvSpPr>
        <xdr:spPr>
          <a:xfrm>
            <a:off x="13433906" y="1992343"/>
            <a:ext cx="934796" cy="57112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UK electricity generation</a:t>
            </a:r>
          </a:p>
        </xdr:txBody>
      </xdr:sp>
      <xdr:sp macro="" textlink="">
        <xdr:nvSpPr>
          <xdr:cNvPr id="52" name="Rectangle 51">
            <a:extLst>
              <a:ext uri="{FF2B5EF4-FFF2-40B4-BE49-F238E27FC236}">
                <a16:creationId xmlns:a16="http://schemas.microsoft.com/office/drawing/2014/main" id="{1B265433-A762-4821-A957-1441C7329F2C}"/>
              </a:ext>
            </a:extLst>
          </xdr:cNvPr>
          <xdr:cNvSpPr/>
        </xdr:nvSpPr>
        <xdr:spPr>
          <a:xfrm>
            <a:off x="13418669" y="2922752"/>
            <a:ext cx="950034" cy="571122"/>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Electricity grid</a:t>
            </a:r>
          </a:p>
          <a:p>
            <a:pPr algn="ctr"/>
            <a:r>
              <a:rPr lang="en-GB" sz="1100">
                <a:solidFill>
                  <a:schemeClr val="tx1"/>
                </a:solidFill>
              </a:rPr>
              <a:t>(T&amp;D losses)</a:t>
            </a:r>
          </a:p>
        </xdr:txBody>
      </xdr:sp>
      <xdr:sp macro="" textlink="">
        <xdr:nvSpPr>
          <xdr:cNvPr id="53" name="Arrow: Pentagon 52">
            <a:extLst>
              <a:ext uri="{FF2B5EF4-FFF2-40B4-BE49-F238E27FC236}">
                <a16:creationId xmlns:a16="http://schemas.microsoft.com/office/drawing/2014/main" id="{60284621-F331-43BA-8D8A-29F538CDF05C}"/>
              </a:ext>
            </a:extLst>
          </xdr:cNvPr>
          <xdr:cNvSpPr/>
        </xdr:nvSpPr>
        <xdr:spPr>
          <a:xfrm rot="5400000">
            <a:off x="13751003" y="2284464"/>
            <a:ext cx="301435" cy="93563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4" name="Arrow: Pentagon 53">
            <a:extLst>
              <a:ext uri="{FF2B5EF4-FFF2-40B4-BE49-F238E27FC236}">
                <a16:creationId xmlns:a16="http://schemas.microsoft.com/office/drawing/2014/main" id="{D66A3C62-23DB-4E59-80AD-FB806CA6F559}"/>
              </a:ext>
            </a:extLst>
          </xdr:cNvPr>
          <xdr:cNvSpPr/>
        </xdr:nvSpPr>
        <xdr:spPr>
          <a:xfrm rot="5400000" flipV="1">
            <a:off x="10775833" y="5264056"/>
            <a:ext cx="417868" cy="265512"/>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80" name="Rectangle 38">
            <a:extLst>
              <a:ext uri="{FF2B5EF4-FFF2-40B4-BE49-F238E27FC236}">
                <a16:creationId xmlns:a16="http://schemas.microsoft.com/office/drawing/2014/main" id="{F76D27B9-06D1-41EA-BB2E-23B6CB193649}"/>
              </a:ext>
            </a:extLst>
          </xdr:cNvPr>
          <xdr:cNvSpPr/>
        </xdr:nvSpPr>
        <xdr:spPr>
          <a:xfrm rot="16200000">
            <a:off x="10181197" y="6429752"/>
            <a:ext cx="1583888" cy="243045"/>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Fugitive non-CO</a:t>
            </a:r>
            <a:r>
              <a:rPr lang="en-GB" sz="1600" baseline="-25000">
                <a:solidFill>
                  <a:schemeClr val="tx1"/>
                </a:solidFill>
              </a:rPr>
              <a:t>2</a:t>
            </a:r>
            <a:endParaRPr lang="en-GB" sz="1600">
              <a:solidFill>
                <a:schemeClr val="tx1"/>
              </a:solidFill>
            </a:endParaRPr>
          </a:p>
        </xdr:txBody>
      </xdr:sp>
      <xdr:sp macro="" textlink="">
        <xdr:nvSpPr>
          <xdr:cNvPr id="181" name="Rectangle 43">
            <a:extLst>
              <a:ext uri="{FF2B5EF4-FFF2-40B4-BE49-F238E27FC236}">
                <a16:creationId xmlns:a16="http://schemas.microsoft.com/office/drawing/2014/main" id="{48627BB9-7D7D-457C-83F0-0B8F986597C4}"/>
              </a:ext>
            </a:extLst>
          </xdr:cNvPr>
          <xdr:cNvSpPr/>
        </xdr:nvSpPr>
        <xdr:spPr>
          <a:xfrm>
            <a:off x="10283076" y="5165276"/>
            <a:ext cx="849289" cy="31950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82" name="TextBox 46">
            <a:extLst>
              <a:ext uri="{FF2B5EF4-FFF2-40B4-BE49-F238E27FC236}">
                <a16:creationId xmlns:a16="http://schemas.microsoft.com/office/drawing/2014/main" id="{F49B8935-23D4-4A1D-9DE7-16C4809223AE}"/>
              </a:ext>
            </a:extLst>
          </xdr:cNvPr>
          <xdr:cNvSpPr txBox="1"/>
        </xdr:nvSpPr>
        <xdr:spPr>
          <a:xfrm>
            <a:off x="10221210" y="5114237"/>
            <a:ext cx="702580" cy="5790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Fugitive</a:t>
            </a:r>
            <a:r>
              <a:rPr lang="en-GB" sz="1100" baseline="0">
                <a:solidFill>
                  <a:srgbClr val="FF0000"/>
                </a:solidFill>
              </a:rPr>
              <a:t> non-CO2</a:t>
            </a:r>
            <a:endParaRPr lang="en-GB" sz="1100">
              <a:solidFill>
                <a:srgbClr val="FF0000"/>
              </a:solidFill>
            </a:endParaRPr>
          </a:p>
        </xdr:txBody>
      </xdr:sp>
    </xdr:grpSp>
    <xdr:clientData/>
  </xdr:twoCellAnchor>
  <xdr:twoCellAnchor>
    <xdr:from>
      <xdr:col>1</xdr:col>
      <xdr:colOff>0</xdr:colOff>
      <xdr:row>47</xdr:row>
      <xdr:rowOff>0</xdr:rowOff>
    </xdr:from>
    <xdr:to>
      <xdr:col>4</xdr:col>
      <xdr:colOff>602614</xdr:colOff>
      <xdr:row>74</xdr:row>
      <xdr:rowOff>51163</xdr:rowOff>
    </xdr:to>
    <xdr:grpSp>
      <xdr:nvGrpSpPr>
        <xdr:cNvPr id="3" name="Group 2">
          <a:extLst>
            <a:ext uri="{FF2B5EF4-FFF2-40B4-BE49-F238E27FC236}">
              <a16:creationId xmlns:a16="http://schemas.microsoft.com/office/drawing/2014/main" id="{784A4CE4-44BF-4D3E-8C39-55C99102F9A7}"/>
            </a:ext>
          </a:extLst>
        </xdr:cNvPr>
        <xdr:cNvGrpSpPr/>
      </xdr:nvGrpSpPr>
      <xdr:grpSpPr>
        <a:xfrm>
          <a:off x="609600" y="8686800"/>
          <a:ext cx="8174989" cy="4937488"/>
          <a:chOff x="8380322" y="2372813"/>
          <a:chExt cx="8386082" cy="4942387"/>
        </a:xfrm>
      </xdr:grpSpPr>
      <xdr:sp macro="" textlink="">
        <xdr:nvSpPr>
          <xdr:cNvPr id="5" name="Arrow: Pentagon 40">
            <a:extLst>
              <a:ext uri="{FF2B5EF4-FFF2-40B4-BE49-F238E27FC236}">
                <a16:creationId xmlns:a16="http://schemas.microsoft.com/office/drawing/2014/main" id="{197C13BB-E995-CAB7-4BA3-6FC3DE2D4F71}"/>
              </a:ext>
            </a:extLst>
          </xdr:cNvPr>
          <xdr:cNvSpPr/>
        </xdr:nvSpPr>
        <xdr:spPr>
          <a:xfrm rot="5400000">
            <a:off x="12685402" y="3464775"/>
            <a:ext cx="277141" cy="1285798"/>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6" name="TextBox 42">
            <a:extLst>
              <a:ext uri="{FF2B5EF4-FFF2-40B4-BE49-F238E27FC236}">
                <a16:creationId xmlns:a16="http://schemas.microsoft.com/office/drawing/2014/main" id="{30CC2296-70B9-5F7C-6DB1-580F7BF2A5D5}"/>
              </a:ext>
            </a:extLst>
          </xdr:cNvPr>
          <xdr:cNvSpPr txBox="1"/>
        </xdr:nvSpPr>
        <xdr:spPr>
          <a:xfrm>
            <a:off x="12117115" y="4036608"/>
            <a:ext cx="1348596" cy="29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rgbClr val="FF0000"/>
                </a:solidFill>
              </a:rPr>
              <a:t>Input materials</a:t>
            </a:r>
          </a:p>
        </xdr:txBody>
      </xdr:sp>
      <xdr:sp macro="" textlink="">
        <xdr:nvSpPr>
          <xdr:cNvPr id="7" name="Arrow: Pentagon 6">
            <a:extLst>
              <a:ext uri="{FF2B5EF4-FFF2-40B4-BE49-F238E27FC236}">
                <a16:creationId xmlns:a16="http://schemas.microsoft.com/office/drawing/2014/main" id="{D43509A4-2206-7023-10D8-1013C646750F}"/>
              </a:ext>
            </a:extLst>
          </xdr:cNvPr>
          <xdr:cNvSpPr/>
        </xdr:nvSpPr>
        <xdr:spPr>
          <a:xfrm rot="5400000">
            <a:off x="13888537" y="3665521"/>
            <a:ext cx="369527" cy="961346"/>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8" name="Rectangle 2">
            <a:extLst>
              <a:ext uri="{FF2B5EF4-FFF2-40B4-BE49-F238E27FC236}">
                <a16:creationId xmlns:a16="http://schemas.microsoft.com/office/drawing/2014/main" id="{33A8C97F-0579-04C6-7D8C-25F5B60B88AF}"/>
              </a:ext>
            </a:extLst>
          </xdr:cNvPr>
          <xdr:cNvSpPr/>
        </xdr:nvSpPr>
        <xdr:spPr>
          <a:xfrm>
            <a:off x="10267684" y="4335323"/>
            <a:ext cx="3207079" cy="1226435"/>
          </a:xfrm>
          <a:prstGeom prst="rect">
            <a:avLst/>
          </a:prstGeom>
          <a:solidFill>
            <a:schemeClr val="accent6">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2000">
                <a:solidFill>
                  <a:schemeClr val="tx1"/>
                </a:solidFill>
              </a:rPr>
              <a:t>Electrolysis</a:t>
            </a:r>
          </a:p>
        </xdr:txBody>
      </xdr:sp>
      <xdr:sp macro="" textlink="">
        <xdr:nvSpPr>
          <xdr:cNvPr id="9" name="Rectangle 3">
            <a:extLst>
              <a:ext uri="{FF2B5EF4-FFF2-40B4-BE49-F238E27FC236}">
                <a16:creationId xmlns:a16="http://schemas.microsoft.com/office/drawing/2014/main" id="{0AE1164E-E9D5-8E39-C862-3D791ED0951E}"/>
              </a:ext>
            </a:extLst>
          </xdr:cNvPr>
          <xdr:cNvSpPr/>
        </xdr:nvSpPr>
        <xdr:spPr>
          <a:xfrm>
            <a:off x="14762831" y="4359727"/>
            <a:ext cx="2003573" cy="1163291"/>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600">
                <a:solidFill>
                  <a:schemeClr val="tx1"/>
                </a:solidFill>
              </a:rPr>
              <a:t>Hydrogen </a:t>
            </a:r>
          </a:p>
          <a:p>
            <a:pPr algn="ctr"/>
            <a:r>
              <a:rPr lang="en-GB" sz="1600">
                <a:solidFill>
                  <a:schemeClr val="tx1"/>
                </a:solidFill>
              </a:rPr>
              <a:t>(99.9 vol% purity, </a:t>
            </a:r>
          </a:p>
          <a:p>
            <a:pPr algn="ctr"/>
            <a:r>
              <a:rPr lang="en-GB" sz="1600">
                <a:solidFill>
                  <a:schemeClr val="tx1"/>
                </a:solidFill>
              </a:rPr>
              <a:t>3 MPa)</a:t>
            </a:r>
          </a:p>
        </xdr:txBody>
      </xdr:sp>
      <xdr:sp macro="" textlink="">
        <xdr:nvSpPr>
          <xdr:cNvPr id="10" name="Arrow: Pentagon 4">
            <a:extLst>
              <a:ext uri="{FF2B5EF4-FFF2-40B4-BE49-F238E27FC236}">
                <a16:creationId xmlns:a16="http://schemas.microsoft.com/office/drawing/2014/main" id="{082DAA6B-0F54-C963-04A7-927067A15193}"/>
              </a:ext>
            </a:extLst>
          </xdr:cNvPr>
          <xdr:cNvSpPr/>
        </xdr:nvSpPr>
        <xdr:spPr>
          <a:xfrm>
            <a:off x="13528606" y="4353026"/>
            <a:ext cx="1189798" cy="1209186"/>
          </a:xfrm>
          <a:prstGeom prst="homePlate">
            <a:avLst>
              <a:gd name="adj" fmla="val 14626"/>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sz="2000">
              <a:solidFill>
                <a:schemeClr val="tx1"/>
              </a:solidFill>
            </a:endParaRPr>
          </a:p>
        </xdr:txBody>
      </xdr:sp>
      <xdr:sp macro="" textlink="">
        <xdr:nvSpPr>
          <xdr:cNvPr id="11" name="Arrow: Pentagon 17">
            <a:extLst>
              <a:ext uri="{FF2B5EF4-FFF2-40B4-BE49-F238E27FC236}">
                <a16:creationId xmlns:a16="http://schemas.microsoft.com/office/drawing/2014/main" id="{4D8E3342-EE86-4154-57CB-181069311CB2}"/>
              </a:ext>
            </a:extLst>
          </xdr:cNvPr>
          <xdr:cNvSpPr/>
        </xdr:nvSpPr>
        <xdr:spPr>
          <a:xfrm rot="5400000">
            <a:off x="11025221" y="3211504"/>
            <a:ext cx="285598" cy="1800679"/>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2" name="Rectangle 18">
            <a:extLst>
              <a:ext uri="{FF2B5EF4-FFF2-40B4-BE49-F238E27FC236}">
                <a16:creationId xmlns:a16="http://schemas.microsoft.com/office/drawing/2014/main" id="{337EB340-28B8-6051-630A-86B816325B0D}"/>
              </a:ext>
            </a:extLst>
          </xdr:cNvPr>
          <xdr:cNvSpPr/>
        </xdr:nvSpPr>
        <xdr:spPr>
          <a:xfrm>
            <a:off x="10267678" y="2373561"/>
            <a:ext cx="1800676" cy="576161"/>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UK electricity generation</a:t>
            </a:r>
          </a:p>
        </xdr:txBody>
      </xdr:sp>
      <xdr:sp macro="" textlink="">
        <xdr:nvSpPr>
          <xdr:cNvPr id="13" name="Rectangle 19">
            <a:extLst>
              <a:ext uri="{FF2B5EF4-FFF2-40B4-BE49-F238E27FC236}">
                <a16:creationId xmlns:a16="http://schemas.microsoft.com/office/drawing/2014/main" id="{EAA6B33A-2A59-38FF-AD80-8459DBE570B7}"/>
              </a:ext>
            </a:extLst>
          </xdr:cNvPr>
          <xdr:cNvSpPr/>
        </xdr:nvSpPr>
        <xdr:spPr>
          <a:xfrm>
            <a:off x="10267685" y="3316107"/>
            <a:ext cx="1800675" cy="576161"/>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600">
                <a:solidFill>
                  <a:schemeClr val="tx1"/>
                </a:solidFill>
              </a:rPr>
              <a:t>Electricity grid</a:t>
            </a:r>
          </a:p>
          <a:p>
            <a:pPr algn="ctr"/>
            <a:r>
              <a:rPr lang="en-GB" sz="1600">
                <a:solidFill>
                  <a:schemeClr val="tx1"/>
                </a:solidFill>
              </a:rPr>
              <a:t>(T&amp;D losses)</a:t>
            </a:r>
          </a:p>
        </xdr:txBody>
      </xdr:sp>
      <xdr:sp macro="" textlink="">
        <xdr:nvSpPr>
          <xdr:cNvPr id="14" name="Arrow: Pentagon 20">
            <a:extLst>
              <a:ext uri="{FF2B5EF4-FFF2-40B4-BE49-F238E27FC236}">
                <a16:creationId xmlns:a16="http://schemas.microsoft.com/office/drawing/2014/main" id="{01BEF523-97BC-A0C3-9BC6-FE8F4D863F2C}"/>
              </a:ext>
            </a:extLst>
          </xdr:cNvPr>
          <xdr:cNvSpPr/>
        </xdr:nvSpPr>
        <xdr:spPr>
          <a:xfrm rot="5400000">
            <a:off x="11030208" y="2236074"/>
            <a:ext cx="275617" cy="180068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5" name="Arrow: Pentagon 21">
            <a:extLst>
              <a:ext uri="{FF2B5EF4-FFF2-40B4-BE49-F238E27FC236}">
                <a16:creationId xmlns:a16="http://schemas.microsoft.com/office/drawing/2014/main" id="{906DEFFC-37F9-5D5B-B9F4-3705058C32AA}"/>
              </a:ext>
            </a:extLst>
          </xdr:cNvPr>
          <xdr:cNvSpPr/>
        </xdr:nvSpPr>
        <xdr:spPr>
          <a:xfrm rot="5400000">
            <a:off x="12333838" y="4934769"/>
            <a:ext cx="466426" cy="180258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16" name="Rectangle 22">
            <a:extLst>
              <a:ext uri="{FF2B5EF4-FFF2-40B4-BE49-F238E27FC236}">
                <a16:creationId xmlns:a16="http://schemas.microsoft.com/office/drawing/2014/main" id="{00D59249-585B-93E0-9D57-90276ADFBF31}"/>
              </a:ext>
            </a:extLst>
          </xdr:cNvPr>
          <xdr:cNvSpPr/>
        </xdr:nvSpPr>
        <xdr:spPr>
          <a:xfrm>
            <a:off x="11665763" y="6172930"/>
            <a:ext cx="1802580" cy="114227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CO</a:t>
            </a:r>
            <a:r>
              <a:rPr lang="en-GB" sz="1100" baseline="-25000">
                <a:solidFill>
                  <a:schemeClr val="tx1"/>
                </a:solidFill>
              </a:rPr>
              <a:t>2</a:t>
            </a:r>
            <a:r>
              <a:rPr lang="en-GB" sz="1100">
                <a:solidFill>
                  <a:schemeClr val="tx1"/>
                </a:solidFill>
              </a:rPr>
              <a:t> capture and sequestration</a:t>
            </a:r>
          </a:p>
        </xdr:txBody>
      </xdr:sp>
      <xdr:sp macro="" textlink="">
        <xdr:nvSpPr>
          <xdr:cNvPr id="17" name="TextBox 16">
            <a:extLst>
              <a:ext uri="{FF2B5EF4-FFF2-40B4-BE49-F238E27FC236}">
                <a16:creationId xmlns:a16="http://schemas.microsoft.com/office/drawing/2014/main" id="{1588250D-0951-F37B-66EE-9B8A783C99A4}"/>
              </a:ext>
            </a:extLst>
          </xdr:cNvPr>
          <xdr:cNvSpPr txBox="1"/>
        </xdr:nvSpPr>
        <xdr:spPr>
          <a:xfrm>
            <a:off x="8380322" y="6109183"/>
            <a:ext cx="2807761" cy="282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Indicative</a:t>
            </a:r>
            <a:r>
              <a:rPr lang="en-GB" sz="1100" baseline="0">
                <a:solidFill>
                  <a:srgbClr val="FF0000"/>
                </a:solidFill>
              </a:rPr>
              <a:t> GHG emissions system boundary</a:t>
            </a:r>
            <a:endParaRPr lang="en-GB" sz="1100">
              <a:solidFill>
                <a:srgbClr val="FF0000"/>
              </a:solidFill>
            </a:endParaRPr>
          </a:p>
        </xdr:txBody>
      </xdr:sp>
      <xdr:sp macro="" textlink="">
        <xdr:nvSpPr>
          <xdr:cNvPr id="18" name="Rectangle 17">
            <a:extLst>
              <a:ext uri="{FF2B5EF4-FFF2-40B4-BE49-F238E27FC236}">
                <a16:creationId xmlns:a16="http://schemas.microsoft.com/office/drawing/2014/main" id="{F9DE3AB1-EA94-1CA2-B410-9074873E4FED}"/>
              </a:ext>
            </a:extLst>
          </xdr:cNvPr>
          <xdr:cNvSpPr/>
        </xdr:nvSpPr>
        <xdr:spPr>
          <a:xfrm>
            <a:off x="8962042" y="4115424"/>
            <a:ext cx="1189997" cy="1599555"/>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TextBox 18">
            <a:extLst>
              <a:ext uri="{FF2B5EF4-FFF2-40B4-BE49-F238E27FC236}">
                <a16:creationId xmlns:a16="http://schemas.microsoft.com/office/drawing/2014/main" id="{70A76ADC-CEC8-25D4-F020-B0AC313C340D}"/>
              </a:ext>
            </a:extLst>
          </xdr:cNvPr>
          <xdr:cNvSpPr txBox="1"/>
        </xdr:nvSpPr>
        <xdr:spPr>
          <a:xfrm>
            <a:off x="8932968" y="4743449"/>
            <a:ext cx="1186061" cy="1021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solidFill>
                  <a:srgbClr val="FF0000"/>
                </a:solidFill>
              </a:rPr>
              <a:t>Feedstock supply (nil)</a:t>
            </a:r>
          </a:p>
        </xdr:txBody>
      </xdr:sp>
      <xdr:sp macro="" textlink="">
        <xdr:nvSpPr>
          <xdr:cNvPr id="20" name="Rectangle 19">
            <a:extLst>
              <a:ext uri="{FF2B5EF4-FFF2-40B4-BE49-F238E27FC236}">
                <a16:creationId xmlns:a16="http://schemas.microsoft.com/office/drawing/2014/main" id="{FB3E05EA-871D-F2AE-DF5C-53C345BB9DC5}"/>
              </a:ext>
            </a:extLst>
          </xdr:cNvPr>
          <xdr:cNvSpPr/>
        </xdr:nvSpPr>
        <xdr:spPr>
          <a:xfrm>
            <a:off x="10298033" y="4113501"/>
            <a:ext cx="1767661" cy="144403"/>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1" name="TextBox 20">
            <a:extLst>
              <a:ext uri="{FF2B5EF4-FFF2-40B4-BE49-F238E27FC236}">
                <a16:creationId xmlns:a16="http://schemas.microsoft.com/office/drawing/2014/main" id="{12E32730-3368-4FCF-835B-BE077F94DB48}"/>
              </a:ext>
            </a:extLst>
          </xdr:cNvPr>
          <xdr:cNvSpPr txBox="1"/>
        </xdr:nvSpPr>
        <xdr:spPr>
          <a:xfrm>
            <a:off x="10734909" y="4040453"/>
            <a:ext cx="1056564" cy="2943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Energy supply</a:t>
            </a:r>
          </a:p>
        </xdr:txBody>
      </xdr:sp>
      <xdr:sp macro="" textlink="">
        <xdr:nvSpPr>
          <xdr:cNvPr id="22" name="Arrow: Pentagon 37">
            <a:extLst>
              <a:ext uri="{FF2B5EF4-FFF2-40B4-BE49-F238E27FC236}">
                <a16:creationId xmlns:a16="http://schemas.microsoft.com/office/drawing/2014/main" id="{DD32F7E3-B66D-D785-D9B6-C089C2441D60}"/>
              </a:ext>
            </a:extLst>
          </xdr:cNvPr>
          <xdr:cNvSpPr/>
        </xdr:nvSpPr>
        <xdr:spPr>
          <a:xfrm rot="5400000">
            <a:off x="11291548" y="5670225"/>
            <a:ext cx="427307" cy="285973"/>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23" name="Rectangle 38">
            <a:extLst>
              <a:ext uri="{FF2B5EF4-FFF2-40B4-BE49-F238E27FC236}">
                <a16:creationId xmlns:a16="http://schemas.microsoft.com/office/drawing/2014/main" id="{7C6890E0-6A07-A7CD-A2BB-B2C904BC16F9}"/>
              </a:ext>
            </a:extLst>
          </xdr:cNvPr>
          <xdr:cNvSpPr/>
        </xdr:nvSpPr>
        <xdr:spPr>
          <a:xfrm rot="16200000">
            <a:off x="10924566" y="6612849"/>
            <a:ext cx="1143425" cy="261274"/>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CO</a:t>
            </a:r>
            <a:r>
              <a:rPr lang="en-GB" sz="1100" baseline="-25000">
                <a:solidFill>
                  <a:schemeClr val="tx1"/>
                </a:solidFill>
              </a:rPr>
              <a:t>2</a:t>
            </a:r>
            <a:r>
              <a:rPr lang="en-GB" sz="1100">
                <a:solidFill>
                  <a:schemeClr val="tx1"/>
                </a:solidFill>
              </a:rPr>
              <a:t> release</a:t>
            </a:r>
          </a:p>
        </xdr:txBody>
      </xdr:sp>
      <xdr:sp macro="" textlink="">
        <xdr:nvSpPr>
          <xdr:cNvPr id="24" name="Rectangle 39">
            <a:extLst>
              <a:ext uri="{FF2B5EF4-FFF2-40B4-BE49-F238E27FC236}">
                <a16:creationId xmlns:a16="http://schemas.microsoft.com/office/drawing/2014/main" id="{BB2C3800-2E83-0BE6-92A8-E0E77B098F15}"/>
              </a:ext>
            </a:extLst>
          </xdr:cNvPr>
          <xdr:cNvSpPr/>
        </xdr:nvSpPr>
        <xdr:spPr>
          <a:xfrm>
            <a:off x="12183767" y="3312716"/>
            <a:ext cx="474997" cy="584789"/>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lIns="36000" rIns="3600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Water</a:t>
            </a:r>
          </a:p>
        </xdr:txBody>
      </xdr:sp>
      <xdr:sp macro="" textlink="">
        <xdr:nvSpPr>
          <xdr:cNvPr id="25" name="Rectangle 41">
            <a:extLst>
              <a:ext uri="{FF2B5EF4-FFF2-40B4-BE49-F238E27FC236}">
                <a16:creationId xmlns:a16="http://schemas.microsoft.com/office/drawing/2014/main" id="{286801E5-43B2-1D61-BCC2-269969190BF7}"/>
              </a:ext>
            </a:extLst>
          </xdr:cNvPr>
          <xdr:cNvSpPr/>
        </xdr:nvSpPr>
        <xdr:spPr>
          <a:xfrm>
            <a:off x="12179955" y="4092390"/>
            <a:ext cx="1277356" cy="167188"/>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6" name="Rectangle 25">
            <a:extLst>
              <a:ext uri="{FF2B5EF4-FFF2-40B4-BE49-F238E27FC236}">
                <a16:creationId xmlns:a16="http://schemas.microsoft.com/office/drawing/2014/main" id="{C5FC5C09-7807-F1BF-7D8C-A3D788B28391}"/>
              </a:ext>
            </a:extLst>
          </xdr:cNvPr>
          <xdr:cNvSpPr/>
        </xdr:nvSpPr>
        <xdr:spPr>
          <a:xfrm>
            <a:off x="8899232" y="4038531"/>
            <a:ext cx="5749961" cy="2069007"/>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7" name="Rectangle 43">
            <a:extLst>
              <a:ext uri="{FF2B5EF4-FFF2-40B4-BE49-F238E27FC236}">
                <a16:creationId xmlns:a16="http://schemas.microsoft.com/office/drawing/2014/main" id="{49AE0898-C57B-4D32-E0CD-2E326CFFF9AA}"/>
              </a:ext>
            </a:extLst>
          </xdr:cNvPr>
          <xdr:cNvSpPr/>
        </xdr:nvSpPr>
        <xdr:spPr>
          <a:xfrm>
            <a:off x="11343171" y="5570576"/>
            <a:ext cx="2127581" cy="169341"/>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8" name="Rectangle 44">
            <a:extLst>
              <a:ext uri="{FF2B5EF4-FFF2-40B4-BE49-F238E27FC236}">
                <a16:creationId xmlns:a16="http://schemas.microsoft.com/office/drawing/2014/main" id="{AB5618D2-BF25-B656-FAC9-A6812DB7A675}"/>
              </a:ext>
            </a:extLst>
          </xdr:cNvPr>
          <xdr:cNvSpPr/>
        </xdr:nvSpPr>
        <xdr:spPr>
          <a:xfrm>
            <a:off x="11676428" y="5797831"/>
            <a:ext cx="1820985" cy="165304"/>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9" name="TextBox 45">
            <a:extLst>
              <a:ext uri="{FF2B5EF4-FFF2-40B4-BE49-F238E27FC236}">
                <a16:creationId xmlns:a16="http://schemas.microsoft.com/office/drawing/2014/main" id="{ED129187-4C25-8090-8C64-078F41A1FDA6}"/>
              </a:ext>
            </a:extLst>
          </xdr:cNvPr>
          <xdr:cNvSpPr txBox="1"/>
        </xdr:nvSpPr>
        <xdr:spPr>
          <a:xfrm>
            <a:off x="11727848" y="5522466"/>
            <a:ext cx="1918889" cy="28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Process CO2 emissions</a:t>
            </a:r>
          </a:p>
        </xdr:txBody>
      </xdr:sp>
      <xdr:sp macro="" textlink="">
        <xdr:nvSpPr>
          <xdr:cNvPr id="30" name="TextBox 46">
            <a:extLst>
              <a:ext uri="{FF2B5EF4-FFF2-40B4-BE49-F238E27FC236}">
                <a16:creationId xmlns:a16="http://schemas.microsoft.com/office/drawing/2014/main" id="{EFEFE8E9-36EB-C78A-B1B3-CE627BBCCCBC}"/>
              </a:ext>
            </a:extLst>
          </xdr:cNvPr>
          <xdr:cNvSpPr txBox="1"/>
        </xdr:nvSpPr>
        <xdr:spPr>
          <a:xfrm>
            <a:off x="11995237" y="5741840"/>
            <a:ext cx="1920007" cy="284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CO2 sequestered</a:t>
            </a:r>
          </a:p>
        </xdr:txBody>
      </xdr:sp>
      <xdr:sp macro="" textlink="">
        <xdr:nvSpPr>
          <xdr:cNvPr id="31" name="Rectangle 30">
            <a:extLst>
              <a:ext uri="{FF2B5EF4-FFF2-40B4-BE49-F238E27FC236}">
                <a16:creationId xmlns:a16="http://schemas.microsoft.com/office/drawing/2014/main" id="{EF068504-FFA2-7674-B6F4-7B681FE28A3B}"/>
              </a:ext>
            </a:extLst>
          </xdr:cNvPr>
          <xdr:cNvSpPr/>
        </xdr:nvSpPr>
        <xdr:spPr>
          <a:xfrm rot="16200000">
            <a:off x="13316779" y="4396897"/>
            <a:ext cx="1518763" cy="932787"/>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32" name="TextBox 31">
            <a:extLst>
              <a:ext uri="{FF2B5EF4-FFF2-40B4-BE49-F238E27FC236}">
                <a16:creationId xmlns:a16="http://schemas.microsoft.com/office/drawing/2014/main" id="{2377114E-7D66-4980-4175-B3E2EF9D9BA0}"/>
              </a:ext>
            </a:extLst>
          </xdr:cNvPr>
          <xdr:cNvSpPr txBox="1"/>
        </xdr:nvSpPr>
        <xdr:spPr>
          <a:xfrm>
            <a:off x="13612151" y="4621198"/>
            <a:ext cx="979911" cy="9036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Theoretical compression &amp; purification</a:t>
            </a:r>
          </a:p>
        </xdr:txBody>
      </xdr:sp>
      <xdr:sp macro="" textlink="">
        <xdr:nvSpPr>
          <xdr:cNvPr id="38" name="Rectangle 37">
            <a:extLst>
              <a:ext uri="{FF2B5EF4-FFF2-40B4-BE49-F238E27FC236}">
                <a16:creationId xmlns:a16="http://schemas.microsoft.com/office/drawing/2014/main" id="{869B366B-E849-E3DF-C5B4-490A3AEB349F}"/>
              </a:ext>
            </a:extLst>
          </xdr:cNvPr>
          <xdr:cNvSpPr/>
        </xdr:nvSpPr>
        <xdr:spPr>
          <a:xfrm>
            <a:off x="13619289" y="2372813"/>
            <a:ext cx="934686" cy="576323"/>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UK electricity generation</a:t>
            </a:r>
          </a:p>
        </xdr:txBody>
      </xdr:sp>
      <xdr:sp macro="" textlink="">
        <xdr:nvSpPr>
          <xdr:cNvPr id="39" name="Rectangle 38">
            <a:extLst>
              <a:ext uri="{FF2B5EF4-FFF2-40B4-BE49-F238E27FC236}">
                <a16:creationId xmlns:a16="http://schemas.microsoft.com/office/drawing/2014/main" id="{3B820FBF-D71E-5B29-BF39-95A9AE828B1B}"/>
              </a:ext>
            </a:extLst>
          </xdr:cNvPr>
          <xdr:cNvSpPr/>
        </xdr:nvSpPr>
        <xdr:spPr>
          <a:xfrm>
            <a:off x="13609768" y="3311693"/>
            <a:ext cx="944207" cy="574417"/>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Electricity grid</a:t>
            </a:r>
          </a:p>
          <a:p>
            <a:pPr algn="ctr"/>
            <a:r>
              <a:rPr lang="en-GB" sz="1100">
                <a:solidFill>
                  <a:schemeClr val="tx1"/>
                </a:solidFill>
              </a:rPr>
              <a:t>(T&amp;D losses)</a:t>
            </a:r>
          </a:p>
        </xdr:txBody>
      </xdr:sp>
      <xdr:sp macro="" textlink="">
        <xdr:nvSpPr>
          <xdr:cNvPr id="40" name="Arrow: Pentagon 39">
            <a:extLst>
              <a:ext uri="{FF2B5EF4-FFF2-40B4-BE49-F238E27FC236}">
                <a16:creationId xmlns:a16="http://schemas.microsoft.com/office/drawing/2014/main" id="{436943DE-402D-E250-ABDD-59279A1ADD43}"/>
              </a:ext>
            </a:extLst>
          </xdr:cNvPr>
          <xdr:cNvSpPr/>
        </xdr:nvSpPr>
        <xdr:spPr>
          <a:xfrm rot="5400000">
            <a:off x="13937816" y="2669050"/>
            <a:ext cx="298464" cy="935520"/>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41" name="Arrow: Pentagon 53">
            <a:extLst>
              <a:ext uri="{FF2B5EF4-FFF2-40B4-BE49-F238E27FC236}">
                <a16:creationId xmlns:a16="http://schemas.microsoft.com/office/drawing/2014/main" id="{4DB5EB27-85D4-C5D5-F596-F28AB9DC84F2}"/>
              </a:ext>
            </a:extLst>
          </xdr:cNvPr>
          <xdr:cNvSpPr/>
        </xdr:nvSpPr>
        <xdr:spPr>
          <a:xfrm rot="5400000" flipV="1">
            <a:off x="10962459" y="5674585"/>
            <a:ext cx="419767" cy="265481"/>
          </a:xfrm>
          <a:prstGeom prst="homePlate">
            <a:avLst/>
          </a:prstGeom>
          <a:solidFill>
            <a:schemeClr val="accent4">
              <a:lumMod val="20000"/>
              <a:lumOff val="80000"/>
            </a:schemeClr>
          </a:solidFill>
          <a:ln w="9525">
            <a:noFill/>
          </a:ln>
        </xdr:spPr>
        <xdr:style>
          <a:lnRef idx="2">
            <a:schemeClr val="accent4"/>
          </a:lnRef>
          <a:fillRef idx="1">
            <a:schemeClr val="lt1"/>
          </a:fillRef>
          <a:effectRef idx="0">
            <a:schemeClr val="accent4"/>
          </a:effectRef>
          <a:fontRef idx="minor">
            <a:schemeClr val="dk1"/>
          </a:fontRef>
        </xdr:style>
        <xdr:txBody>
          <a:bodyPr wrap="square"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endParaRPr lang="en-GB" sz="2000">
              <a:solidFill>
                <a:schemeClr val="tx1"/>
              </a:solidFill>
            </a:endParaRPr>
          </a:p>
        </xdr:txBody>
      </xdr:sp>
      <xdr:sp macro="" textlink="">
        <xdr:nvSpPr>
          <xdr:cNvPr id="42" name="Rectangle 38">
            <a:extLst>
              <a:ext uri="{FF2B5EF4-FFF2-40B4-BE49-F238E27FC236}">
                <a16:creationId xmlns:a16="http://schemas.microsoft.com/office/drawing/2014/main" id="{F35CC95D-6853-7199-4C22-72CFB78C8475}"/>
              </a:ext>
            </a:extLst>
          </xdr:cNvPr>
          <xdr:cNvSpPr/>
        </xdr:nvSpPr>
        <xdr:spPr>
          <a:xfrm rot="16200000">
            <a:off x="10592072" y="6621235"/>
            <a:ext cx="1141104" cy="246826"/>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100">
                <a:solidFill>
                  <a:schemeClr val="tx1"/>
                </a:solidFill>
              </a:rPr>
              <a:t>Fugitive non-CO</a:t>
            </a:r>
            <a:r>
              <a:rPr lang="en-GB" sz="1100" baseline="-25000">
                <a:solidFill>
                  <a:schemeClr val="tx1"/>
                </a:solidFill>
              </a:rPr>
              <a:t>2</a:t>
            </a:r>
            <a:endParaRPr lang="en-GB" sz="1100">
              <a:solidFill>
                <a:schemeClr val="tx1"/>
              </a:solidFill>
            </a:endParaRPr>
          </a:p>
        </xdr:txBody>
      </xdr:sp>
      <xdr:sp macro="" textlink="">
        <xdr:nvSpPr>
          <xdr:cNvPr id="43" name="Rectangle 43">
            <a:extLst>
              <a:ext uri="{FF2B5EF4-FFF2-40B4-BE49-F238E27FC236}">
                <a16:creationId xmlns:a16="http://schemas.microsoft.com/office/drawing/2014/main" id="{6BEB79F1-D5BB-8A91-DBC6-82AA35A9BE0D}"/>
              </a:ext>
            </a:extLst>
          </xdr:cNvPr>
          <xdr:cNvSpPr/>
        </xdr:nvSpPr>
        <xdr:spPr>
          <a:xfrm>
            <a:off x="10476450" y="5568918"/>
            <a:ext cx="847284" cy="320509"/>
          </a:xfrm>
          <a:prstGeom prst="rect">
            <a:avLst/>
          </a:prstGeom>
          <a:noFill/>
          <a:ln>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44" name="TextBox 46">
            <a:extLst>
              <a:ext uri="{FF2B5EF4-FFF2-40B4-BE49-F238E27FC236}">
                <a16:creationId xmlns:a16="http://schemas.microsoft.com/office/drawing/2014/main" id="{43D3907A-88AE-40BE-45B5-CD85A2D1EA60}"/>
              </a:ext>
            </a:extLst>
          </xdr:cNvPr>
          <xdr:cNvSpPr txBox="1"/>
        </xdr:nvSpPr>
        <xdr:spPr>
          <a:xfrm>
            <a:off x="10408877" y="5523129"/>
            <a:ext cx="700592" cy="584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Fugitive</a:t>
            </a:r>
            <a:r>
              <a:rPr lang="en-GB" sz="1100" baseline="0">
                <a:solidFill>
                  <a:srgbClr val="FF0000"/>
                </a:solidFill>
              </a:rPr>
              <a:t> non-CO2</a:t>
            </a:r>
            <a:endParaRPr lang="en-GB" sz="1100">
              <a:solidFill>
                <a:srgbClr val="FF0000"/>
              </a:solidFill>
            </a:endParaRPr>
          </a:p>
        </xdr:txBody>
      </xdr:sp>
      <xdr:sp macro="" textlink="">
        <xdr:nvSpPr>
          <xdr:cNvPr id="45" name="Rectangle 39">
            <a:extLst>
              <a:ext uri="{FF2B5EF4-FFF2-40B4-BE49-F238E27FC236}">
                <a16:creationId xmlns:a16="http://schemas.microsoft.com/office/drawing/2014/main" id="{908DB33D-CE5B-CA23-74A6-7B906835E572}"/>
              </a:ext>
            </a:extLst>
          </xdr:cNvPr>
          <xdr:cNvSpPr/>
        </xdr:nvSpPr>
        <xdr:spPr>
          <a:xfrm>
            <a:off x="12696786" y="3312716"/>
            <a:ext cx="312059" cy="587774"/>
          </a:xfrm>
          <a:prstGeom prst="rect">
            <a:avLst/>
          </a:prstGeom>
          <a:ln w="9525"/>
        </xdr:spPr>
        <xdr:style>
          <a:lnRef idx="2">
            <a:schemeClr val="accent4"/>
          </a:lnRef>
          <a:fillRef idx="1">
            <a:schemeClr val="lt1"/>
          </a:fillRef>
          <a:effectRef idx="0">
            <a:schemeClr val="accent4"/>
          </a:effectRef>
          <a:fontRef idx="minor">
            <a:schemeClr val="dk1"/>
          </a:fontRef>
        </xdr:style>
        <xdr:txBody>
          <a:bodyPr wrap="square" lIns="36000" rIns="36000" rtlCol="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n-GB" sz="1100">
                <a:solidFill>
                  <a:schemeClr val="tx1"/>
                </a:solidFill>
              </a:rPr>
              <a:t>HCl</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1748117</xdr:colOff>
      <xdr:row>26</xdr:row>
      <xdr:rowOff>71718</xdr:rowOff>
    </xdr:from>
    <xdr:to>
      <xdr:col>6</xdr:col>
      <xdr:colOff>45356</xdr:colOff>
      <xdr:row>29</xdr:row>
      <xdr:rowOff>5055</xdr:rowOff>
    </xdr:to>
    <xdr:cxnSp macro="">
      <xdr:nvCxnSpPr>
        <xdr:cNvPr id="2" name="Straight Arrow Connector 20">
          <a:extLst>
            <a:ext uri="{FF2B5EF4-FFF2-40B4-BE49-F238E27FC236}">
              <a16:creationId xmlns:a16="http://schemas.microsoft.com/office/drawing/2014/main" id="{B2E96E7F-EFFC-43F0-8CF3-215DD18A8B4D}"/>
            </a:ext>
          </a:extLst>
        </xdr:cNvPr>
        <xdr:cNvCxnSpPr>
          <a:cxnSpLocks/>
          <a:stCxn id="3" idx="1"/>
        </xdr:cNvCxnSpPr>
      </xdr:nvCxnSpPr>
      <xdr:spPr>
        <a:xfrm flipH="1" flipV="1">
          <a:off x="11940988" y="5011271"/>
          <a:ext cx="753568" cy="47121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45356</xdr:colOff>
      <xdr:row>26</xdr:row>
      <xdr:rowOff>132254</xdr:rowOff>
    </xdr:from>
    <xdr:to>
      <xdr:col>11</xdr:col>
      <xdr:colOff>411480</xdr:colOff>
      <xdr:row>31</xdr:row>
      <xdr:rowOff>57149</xdr:rowOff>
    </xdr:to>
    <xdr:sp macro="" textlink="">
      <xdr:nvSpPr>
        <xdr:cNvPr id="3" name="TextBox 27">
          <a:extLst>
            <a:ext uri="{FF2B5EF4-FFF2-40B4-BE49-F238E27FC236}">
              <a16:creationId xmlns:a16="http://schemas.microsoft.com/office/drawing/2014/main" id="{4AFE0D73-50DA-4978-965F-3A4F3ACE5156}"/>
            </a:ext>
          </a:extLst>
        </xdr:cNvPr>
        <xdr:cNvSpPr txBox="1"/>
      </xdr:nvSpPr>
      <xdr:spPr>
        <a:xfrm>
          <a:off x="12694556" y="5130974"/>
          <a:ext cx="3414124" cy="83929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Input GHG emissions results</a:t>
          </a:r>
          <a:r>
            <a:rPr lang="en-GB" sz="1100" baseline="0"/>
            <a:t> for any further consignments that have been calculated in another workbook, if applicable, and the corresponding % share of the total consignments this represents.</a:t>
          </a:r>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1020722</xdr:colOff>
      <xdr:row>9</xdr:row>
      <xdr:rowOff>16783</xdr:rowOff>
    </xdr:from>
    <xdr:to>
      <xdr:col>15</xdr:col>
      <xdr:colOff>145676</xdr:colOff>
      <xdr:row>15</xdr:row>
      <xdr:rowOff>22411</xdr:rowOff>
    </xdr:to>
    <xdr:cxnSp macro="">
      <xdr:nvCxnSpPr>
        <xdr:cNvPr id="64" name="Straight Arrow Connector 5">
          <a:extLst>
            <a:ext uri="{FF2B5EF4-FFF2-40B4-BE49-F238E27FC236}">
              <a16:creationId xmlns:a16="http://schemas.microsoft.com/office/drawing/2014/main" id="{1F73F79A-B7DB-449D-A95D-FED9A3772B76}"/>
            </a:ext>
          </a:extLst>
        </xdr:cNvPr>
        <xdr:cNvCxnSpPr/>
      </xdr:nvCxnSpPr>
      <xdr:spPr>
        <a:xfrm flipH="1" flipV="1">
          <a:off x="17246840" y="2986342"/>
          <a:ext cx="559307" cy="107018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31659</xdr:colOff>
      <xdr:row>8</xdr:row>
      <xdr:rowOff>88265</xdr:rowOff>
    </xdr:from>
    <xdr:to>
      <xdr:col>14</xdr:col>
      <xdr:colOff>112058</xdr:colOff>
      <xdr:row>8</xdr:row>
      <xdr:rowOff>88265</xdr:rowOff>
    </xdr:to>
    <xdr:cxnSp macro="">
      <xdr:nvCxnSpPr>
        <xdr:cNvPr id="3" name="Straight Arrow Connector 6">
          <a:extLst>
            <a:ext uri="{FF2B5EF4-FFF2-40B4-BE49-F238E27FC236}">
              <a16:creationId xmlns:a16="http://schemas.microsoft.com/office/drawing/2014/main" id="{90AE4BCC-B244-4C60-928F-24942D8E7656}"/>
            </a:ext>
          </a:extLst>
        </xdr:cNvPr>
        <xdr:cNvCxnSpPr/>
      </xdr:nvCxnSpPr>
      <xdr:spPr>
        <a:xfrm flipH="1">
          <a:off x="16257777" y="2878530"/>
          <a:ext cx="80399" cy="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54428</xdr:colOff>
      <xdr:row>9</xdr:row>
      <xdr:rowOff>22412</xdr:rowOff>
    </xdr:from>
    <xdr:to>
      <xdr:col>14</xdr:col>
      <xdr:colOff>504264</xdr:colOff>
      <xdr:row>19</xdr:row>
      <xdr:rowOff>0</xdr:rowOff>
    </xdr:to>
    <xdr:cxnSp macro="">
      <xdr:nvCxnSpPr>
        <xdr:cNvPr id="33" name="Straight Arrow Connector 9">
          <a:extLst>
            <a:ext uri="{FF2B5EF4-FFF2-40B4-BE49-F238E27FC236}">
              <a16:creationId xmlns:a16="http://schemas.microsoft.com/office/drawing/2014/main" id="{A7043B95-0D5D-4068-B236-4FE6DA9B6A99}"/>
            </a:ext>
          </a:extLst>
        </xdr:cNvPr>
        <xdr:cNvCxnSpPr/>
      </xdr:nvCxnSpPr>
      <xdr:spPr>
        <a:xfrm flipH="1">
          <a:off x="16280546" y="2991971"/>
          <a:ext cx="449836" cy="1972235"/>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477024</xdr:colOff>
      <xdr:row>1</xdr:row>
      <xdr:rowOff>88750</xdr:rowOff>
    </xdr:from>
    <xdr:to>
      <xdr:col>14</xdr:col>
      <xdr:colOff>411442</xdr:colOff>
      <xdr:row>4</xdr:row>
      <xdr:rowOff>426651</xdr:rowOff>
    </xdr:to>
    <xdr:cxnSp macro="">
      <xdr:nvCxnSpPr>
        <xdr:cNvPr id="22" name="Straight Arrow Connector 20">
          <a:extLst>
            <a:ext uri="{FF2B5EF4-FFF2-40B4-BE49-F238E27FC236}">
              <a16:creationId xmlns:a16="http://schemas.microsoft.com/office/drawing/2014/main" id="{1877C5FD-7C43-43BF-9A77-8CA2B9544AEE}"/>
            </a:ext>
          </a:extLst>
        </xdr:cNvPr>
        <xdr:cNvCxnSpPr>
          <a:cxnSpLocks/>
          <a:stCxn id="11" idx="1"/>
        </xdr:cNvCxnSpPr>
      </xdr:nvCxnSpPr>
      <xdr:spPr>
        <a:xfrm flipH="1">
          <a:off x="15705818" y="492162"/>
          <a:ext cx="931742" cy="98784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95250</xdr:rowOff>
    </xdr:from>
    <xdr:to>
      <xdr:col>19</xdr:col>
      <xdr:colOff>2815</xdr:colOff>
      <xdr:row>8</xdr:row>
      <xdr:rowOff>131356</xdr:rowOff>
    </xdr:to>
    <xdr:cxnSp macro="">
      <xdr:nvCxnSpPr>
        <xdr:cNvPr id="5" name="Straight Arrow Connector 5">
          <a:extLst>
            <a:ext uri="{FF2B5EF4-FFF2-40B4-BE49-F238E27FC236}">
              <a16:creationId xmlns:a16="http://schemas.microsoft.com/office/drawing/2014/main" id="{59557D79-9971-44AA-9F3E-590062A83BD7}"/>
            </a:ext>
          </a:extLst>
        </xdr:cNvPr>
        <xdr:cNvCxnSpPr/>
      </xdr:nvCxnSpPr>
      <xdr:spPr>
        <a:xfrm flipH="1" flipV="1">
          <a:off x="18015857" y="2816679"/>
          <a:ext cx="1431565" cy="361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846818</xdr:colOff>
      <xdr:row>14</xdr:row>
      <xdr:rowOff>95250</xdr:rowOff>
    </xdr:from>
    <xdr:to>
      <xdr:col>19</xdr:col>
      <xdr:colOff>870857</xdr:colOff>
      <xdr:row>19</xdr:row>
      <xdr:rowOff>0</xdr:rowOff>
    </xdr:to>
    <xdr:cxnSp macro="">
      <xdr:nvCxnSpPr>
        <xdr:cNvPr id="31" name="Straight Arrow Connector 5">
          <a:extLst>
            <a:ext uri="{FF2B5EF4-FFF2-40B4-BE49-F238E27FC236}">
              <a16:creationId xmlns:a16="http://schemas.microsoft.com/office/drawing/2014/main" id="{C116381A-82B2-43E9-AFA9-E14F506B5F8F}"/>
            </a:ext>
          </a:extLst>
        </xdr:cNvPr>
        <xdr:cNvCxnSpPr/>
      </xdr:nvCxnSpPr>
      <xdr:spPr>
        <a:xfrm flipH="1">
          <a:off x="19978461" y="4109357"/>
          <a:ext cx="24039" cy="772433"/>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1078139</xdr:colOff>
      <xdr:row>14</xdr:row>
      <xdr:rowOff>136072</xdr:rowOff>
    </xdr:from>
    <xdr:to>
      <xdr:col>19</xdr:col>
      <xdr:colOff>857250</xdr:colOff>
      <xdr:row>19</xdr:row>
      <xdr:rowOff>0</xdr:rowOff>
    </xdr:to>
    <xdr:cxnSp macro="">
      <xdr:nvCxnSpPr>
        <xdr:cNvPr id="32" name="Straight Arrow Connector 5">
          <a:extLst>
            <a:ext uri="{FF2B5EF4-FFF2-40B4-BE49-F238E27FC236}">
              <a16:creationId xmlns:a16="http://schemas.microsoft.com/office/drawing/2014/main" id="{C67511BA-3413-4AB3-80EE-CB6515D203A1}"/>
            </a:ext>
          </a:extLst>
        </xdr:cNvPr>
        <xdr:cNvCxnSpPr/>
      </xdr:nvCxnSpPr>
      <xdr:spPr>
        <a:xfrm flipH="1">
          <a:off x="18753818" y="4150179"/>
          <a:ext cx="1235075" cy="707572"/>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698725</xdr:colOff>
      <xdr:row>15</xdr:row>
      <xdr:rowOff>87287</xdr:rowOff>
    </xdr:from>
    <xdr:to>
      <xdr:col>21</xdr:col>
      <xdr:colOff>114300</xdr:colOff>
      <xdr:row>19</xdr:row>
      <xdr:rowOff>123825</xdr:rowOff>
    </xdr:to>
    <xdr:cxnSp macro="">
      <xdr:nvCxnSpPr>
        <xdr:cNvPr id="34" name="Straight Arrow Connector 5">
          <a:extLst>
            <a:ext uri="{FF2B5EF4-FFF2-40B4-BE49-F238E27FC236}">
              <a16:creationId xmlns:a16="http://schemas.microsoft.com/office/drawing/2014/main" id="{87A25FA4-C9E1-4BBB-9226-ABB466145FE0}"/>
            </a:ext>
          </a:extLst>
        </xdr:cNvPr>
        <xdr:cNvCxnSpPr>
          <a:stCxn id="9" idx="2"/>
        </xdr:cNvCxnSpPr>
      </xdr:nvCxnSpPr>
      <xdr:spPr>
        <a:xfrm>
          <a:off x="20615500" y="4144937"/>
          <a:ext cx="891950" cy="7604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906907</xdr:colOff>
      <xdr:row>15</xdr:row>
      <xdr:rowOff>35217</xdr:rowOff>
    </xdr:from>
    <xdr:to>
      <xdr:col>16</xdr:col>
      <xdr:colOff>1247029</xdr:colOff>
      <xdr:row>18</xdr:row>
      <xdr:rowOff>112059</xdr:rowOff>
    </xdr:to>
    <xdr:sp macro="" textlink="">
      <xdr:nvSpPr>
        <xdr:cNvPr id="51" name="TextBox 10">
          <a:extLst>
            <a:ext uri="{FF2B5EF4-FFF2-40B4-BE49-F238E27FC236}">
              <a16:creationId xmlns:a16="http://schemas.microsoft.com/office/drawing/2014/main" id="{C95364B4-A7A9-4257-82A4-DFCC58B9CF0F}"/>
            </a:ext>
          </a:extLst>
        </xdr:cNvPr>
        <xdr:cNvSpPr txBox="1"/>
      </xdr:nvSpPr>
      <xdr:spPr>
        <a:xfrm>
          <a:off x="17133025" y="4069335"/>
          <a:ext cx="2390798" cy="6147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a:t>
          </a:r>
          <a:r>
            <a:rPr lang="en-GB" sz="1100" baseline="0"/>
            <a:t> </a:t>
          </a:r>
          <a:r>
            <a:rPr lang="en-GB" sz="1100">
              <a:solidFill>
                <a:schemeClr val="dk1"/>
              </a:solidFill>
              <a:effectLst/>
              <a:latin typeface="+mn-lt"/>
              <a:ea typeface="+mn-ea"/>
              <a:cs typeface="+mn-cs"/>
            </a:rPr>
            <a:t>step</a:t>
          </a:r>
          <a:r>
            <a:rPr lang="en-GB" sz="1100" baseline="0"/>
            <a:t> efficiency is calculated based on the electricity/heat inputs and hydrogen output.</a:t>
          </a:r>
          <a:endParaRPr lang="en-GB" sz="1100"/>
        </a:p>
      </xdr:txBody>
    </xdr:sp>
    <xdr:clientData/>
  </xdr:twoCellAnchor>
  <xdr:twoCellAnchor>
    <xdr:from>
      <xdr:col>18</xdr:col>
      <xdr:colOff>1436007</xdr:colOff>
      <xdr:row>7</xdr:row>
      <xdr:rowOff>87993</xdr:rowOff>
    </xdr:from>
    <xdr:to>
      <xdr:col>21</xdr:col>
      <xdr:colOff>10432</xdr:colOff>
      <xdr:row>10</xdr:row>
      <xdr:rowOff>190500</xdr:rowOff>
    </xdr:to>
    <xdr:sp macro="" textlink="">
      <xdr:nvSpPr>
        <xdr:cNvPr id="37" name="TextBox 11">
          <a:extLst>
            <a:ext uri="{FF2B5EF4-FFF2-40B4-BE49-F238E27FC236}">
              <a16:creationId xmlns:a16="http://schemas.microsoft.com/office/drawing/2014/main" id="{312B19F3-5A0D-470F-9BCC-073D65F61423}"/>
            </a:ext>
          </a:extLst>
        </xdr:cNvPr>
        <xdr:cNvSpPr txBox="1"/>
      </xdr:nvSpPr>
      <xdr:spPr>
        <a:xfrm>
          <a:off x="19179721" y="2646136"/>
          <a:ext cx="2615747" cy="63318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step allocation factor is calculated based on the LHV energy content of all products and co-products.</a:t>
          </a:r>
        </a:p>
      </xdr:txBody>
    </xdr:sp>
    <xdr:clientData/>
  </xdr:twoCellAnchor>
  <xdr:twoCellAnchor>
    <xdr:from>
      <xdr:col>1</xdr:col>
      <xdr:colOff>11550</xdr:colOff>
      <xdr:row>4</xdr:row>
      <xdr:rowOff>7436</xdr:rowOff>
    </xdr:from>
    <xdr:to>
      <xdr:col>2</xdr:col>
      <xdr:colOff>2387599</xdr:colOff>
      <xdr:row>4</xdr:row>
      <xdr:rowOff>835566</xdr:rowOff>
    </xdr:to>
    <xdr:sp macro="" textlink="">
      <xdr:nvSpPr>
        <xdr:cNvPr id="23" name="TextBox 17">
          <a:extLst>
            <a:ext uri="{FF2B5EF4-FFF2-40B4-BE49-F238E27FC236}">
              <a16:creationId xmlns:a16="http://schemas.microsoft.com/office/drawing/2014/main" id="{2CBCF78C-4D14-4743-ACE4-8C2A9D2BD09C}"/>
            </a:ext>
          </a:extLst>
        </xdr:cNvPr>
        <xdr:cNvSpPr txBox="1"/>
      </xdr:nvSpPr>
      <xdr:spPr>
        <a:xfrm>
          <a:off x="299417" y="1065769"/>
          <a:ext cx="3976249" cy="82813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Values in </a:t>
          </a:r>
          <a:r>
            <a:rPr lang="en-GB" sz="1100" b="1">
              <a:solidFill>
                <a:srgbClr val="FF0000"/>
              </a:solidFill>
            </a:rPr>
            <a:t>red text </a:t>
          </a:r>
          <a:r>
            <a:rPr lang="en-GB" sz="1100" b="1"/>
            <a:t>are illustrative and should be deleted or adapted to the correct</a:t>
          </a:r>
          <a:r>
            <a:rPr lang="en-GB" sz="1100" b="1" baseline="0"/>
            <a:t> inputs/outputs for the</a:t>
          </a:r>
          <a:r>
            <a:rPr lang="en-GB" sz="1100" b="1"/>
            <a:t> chosen</a:t>
          </a:r>
          <a:r>
            <a:rPr lang="en-GB" sz="1100" b="1" baseline="0"/>
            <a:t> </a:t>
          </a:r>
          <a:r>
            <a:rPr lang="en-GB" sz="1100" b="1"/>
            <a:t>pathway. This should not be considered an exhaustive list, and further inputs/outputs relevant to the pathway should be added.</a:t>
          </a:r>
        </a:p>
      </xdr:txBody>
    </xdr:sp>
    <xdr:clientData/>
  </xdr:twoCellAnchor>
  <xdr:twoCellAnchor>
    <xdr:from>
      <xdr:col>18</xdr:col>
      <xdr:colOff>1285873</xdr:colOff>
      <xdr:row>11</xdr:row>
      <xdr:rowOff>167911</xdr:rowOff>
    </xdr:from>
    <xdr:to>
      <xdr:col>22</xdr:col>
      <xdr:colOff>105862</xdr:colOff>
      <xdr:row>15</xdr:row>
      <xdr:rowOff>85382</xdr:rowOff>
    </xdr:to>
    <xdr:sp macro="" textlink="">
      <xdr:nvSpPr>
        <xdr:cNvPr id="9" name="TextBox 27">
          <a:extLst>
            <a:ext uri="{FF2B5EF4-FFF2-40B4-BE49-F238E27FC236}">
              <a16:creationId xmlns:a16="http://schemas.microsoft.com/office/drawing/2014/main" id="{CD07B94D-CA09-4EB6-B3A0-39B11C0789DA}"/>
            </a:ext>
          </a:extLst>
        </xdr:cNvPr>
        <xdr:cNvSpPr txBox="1"/>
      </xdr:nvSpPr>
      <xdr:spPr>
        <a:xfrm>
          <a:off x="18345148" y="3501661"/>
          <a:ext cx="4544514" cy="64137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GHG intensity of each input/output is used to calculate the total emissions from each category on a /MJ main output basis. Note</a:t>
          </a:r>
          <a:r>
            <a:rPr lang="en-GB" sz="1100" baseline="0"/>
            <a:t> the GHG intensity has units gCO</a:t>
          </a:r>
          <a:r>
            <a:rPr lang="en-GB" sz="1100" baseline="-25000"/>
            <a:t>2</a:t>
          </a:r>
          <a:r>
            <a:rPr lang="en-GB" sz="1100" baseline="0"/>
            <a:t>e/kg for flows with tonnes/yr units.</a:t>
          </a:r>
          <a:endParaRPr lang="en-GB" sz="1100"/>
        </a:p>
      </xdr:txBody>
    </xdr:sp>
    <xdr:clientData/>
  </xdr:twoCellAnchor>
  <xdr:twoCellAnchor>
    <xdr:from>
      <xdr:col>14</xdr:col>
      <xdr:colOff>28484</xdr:colOff>
      <xdr:row>8</xdr:row>
      <xdr:rowOff>145676</xdr:rowOff>
    </xdr:from>
    <xdr:to>
      <xdr:col>14</xdr:col>
      <xdr:colOff>493058</xdr:colOff>
      <xdr:row>25</xdr:row>
      <xdr:rowOff>2134</xdr:rowOff>
    </xdr:to>
    <xdr:cxnSp macro="">
      <xdr:nvCxnSpPr>
        <xdr:cNvPr id="16" name="Straight Arrow Connector 9">
          <a:extLst>
            <a:ext uri="{FF2B5EF4-FFF2-40B4-BE49-F238E27FC236}">
              <a16:creationId xmlns:a16="http://schemas.microsoft.com/office/drawing/2014/main" id="{701E8559-AB6D-441B-ACF0-3E46433D11BA}"/>
            </a:ext>
          </a:extLst>
        </xdr:cNvPr>
        <xdr:cNvCxnSpPr/>
      </xdr:nvCxnSpPr>
      <xdr:spPr>
        <a:xfrm flipH="1">
          <a:off x="16254602" y="2935941"/>
          <a:ext cx="464574" cy="3319075"/>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10432</xdr:colOff>
      <xdr:row>9</xdr:row>
      <xdr:rowOff>33617</xdr:rowOff>
    </xdr:from>
    <xdr:to>
      <xdr:col>14</xdr:col>
      <xdr:colOff>537882</xdr:colOff>
      <xdr:row>29</xdr:row>
      <xdr:rowOff>863</xdr:rowOff>
    </xdr:to>
    <xdr:cxnSp macro="">
      <xdr:nvCxnSpPr>
        <xdr:cNvPr id="17" name="Straight Arrow Connector 9">
          <a:extLst>
            <a:ext uri="{FF2B5EF4-FFF2-40B4-BE49-F238E27FC236}">
              <a16:creationId xmlns:a16="http://schemas.microsoft.com/office/drawing/2014/main" id="{DB59B409-1378-4C11-9074-CBC9260A2ECF}"/>
            </a:ext>
          </a:extLst>
        </xdr:cNvPr>
        <xdr:cNvCxnSpPr/>
      </xdr:nvCxnSpPr>
      <xdr:spPr>
        <a:xfrm flipH="1">
          <a:off x="16236550" y="3003176"/>
          <a:ext cx="527450" cy="4180658"/>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21227</xdr:colOff>
      <xdr:row>9</xdr:row>
      <xdr:rowOff>33617</xdr:rowOff>
    </xdr:from>
    <xdr:to>
      <xdr:col>14</xdr:col>
      <xdr:colOff>560294</xdr:colOff>
      <xdr:row>36</xdr:row>
      <xdr:rowOff>359501</xdr:rowOff>
    </xdr:to>
    <xdr:cxnSp macro="">
      <xdr:nvCxnSpPr>
        <xdr:cNvPr id="18" name="Straight Arrow Connector 9">
          <a:extLst>
            <a:ext uri="{FF2B5EF4-FFF2-40B4-BE49-F238E27FC236}">
              <a16:creationId xmlns:a16="http://schemas.microsoft.com/office/drawing/2014/main" id="{93EEBA12-4005-4304-9B5B-9D1A7D0BD858}"/>
            </a:ext>
          </a:extLst>
        </xdr:cNvPr>
        <xdr:cNvCxnSpPr/>
      </xdr:nvCxnSpPr>
      <xdr:spPr>
        <a:xfrm flipH="1">
          <a:off x="16247345" y="3003176"/>
          <a:ext cx="539067" cy="5290090"/>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414617</xdr:colOff>
      <xdr:row>0</xdr:row>
      <xdr:rowOff>156882</xdr:rowOff>
    </xdr:from>
    <xdr:to>
      <xdr:col>19</xdr:col>
      <xdr:colOff>280147</xdr:colOff>
      <xdr:row>2</xdr:row>
      <xdr:rowOff>159944</xdr:rowOff>
    </xdr:to>
    <xdr:sp macro="" textlink="">
      <xdr:nvSpPr>
        <xdr:cNvPr id="11" name="TextBox 8">
          <a:extLst>
            <a:ext uri="{FF2B5EF4-FFF2-40B4-BE49-F238E27FC236}">
              <a16:creationId xmlns:a16="http://schemas.microsoft.com/office/drawing/2014/main" id="{F4636034-6F4D-4828-A273-2F5F4FD1C093}"/>
            </a:ext>
          </a:extLst>
        </xdr:cNvPr>
        <xdr:cNvSpPr txBox="1"/>
      </xdr:nvSpPr>
      <xdr:spPr>
        <a:xfrm>
          <a:off x="16640735" y="156882"/>
          <a:ext cx="5905500" cy="66420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The equivalent energy flow is calculated using the lower heating value (LHV), ignoring the latent heat of vaporisation of water for the</a:t>
          </a:r>
          <a:r>
            <a:rPr lang="en-GB" sz="1100" baseline="0"/>
            <a:t> step </a:t>
          </a:r>
          <a:r>
            <a:rPr lang="en-GB" sz="1100"/>
            <a:t>efficiency calculations,</a:t>
          </a:r>
          <a:r>
            <a:rPr lang="en-GB" sz="1100" baseline="0"/>
            <a:t> but including it for the step energy allocation calculations</a:t>
          </a:r>
          <a:r>
            <a:rPr lang="en-GB" sz="1100"/>
            <a:t>.</a:t>
          </a:r>
        </a:p>
      </xdr:txBody>
    </xdr:sp>
    <xdr:clientData/>
  </xdr:twoCellAnchor>
  <xdr:twoCellAnchor>
    <xdr:from>
      <xdr:col>16</xdr:col>
      <xdr:colOff>512669</xdr:colOff>
      <xdr:row>2</xdr:row>
      <xdr:rowOff>160245</xdr:rowOff>
    </xdr:from>
    <xdr:to>
      <xdr:col>16</xdr:col>
      <xdr:colOff>520353</xdr:colOff>
      <xdr:row>4</xdr:row>
      <xdr:rowOff>350745</xdr:rowOff>
    </xdr:to>
    <xdr:cxnSp macro="">
      <xdr:nvCxnSpPr>
        <xdr:cNvPr id="13" name="Straight Arrow Connector 12">
          <a:extLst>
            <a:ext uri="{FF2B5EF4-FFF2-40B4-BE49-F238E27FC236}">
              <a16:creationId xmlns:a16="http://schemas.microsoft.com/office/drawing/2014/main" id="{2C74C5B1-7287-43DD-B30D-F965536EE380}"/>
            </a:ext>
          </a:extLst>
        </xdr:cNvPr>
        <xdr:cNvCxnSpPr>
          <a:cxnSpLocks/>
        </xdr:cNvCxnSpPr>
      </xdr:nvCxnSpPr>
      <xdr:spPr>
        <a:xfrm>
          <a:off x="17981519" y="817470"/>
          <a:ext cx="7684" cy="5715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979714</xdr:colOff>
      <xdr:row>9</xdr:row>
      <xdr:rowOff>9605</xdr:rowOff>
    </xdr:from>
    <xdr:to>
      <xdr:col>14</xdr:col>
      <xdr:colOff>548555</xdr:colOff>
      <xdr:row>32</xdr:row>
      <xdr:rowOff>72572</xdr:rowOff>
    </xdr:to>
    <xdr:cxnSp macro="">
      <xdr:nvCxnSpPr>
        <xdr:cNvPr id="2" name="Straight Arrow Connector 9">
          <a:extLst>
            <a:ext uri="{FF2B5EF4-FFF2-40B4-BE49-F238E27FC236}">
              <a16:creationId xmlns:a16="http://schemas.microsoft.com/office/drawing/2014/main" id="{47D7D08E-0CD8-4EBE-9EFF-9353D4C7B78A}"/>
            </a:ext>
          </a:extLst>
        </xdr:cNvPr>
        <xdr:cNvCxnSpPr/>
      </xdr:nvCxnSpPr>
      <xdr:spPr>
        <a:xfrm flipH="1">
          <a:off x="16219714" y="3003176"/>
          <a:ext cx="566698" cy="4888967"/>
        </a:xfrm>
        <a:prstGeom prst="straightConnector1">
          <a:avLst/>
        </a:prstGeom>
        <a:ln>
          <a:solidFill>
            <a:srgbClr val="FF0000"/>
          </a:solidFill>
          <a:prstDash val="dash"/>
          <a:headEnd type="triangl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E4Tech_theme">
  <a:themeElements>
    <a:clrScheme name="Custom 1">
      <a:dk1>
        <a:srgbClr val="000000"/>
      </a:dk1>
      <a:lt1>
        <a:srgbClr val="FFFFFF"/>
      </a:lt1>
      <a:dk2>
        <a:srgbClr val="000098"/>
      </a:dk2>
      <a:lt2>
        <a:srgbClr val="D8D9DB"/>
      </a:lt2>
      <a:accent1>
        <a:srgbClr val="1B429A"/>
      </a:accent1>
      <a:accent2>
        <a:srgbClr val="1383BD"/>
      </a:accent2>
      <a:accent3>
        <a:srgbClr val="6AB0E0"/>
      </a:accent3>
      <a:accent4>
        <a:srgbClr val="957FB5"/>
      </a:accent4>
      <a:accent5>
        <a:srgbClr val="4B8A60"/>
      </a:accent5>
      <a:accent6>
        <a:srgbClr val="8CB57E"/>
      </a:accent6>
      <a:hlink>
        <a:srgbClr val="001D4F"/>
      </a:hlink>
      <a:folHlink>
        <a:srgbClr val="001D4F"/>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58.bin"/><Relationship Id="rId3" Type="http://schemas.openxmlformats.org/officeDocument/2006/relationships/printerSettings" Target="../printerSettings/printerSettings53.bin"/><Relationship Id="rId7" Type="http://schemas.openxmlformats.org/officeDocument/2006/relationships/printerSettings" Target="../printerSettings/printerSettings57.bin"/><Relationship Id="rId12" Type="http://schemas.openxmlformats.org/officeDocument/2006/relationships/comments" Target="../comments1.xml"/><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vmlDrawing" Target="../drawings/vmlDrawing1.vml"/><Relationship Id="rId5" Type="http://schemas.openxmlformats.org/officeDocument/2006/relationships/printerSettings" Target="../printerSettings/printerSettings55.bin"/><Relationship Id="rId10" Type="http://schemas.openxmlformats.org/officeDocument/2006/relationships/printerSettings" Target="../printerSettings/printerSettings60.bin"/><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printerSettings" Target="../printerSettings/printerSettings63.bin"/><Relationship Id="rId7" Type="http://schemas.openxmlformats.org/officeDocument/2006/relationships/printerSettings" Target="../printerSettings/printerSettings67.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10" Type="http://schemas.openxmlformats.org/officeDocument/2006/relationships/printerSettings" Target="../printerSettings/printerSettings70.bin"/><Relationship Id="rId4" Type="http://schemas.openxmlformats.org/officeDocument/2006/relationships/printerSettings" Target="../printerSettings/printerSettings64.bin"/><Relationship Id="rId9" Type="http://schemas.openxmlformats.org/officeDocument/2006/relationships/printerSettings" Target="../printerSettings/printerSettings69.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78.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11" Type="http://schemas.openxmlformats.org/officeDocument/2006/relationships/printerSettings" Target="../printerSettings/printerSettings80.bin"/><Relationship Id="rId5" Type="http://schemas.openxmlformats.org/officeDocument/2006/relationships/printerSettings" Target="../printerSettings/printerSettings75.bin"/><Relationship Id="rId10" Type="http://schemas.openxmlformats.org/officeDocument/2006/relationships/hyperlink" Target="https://www.sciencedirect.com/science/article/pii/S0301479722019296" TargetMode="External"/><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hyperlink" Target="https://www.gov.uk/government/publications/greenhouse-gas-reporting-conversion-factors-2025" TargetMode="External"/><Relationship Id="rId18" Type="http://schemas.openxmlformats.org/officeDocument/2006/relationships/hyperlink" Target="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TargetMode="External"/><Relationship Id="rId3" Type="http://schemas.openxmlformats.org/officeDocument/2006/relationships/printerSettings" Target="../printerSettings/printerSettings83.bin"/><Relationship Id="rId21" Type="http://schemas.openxmlformats.org/officeDocument/2006/relationships/printerSettings" Target="../printerSettings/printerSettings90.bin"/><Relationship Id="rId7" Type="http://schemas.openxmlformats.org/officeDocument/2006/relationships/printerSettings" Target="../printerSettings/printerSettings87.bin"/><Relationship Id="rId12" Type="http://schemas.openxmlformats.org/officeDocument/2006/relationships/hyperlink" Target="https://www.gov.uk/government/publications/rtfo-and-saf-mandate-technical-information" TargetMode="External"/><Relationship Id="rId17" Type="http://schemas.openxmlformats.org/officeDocument/2006/relationships/hyperlink" Target="https://op.europa.eu/en/publication-detail/-/publication/7d6dd4ba-720a-11e9-9f05-01aa75ed71a1" TargetMode="External"/><Relationship Id="rId2" Type="http://schemas.openxmlformats.org/officeDocument/2006/relationships/printerSettings" Target="../printerSettings/printerSettings82.bin"/><Relationship Id="rId16" Type="http://schemas.openxmlformats.org/officeDocument/2006/relationships/hyperlink" Target="https://publications.jrc.ec.europa.eu/repository/handle/JRC104759" TargetMode="External"/><Relationship Id="rId20" Type="http://schemas.openxmlformats.org/officeDocument/2006/relationships/hyperlink" Target="https://assets.publishing.service.gov.uk/government/uploads/system/uploads/attachment_data/file/947712/carbon-intensity-data-templates-2021.ods" TargetMode="External"/><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hyperlink" Target="https://eur-lex.europa.eu/legal-content/EN/TXT/PDF/?uri=CELEX:02018L2001-20231120" TargetMode="External"/><Relationship Id="rId5" Type="http://schemas.openxmlformats.org/officeDocument/2006/relationships/printerSettings" Target="../printerSettings/printerSettings85.bin"/><Relationship Id="rId15" Type="http://schemas.openxmlformats.org/officeDocument/2006/relationships/hyperlink" Target="https://www.gov.uk/government/publications/uk-low-carbon-hydrogen-standard-emissions-reporting-and-sustainability-criteria" TargetMode="External"/><Relationship Id="rId10" Type="http://schemas.openxmlformats.org/officeDocument/2006/relationships/hyperlink" Target="https://ec.europa.eu/jrc/en/publication/eur-scientific-and-technical-research-reports/jec-well-tank-report-v5" TargetMode="External"/><Relationship Id="rId19" Type="http://schemas.openxmlformats.org/officeDocument/2006/relationships/hyperlink" Target="https://web.archive.org/web/20190605065129/http:/www.arb.ca.gov/fuels/lcfs/workgroups/lcfssustain/ISCC_EU_205_GHG_Calculation_and_GHG_Audit_2.3_eng.pdf" TargetMode="External"/><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hyperlink" Target="https://www.gov.uk/government/publications/uk-low-carbon-hydrogen-standard-emissions-reporting-and-sustainability-criteria" TargetMode="Externa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3.bin"/><Relationship Id="rId7" Type="http://schemas.openxmlformats.org/officeDocument/2006/relationships/printerSettings" Target="../printerSettings/printerSettings97.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10" Type="http://schemas.openxmlformats.org/officeDocument/2006/relationships/printerSettings" Target="../printerSettings/printerSettings100.bin"/><Relationship Id="rId4" Type="http://schemas.openxmlformats.org/officeDocument/2006/relationships/printerSettings" Target="../printerSettings/printerSettings94.bin"/><Relationship Id="rId9" Type="http://schemas.openxmlformats.org/officeDocument/2006/relationships/printerSettings" Target="../printerSettings/printerSettings99.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08.bin"/><Relationship Id="rId3" Type="http://schemas.openxmlformats.org/officeDocument/2006/relationships/printerSettings" Target="../printerSettings/printerSettings103.bin"/><Relationship Id="rId7" Type="http://schemas.openxmlformats.org/officeDocument/2006/relationships/printerSettings" Target="../printerSettings/printerSettings107.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5" Type="http://schemas.openxmlformats.org/officeDocument/2006/relationships/printerSettings" Target="../printerSettings/printerSettings105.bin"/><Relationship Id="rId10" Type="http://schemas.openxmlformats.org/officeDocument/2006/relationships/printerSettings" Target="../printerSettings/printerSettings110.bin"/><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18.bin"/><Relationship Id="rId3" Type="http://schemas.openxmlformats.org/officeDocument/2006/relationships/printerSettings" Target="../printerSettings/printerSettings113.bin"/><Relationship Id="rId7" Type="http://schemas.openxmlformats.org/officeDocument/2006/relationships/printerSettings" Target="../printerSettings/printerSettings117.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6" Type="http://schemas.openxmlformats.org/officeDocument/2006/relationships/printerSettings" Target="../printerSettings/printerSettings116.bin"/><Relationship Id="rId5" Type="http://schemas.openxmlformats.org/officeDocument/2006/relationships/printerSettings" Target="../printerSettings/printerSettings115.bin"/><Relationship Id="rId10" Type="http://schemas.openxmlformats.org/officeDocument/2006/relationships/printerSettings" Target="../printerSettings/printerSettings120.bin"/><Relationship Id="rId4" Type="http://schemas.openxmlformats.org/officeDocument/2006/relationships/printerSettings" Target="../printerSettings/printerSettings114.bin"/><Relationship Id="rId9" Type="http://schemas.openxmlformats.org/officeDocument/2006/relationships/printerSettings" Target="../printerSettings/printerSettings11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printerSettings" Target="../printerSettings/printerSettings130.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8.bin"/><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5" Type="http://schemas.openxmlformats.org/officeDocument/2006/relationships/printerSettings" Target="../printerSettings/printerSettings135.bin"/><Relationship Id="rId10" Type="http://schemas.openxmlformats.org/officeDocument/2006/relationships/printerSettings" Target="../printerSettings/printerSettings140.bin"/><Relationship Id="rId4" Type="http://schemas.openxmlformats.org/officeDocument/2006/relationships/printerSettings" Target="../printerSettings/printerSettings134.bin"/><Relationship Id="rId9" Type="http://schemas.openxmlformats.org/officeDocument/2006/relationships/printerSettings" Target="../printerSettings/printerSettings139.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48.bin"/><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10" Type="http://schemas.openxmlformats.org/officeDocument/2006/relationships/printerSettings" Target="../printerSettings/printerSettings150.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58.bin"/><Relationship Id="rId3" Type="http://schemas.openxmlformats.org/officeDocument/2006/relationships/printerSettings" Target="../printerSettings/printerSettings153.bin"/><Relationship Id="rId7" Type="http://schemas.openxmlformats.org/officeDocument/2006/relationships/printerSettings" Target="../printerSettings/printerSettings157.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10" Type="http://schemas.openxmlformats.org/officeDocument/2006/relationships/printerSettings" Target="../printerSettings/printerSettings160.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5" Type="http://schemas.openxmlformats.org/officeDocument/2006/relationships/printerSettings" Target="../printerSettings/printerSettings165.bin"/><Relationship Id="rId10" Type="http://schemas.openxmlformats.org/officeDocument/2006/relationships/printerSettings" Target="../printerSettings/printerSettings170.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78.bin"/><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drawing" Target="../drawings/drawing9.xml"/><Relationship Id="rId5" Type="http://schemas.openxmlformats.org/officeDocument/2006/relationships/printerSettings" Target="../printerSettings/printerSettings175.bin"/><Relationship Id="rId10" Type="http://schemas.openxmlformats.org/officeDocument/2006/relationships/printerSettings" Target="../printerSettings/printerSettings180.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88.bin"/><Relationship Id="rId13" Type="http://schemas.openxmlformats.org/officeDocument/2006/relationships/comments" Target="../comments2.xml"/><Relationship Id="rId3" Type="http://schemas.openxmlformats.org/officeDocument/2006/relationships/printerSettings" Target="../printerSettings/printerSettings183.bin"/><Relationship Id="rId7" Type="http://schemas.openxmlformats.org/officeDocument/2006/relationships/printerSettings" Target="../printerSettings/printerSettings187.bin"/><Relationship Id="rId12" Type="http://schemas.openxmlformats.org/officeDocument/2006/relationships/vmlDrawing" Target="../drawings/vmlDrawing2.vml"/><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6" Type="http://schemas.openxmlformats.org/officeDocument/2006/relationships/printerSettings" Target="../printerSettings/printerSettings186.bin"/><Relationship Id="rId11" Type="http://schemas.openxmlformats.org/officeDocument/2006/relationships/drawing" Target="../drawings/drawing10.xml"/><Relationship Id="rId5" Type="http://schemas.openxmlformats.org/officeDocument/2006/relationships/printerSettings" Target="../printerSettings/printerSettings185.bin"/><Relationship Id="rId10" Type="http://schemas.openxmlformats.org/officeDocument/2006/relationships/printerSettings" Target="../printerSettings/printerSettings190.bin"/><Relationship Id="rId4" Type="http://schemas.openxmlformats.org/officeDocument/2006/relationships/printerSettings" Target="../printerSettings/printerSettings184.bin"/><Relationship Id="rId9" Type="http://schemas.openxmlformats.org/officeDocument/2006/relationships/printerSettings" Target="../printerSettings/printerSettings18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98.bin"/><Relationship Id="rId13" Type="http://schemas.openxmlformats.org/officeDocument/2006/relationships/comments" Target="../comments3.xml"/><Relationship Id="rId3" Type="http://schemas.openxmlformats.org/officeDocument/2006/relationships/printerSettings" Target="../printerSettings/printerSettings193.bin"/><Relationship Id="rId7" Type="http://schemas.openxmlformats.org/officeDocument/2006/relationships/printerSettings" Target="../printerSettings/printerSettings197.bin"/><Relationship Id="rId12" Type="http://schemas.openxmlformats.org/officeDocument/2006/relationships/vmlDrawing" Target="../drawings/vmlDrawing3.vml"/><Relationship Id="rId2" Type="http://schemas.openxmlformats.org/officeDocument/2006/relationships/printerSettings" Target="../printerSettings/printerSettings192.bin"/><Relationship Id="rId1" Type="http://schemas.openxmlformats.org/officeDocument/2006/relationships/printerSettings" Target="../printerSettings/printerSettings191.bin"/><Relationship Id="rId6" Type="http://schemas.openxmlformats.org/officeDocument/2006/relationships/printerSettings" Target="../printerSettings/printerSettings196.bin"/><Relationship Id="rId11" Type="http://schemas.openxmlformats.org/officeDocument/2006/relationships/drawing" Target="../drawings/drawing11.xml"/><Relationship Id="rId5" Type="http://schemas.openxmlformats.org/officeDocument/2006/relationships/printerSettings" Target="../printerSettings/printerSettings195.bin"/><Relationship Id="rId10" Type="http://schemas.openxmlformats.org/officeDocument/2006/relationships/printerSettings" Target="../printerSettings/printerSettings200.bin"/><Relationship Id="rId4" Type="http://schemas.openxmlformats.org/officeDocument/2006/relationships/printerSettings" Target="../printerSettings/printerSettings194.bin"/><Relationship Id="rId9" Type="http://schemas.openxmlformats.org/officeDocument/2006/relationships/printerSettings" Target="../printerSettings/printerSettings199.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08.bin"/><Relationship Id="rId13" Type="http://schemas.openxmlformats.org/officeDocument/2006/relationships/comments" Target="../comments4.xml"/><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12" Type="http://schemas.openxmlformats.org/officeDocument/2006/relationships/vmlDrawing" Target="../drawings/vmlDrawing4.vml"/><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11" Type="http://schemas.openxmlformats.org/officeDocument/2006/relationships/drawing" Target="../drawings/drawing12.xml"/><Relationship Id="rId5" Type="http://schemas.openxmlformats.org/officeDocument/2006/relationships/printerSettings" Target="../printerSettings/printerSettings205.bin"/><Relationship Id="rId10" Type="http://schemas.openxmlformats.org/officeDocument/2006/relationships/printerSettings" Target="../printerSettings/printerSettings210.bin"/><Relationship Id="rId4" Type="http://schemas.openxmlformats.org/officeDocument/2006/relationships/printerSettings" Target="../printerSettings/printerSettings204.bin"/><Relationship Id="rId9" Type="http://schemas.openxmlformats.org/officeDocument/2006/relationships/printerSettings" Target="../printerSettings/printerSettings20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18.bin"/><Relationship Id="rId13" Type="http://schemas.openxmlformats.org/officeDocument/2006/relationships/comments" Target="../comments5.xm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12" Type="http://schemas.openxmlformats.org/officeDocument/2006/relationships/vmlDrawing" Target="../drawings/vmlDrawing5.vm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11" Type="http://schemas.openxmlformats.org/officeDocument/2006/relationships/drawing" Target="../drawings/drawing13.xml"/><Relationship Id="rId5" Type="http://schemas.openxmlformats.org/officeDocument/2006/relationships/printerSettings" Target="../printerSettings/printerSettings215.bin"/><Relationship Id="rId10" Type="http://schemas.openxmlformats.org/officeDocument/2006/relationships/printerSettings" Target="../printerSettings/printerSettings220.bin"/><Relationship Id="rId4" Type="http://schemas.openxmlformats.org/officeDocument/2006/relationships/printerSettings" Target="../printerSettings/printerSettings214.bin"/><Relationship Id="rId9" Type="http://schemas.openxmlformats.org/officeDocument/2006/relationships/printerSettings" Target="../printerSettings/printerSettings21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28.bin"/><Relationship Id="rId13" Type="http://schemas.openxmlformats.org/officeDocument/2006/relationships/comments" Target="../comments6.xml"/><Relationship Id="rId3" Type="http://schemas.openxmlformats.org/officeDocument/2006/relationships/printerSettings" Target="../printerSettings/printerSettings223.bin"/><Relationship Id="rId7" Type="http://schemas.openxmlformats.org/officeDocument/2006/relationships/printerSettings" Target="../printerSettings/printerSettings227.bin"/><Relationship Id="rId12" Type="http://schemas.openxmlformats.org/officeDocument/2006/relationships/vmlDrawing" Target="../drawings/vmlDrawing6.vml"/><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6" Type="http://schemas.openxmlformats.org/officeDocument/2006/relationships/printerSettings" Target="../printerSettings/printerSettings226.bin"/><Relationship Id="rId11" Type="http://schemas.openxmlformats.org/officeDocument/2006/relationships/drawing" Target="../drawings/drawing14.xml"/><Relationship Id="rId5" Type="http://schemas.openxmlformats.org/officeDocument/2006/relationships/printerSettings" Target="../printerSettings/printerSettings225.bin"/><Relationship Id="rId10" Type="http://schemas.openxmlformats.org/officeDocument/2006/relationships/printerSettings" Target="../printerSettings/printerSettings230.bin"/><Relationship Id="rId4" Type="http://schemas.openxmlformats.org/officeDocument/2006/relationships/printerSettings" Target="../printerSettings/printerSettings224.bin"/><Relationship Id="rId9" Type="http://schemas.openxmlformats.org/officeDocument/2006/relationships/printerSettings" Target="../printerSettings/printerSettings22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38.bin"/><Relationship Id="rId13" Type="http://schemas.openxmlformats.org/officeDocument/2006/relationships/comments" Target="../comments7.xml"/><Relationship Id="rId3" Type="http://schemas.openxmlformats.org/officeDocument/2006/relationships/printerSettings" Target="../printerSettings/printerSettings233.bin"/><Relationship Id="rId7" Type="http://schemas.openxmlformats.org/officeDocument/2006/relationships/printerSettings" Target="../printerSettings/printerSettings237.bin"/><Relationship Id="rId12" Type="http://schemas.openxmlformats.org/officeDocument/2006/relationships/vmlDrawing" Target="../drawings/vmlDrawing7.vml"/><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 Id="rId6" Type="http://schemas.openxmlformats.org/officeDocument/2006/relationships/printerSettings" Target="../printerSettings/printerSettings236.bin"/><Relationship Id="rId11" Type="http://schemas.openxmlformats.org/officeDocument/2006/relationships/drawing" Target="../drawings/drawing15.xml"/><Relationship Id="rId5" Type="http://schemas.openxmlformats.org/officeDocument/2006/relationships/printerSettings" Target="../printerSettings/printerSettings235.bin"/><Relationship Id="rId10" Type="http://schemas.openxmlformats.org/officeDocument/2006/relationships/printerSettings" Target="../printerSettings/printerSettings240.bin"/><Relationship Id="rId4" Type="http://schemas.openxmlformats.org/officeDocument/2006/relationships/printerSettings" Target="../printerSettings/printerSettings234.bin"/><Relationship Id="rId9" Type="http://schemas.openxmlformats.org/officeDocument/2006/relationships/printerSettings" Target="../printerSettings/printerSettings23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10" Type="http://schemas.openxmlformats.org/officeDocument/2006/relationships/printerSettings" Target="../printerSettings/printerSettings250.bin"/><Relationship Id="rId4" Type="http://schemas.openxmlformats.org/officeDocument/2006/relationships/printerSettings" Target="../printerSettings/printerSettings244.bin"/><Relationship Id="rId9" Type="http://schemas.openxmlformats.org/officeDocument/2006/relationships/printerSettings" Target="../printerSettings/printerSettings249.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8.bin"/><Relationship Id="rId3" Type="http://schemas.openxmlformats.org/officeDocument/2006/relationships/printerSettings" Target="../printerSettings/printerSettings13.bin"/><Relationship Id="rId7" Type="http://schemas.openxmlformats.org/officeDocument/2006/relationships/printerSettings" Target="../printerSettings/printerSettings17.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6.bin"/><Relationship Id="rId11" Type="http://schemas.openxmlformats.org/officeDocument/2006/relationships/drawing" Target="../drawings/drawing2.xml"/><Relationship Id="rId5" Type="http://schemas.openxmlformats.org/officeDocument/2006/relationships/printerSettings" Target="../printerSettings/printerSettings15.bin"/><Relationship Id="rId10" Type="http://schemas.openxmlformats.org/officeDocument/2006/relationships/printerSettings" Target="../printerSettings/printerSettings20.bin"/><Relationship Id="rId4" Type="http://schemas.openxmlformats.org/officeDocument/2006/relationships/printerSettings" Target="../printerSettings/printerSettings14.bin"/><Relationship Id="rId9" Type="http://schemas.openxmlformats.org/officeDocument/2006/relationships/printerSettings" Target="../printerSettings/printerSettings19.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6.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7.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8.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9.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comments" Target="../comments14.xml"/><Relationship Id="rId3" Type="http://schemas.openxmlformats.org/officeDocument/2006/relationships/printerSettings" Target="../printerSettings/printerSettings253.bin"/><Relationship Id="rId7" Type="http://schemas.openxmlformats.org/officeDocument/2006/relationships/printerSettings" Target="../printerSettings/printerSettings257.bin"/><Relationship Id="rId12" Type="http://schemas.openxmlformats.org/officeDocument/2006/relationships/vmlDrawing" Target="../drawings/vmlDrawing14.vml"/><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drawing" Target="../drawings/drawing22.xml"/><Relationship Id="rId5" Type="http://schemas.openxmlformats.org/officeDocument/2006/relationships/printerSettings" Target="../printerSettings/printerSettings255.bin"/><Relationship Id="rId10" Type="http://schemas.openxmlformats.org/officeDocument/2006/relationships/printerSettings" Target="../printerSettings/printerSettings260.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268.bin"/><Relationship Id="rId13" Type="http://schemas.openxmlformats.org/officeDocument/2006/relationships/comments" Target="../comments15.xml"/><Relationship Id="rId3" Type="http://schemas.openxmlformats.org/officeDocument/2006/relationships/printerSettings" Target="../printerSettings/printerSettings263.bin"/><Relationship Id="rId7" Type="http://schemas.openxmlformats.org/officeDocument/2006/relationships/printerSettings" Target="../printerSettings/printerSettings267.bin"/><Relationship Id="rId12" Type="http://schemas.openxmlformats.org/officeDocument/2006/relationships/vmlDrawing" Target="../drawings/vmlDrawing15.vml"/><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6" Type="http://schemas.openxmlformats.org/officeDocument/2006/relationships/printerSettings" Target="../printerSettings/printerSettings266.bin"/><Relationship Id="rId11" Type="http://schemas.openxmlformats.org/officeDocument/2006/relationships/drawing" Target="../drawings/drawing23.xml"/><Relationship Id="rId5" Type="http://schemas.openxmlformats.org/officeDocument/2006/relationships/printerSettings" Target="../printerSettings/printerSettings265.bin"/><Relationship Id="rId10" Type="http://schemas.openxmlformats.org/officeDocument/2006/relationships/printerSettings" Target="../printerSettings/printerSettings270.bin"/><Relationship Id="rId4" Type="http://schemas.openxmlformats.org/officeDocument/2006/relationships/printerSettings" Target="../printerSettings/printerSettings264.bin"/><Relationship Id="rId9" Type="http://schemas.openxmlformats.org/officeDocument/2006/relationships/printerSettings" Target="../printerSettings/printerSettings269.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278.bin"/><Relationship Id="rId13" Type="http://schemas.openxmlformats.org/officeDocument/2006/relationships/comments" Target="../comments16.xml"/><Relationship Id="rId3" Type="http://schemas.openxmlformats.org/officeDocument/2006/relationships/printerSettings" Target="../printerSettings/printerSettings273.bin"/><Relationship Id="rId7" Type="http://schemas.openxmlformats.org/officeDocument/2006/relationships/printerSettings" Target="../printerSettings/printerSettings277.bin"/><Relationship Id="rId12" Type="http://schemas.openxmlformats.org/officeDocument/2006/relationships/vmlDrawing" Target="../drawings/vmlDrawing16.vml"/><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drawing" Target="../drawings/drawing24.xml"/><Relationship Id="rId5" Type="http://schemas.openxmlformats.org/officeDocument/2006/relationships/printerSettings" Target="../printerSettings/printerSettings275.bin"/><Relationship Id="rId10" Type="http://schemas.openxmlformats.org/officeDocument/2006/relationships/printerSettings" Target="../printerSettings/printerSettings280.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comments" Target="../comments17.xml"/><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12" Type="http://schemas.openxmlformats.org/officeDocument/2006/relationships/vmlDrawing" Target="../drawings/vmlDrawing17.vml"/><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drawing" Target="../drawings/drawing25.xml"/><Relationship Id="rId5" Type="http://schemas.openxmlformats.org/officeDocument/2006/relationships/printerSettings" Target="../printerSettings/printerSettings285.bin"/><Relationship Id="rId10" Type="http://schemas.openxmlformats.org/officeDocument/2006/relationships/printerSettings" Target="../printerSettings/printerSettings290.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comments" Target="../comments18.xml"/><Relationship Id="rId3" Type="http://schemas.openxmlformats.org/officeDocument/2006/relationships/printerSettings" Target="../printerSettings/printerSettings293.bin"/><Relationship Id="rId7" Type="http://schemas.openxmlformats.org/officeDocument/2006/relationships/printerSettings" Target="../printerSettings/printerSettings297.bin"/><Relationship Id="rId12" Type="http://schemas.openxmlformats.org/officeDocument/2006/relationships/vmlDrawing" Target="../drawings/vmlDrawing18.vml"/><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drawing" Target="../drawings/drawing26.xml"/><Relationship Id="rId5" Type="http://schemas.openxmlformats.org/officeDocument/2006/relationships/printerSettings" Target="../printerSettings/printerSettings295.bin"/><Relationship Id="rId10" Type="http://schemas.openxmlformats.org/officeDocument/2006/relationships/printerSettings" Target="../printerSettings/printerSettings300.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comments" Target="../comments19.xml"/><Relationship Id="rId3" Type="http://schemas.openxmlformats.org/officeDocument/2006/relationships/printerSettings" Target="../printerSettings/printerSettings303.bin"/><Relationship Id="rId7" Type="http://schemas.openxmlformats.org/officeDocument/2006/relationships/printerSettings" Target="../printerSettings/printerSettings307.bin"/><Relationship Id="rId12" Type="http://schemas.openxmlformats.org/officeDocument/2006/relationships/vmlDrawing" Target="../drawings/vmlDrawing19.vml"/><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drawing" Target="../drawings/drawing27.xml"/><Relationship Id="rId5" Type="http://schemas.openxmlformats.org/officeDocument/2006/relationships/printerSettings" Target="../printerSettings/printerSettings305.bin"/><Relationship Id="rId10" Type="http://schemas.openxmlformats.org/officeDocument/2006/relationships/printerSettings" Target="../printerSettings/printerSettings310.bin"/><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318.bin"/><Relationship Id="rId13" Type="http://schemas.openxmlformats.org/officeDocument/2006/relationships/comments" Target="../comments20.xml"/><Relationship Id="rId3" Type="http://schemas.openxmlformats.org/officeDocument/2006/relationships/printerSettings" Target="../printerSettings/printerSettings313.bin"/><Relationship Id="rId7" Type="http://schemas.openxmlformats.org/officeDocument/2006/relationships/printerSettings" Target="../printerSettings/printerSettings317.bin"/><Relationship Id="rId12" Type="http://schemas.openxmlformats.org/officeDocument/2006/relationships/vmlDrawing" Target="../drawings/vmlDrawing20.vml"/><Relationship Id="rId2" Type="http://schemas.openxmlformats.org/officeDocument/2006/relationships/printerSettings" Target="../printerSettings/printerSettings312.bin"/><Relationship Id="rId1" Type="http://schemas.openxmlformats.org/officeDocument/2006/relationships/printerSettings" Target="../printerSettings/printerSettings311.bin"/><Relationship Id="rId6" Type="http://schemas.openxmlformats.org/officeDocument/2006/relationships/printerSettings" Target="../printerSettings/printerSettings316.bin"/><Relationship Id="rId11" Type="http://schemas.openxmlformats.org/officeDocument/2006/relationships/drawing" Target="../drawings/drawing28.xml"/><Relationship Id="rId5" Type="http://schemas.openxmlformats.org/officeDocument/2006/relationships/printerSettings" Target="../printerSettings/printerSettings315.bin"/><Relationship Id="rId10" Type="http://schemas.openxmlformats.org/officeDocument/2006/relationships/printerSettings" Target="../printerSettings/printerSettings320.bin"/><Relationship Id="rId4" Type="http://schemas.openxmlformats.org/officeDocument/2006/relationships/printerSettings" Target="../printerSettings/printerSettings314.bin"/><Relationship Id="rId9" Type="http://schemas.openxmlformats.org/officeDocument/2006/relationships/printerSettings" Target="../printerSettings/printerSettings319.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328.bin"/><Relationship Id="rId13" Type="http://schemas.openxmlformats.org/officeDocument/2006/relationships/comments" Target="../comments21.xml"/><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12" Type="http://schemas.openxmlformats.org/officeDocument/2006/relationships/vmlDrawing" Target="../drawings/vmlDrawing21.vml"/><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drawing" Target="../drawings/drawing29.xml"/><Relationship Id="rId5" Type="http://schemas.openxmlformats.org/officeDocument/2006/relationships/printerSettings" Target="../printerSettings/printerSettings325.bin"/><Relationship Id="rId10" Type="http://schemas.openxmlformats.org/officeDocument/2006/relationships/printerSettings" Target="../printerSettings/printerSettings330.bin"/><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338.bin"/><Relationship Id="rId13" Type="http://schemas.openxmlformats.org/officeDocument/2006/relationships/comments" Target="../comments22.xml"/><Relationship Id="rId3" Type="http://schemas.openxmlformats.org/officeDocument/2006/relationships/printerSettings" Target="../printerSettings/printerSettings333.bin"/><Relationship Id="rId7" Type="http://schemas.openxmlformats.org/officeDocument/2006/relationships/printerSettings" Target="../printerSettings/printerSettings337.bin"/><Relationship Id="rId12" Type="http://schemas.openxmlformats.org/officeDocument/2006/relationships/vmlDrawing" Target="../drawings/vmlDrawing22.vml"/><Relationship Id="rId2" Type="http://schemas.openxmlformats.org/officeDocument/2006/relationships/printerSettings" Target="../printerSettings/printerSettings332.bin"/><Relationship Id="rId1" Type="http://schemas.openxmlformats.org/officeDocument/2006/relationships/printerSettings" Target="../printerSettings/printerSettings331.bin"/><Relationship Id="rId6" Type="http://schemas.openxmlformats.org/officeDocument/2006/relationships/printerSettings" Target="../printerSettings/printerSettings336.bin"/><Relationship Id="rId11" Type="http://schemas.openxmlformats.org/officeDocument/2006/relationships/drawing" Target="../drawings/drawing30.xml"/><Relationship Id="rId5" Type="http://schemas.openxmlformats.org/officeDocument/2006/relationships/printerSettings" Target="../printerSettings/printerSettings335.bin"/><Relationship Id="rId10" Type="http://schemas.openxmlformats.org/officeDocument/2006/relationships/printerSettings" Target="../printerSettings/printerSettings340.bin"/><Relationship Id="rId4" Type="http://schemas.openxmlformats.org/officeDocument/2006/relationships/printerSettings" Target="../printerSettings/printerSettings334.bin"/><Relationship Id="rId9" Type="http://schemas.openxmlformats.org/officeDocument/2006/relationships/printerSettings" Target="../printerSettings/printerSettings33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348.bin"/><Relationship Id="rId13" Type="http://schemas.openxmlformats.org/officeDocument/2006/relationships/comments" Target="../comments23.xml"/><Relationship Id="rId3" Type="http://schemas.openxmlformats.org/officeDocument/2006/relationships/printerSettings" Target="../printerSettings/printerSettings343.bin"/><Relationship Id="rId7" Type="http://schemas.openxmlformats.org/officeDocument/2006/relationships/printerSettings" Target="../printerSettings/printerSettings347.bin"/><Relationship Id="rId12" Type="http://schemas.openxmlformats.org/officeDocument/2006/relationships/vmlDrawing" Target="../drawings/vmlDrawing23.vml"/><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11" Type="http://schemas.openxmlformats.org/officeDocument/2006/relationships/drawing" Target="../drawings/drawing31.xml"/><Relationship Id="rId5" Type="http://schemas.openxmlformats.org/officeDocument/2006/relationships/printerSettings" Target="../printerSettings/printerSettings345.bin"/><Relationship Id="rId10" Type="http://schemas.openxmlformats.org/officeDocument/2006/relationships/printerSettings" Target="../printerSettings/printerSettings350.bin"/><Relationship Id="rId4" Type="http://schemas.openxmlformats.org/officeDocument/2006/relationships/printerSettings" Target="../printerSettings/printerSettings344.bin"/><Relationship Id="rId9" Type="http://schemas.openxmlformats.org/officeDocument/2006/relationships/printerSettings" Target="../printerSettings/printerSettings349.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comments" Target="../comments24.xml"/><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vmlDrawing" Target="../drawings/vmlDrawing24.vml"/><Relationship Id="rId2" Type="http://schemas.openxmlformats.org/officeDocument/2006/relationships/printerSettings" Target="../printerSettings/printerSettings352.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drawing" Target="../drawings/drawing32.xml"/><Relationship Id="rId5" Type="http://schemas.openxmlformats.org/officeDocument/2006/relationships/printerSettings" Target="../printerSettings/printerSettings355.bin"/><Relationship Id="rId10" Type="http://schemas.openxmlformats.org/officeDocument/2006/relationships/printerSettings" Target="../printerSettings/printerSettings360.bin"/><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368.bin"/><Relationship Id="rId13" Type="http://schemas.openxmlformats.org/officeDocument/2006/relationships/comments" Target="../comments25.xml"/><Relationship Id="rId3" Type="http://schemas.openxmlformats.org/officeDocument/2006/relationships/printerSettings" Target="../printerSettings/printerSettings363.bin"/><Relationship Id="rId7" Type="http://schemas.openxmlformats.org/officeDocument/2006/relationships/printerSettings" Target="../printerSettings/printerSettings367.bin"/><Relationship Id="rId12" Type="http://schemas.openxmlformats.org/officeDocument/2006/relationships/vmlDrawing" Target="../drawings/vmlDrawing25.vml"/><Relationship Id="rId2" Type="http://schemas.openxmlformats.org/officeDocument/2006/relationships/printerSettings" Target="../printerSettings/printerSettings362.bin"/><Relationship Id="rId1" Type="http://schemas.openxmlformats.org/officeDocument/2006/relationships/printerSettings" Target="../printerSettings/printerSettings361.bin"/><Relationship Id="rId6" Type="http://schemas.openxmlformats.org/officeDocument/2006/relationships/printerSettings" Target="../printerSettings/printerSettings366.bin"/><Relationship Id="rId11" Type="http://schemas.openxmlformats.org/officeDocument/2006/relationships/drawing" Target="../drawings/drawing33.xml"/><Relationship Id="rId5" Type="http://schemas.openxmlformats.org/officeDocument/2006/relationships/printerSettings" Target="../printerSettings/printerSettings365.bin"/><Relationship Id="rId10" Type="http://schemas.openxmlformats.org/officeDocument/2006/relationships/printerSettings" Target="../printerSettings/printerSettings370.bin"/><Relationship Id="rId4" Type="http://schemas.openxmlformats.org/officeDocument/2006/relationships/printerSettings" Target="../printerSettings/printerSettings364.bin"/><Relationship Id="rId9" Type="http://schemas.openxmlformats.org/officeDocument/2006/relationships/printerSettings" Target="../printerSettings/printerSettings369.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378.bin"/><Relationship Id="rId13" Type="http://schemas.openxmlformats.org/officeDocument/2006/relationships/comments" Target="../comments26.xml"/><Relationship Id="rId3" Type="http://schemas.openxmlformats.org/officeDocument/2006/relationships/printerSettings" Target="../printerSettings/printerSettings373.bin"/><Relationship Id="rId7" Type="http://schemas.openxmlformats.org/officeDocument/2006/relationships/printerSettings" Target="../printerSettings/printerSettings377.bin"/><Relationship Id="rId12" Type="http://schemas.openxmlformats.org/officeDocument/2006/relationships/vmlDrawing" Target="../drawings/vmlDrawing26.vml"/><Relationship Id="rId2" Type="http://schemas.openxmlformats.org/officeDocument/2006/relationships/printerSettings" Target="../printerSettings/printerSettings372.bin"/><Relationship Id="rId1" Type="http://schemas.openxmlformats.org/officeDocument/2006/relationships/printerSettings" Target="../printerSettings/printerSettings371.bin"/><Relationship Id="rId6" Type="http://schemas.openxmlformats.org/officeDocument/2006/relationships/printerSettings" Target="../printerSettings/printerSettings376.bin"/><Relationship Id="rId11" Type="http://schemas.openxmlformats.org/officeDocument/2006/relationships/drawing" Target="../drawings/drawing34.xml"/><Relationship Id="rId5" Type="http://schemas.openxmlformats.org/officeDocument/2006/relationships/printerSettings" Target="../printerSettings/printerSettings375.bin"/><Relationship Id="rId10" Type="http://schemas.openxmlformats.org/officeDocument/2006/relationships/printerSettings" Target="../printerSettings/printerSettings380.bin"/><Relationship Id="rId4" Type="http://schemas.openxmlformats.org/officeDocument/2006/relationships/printerSettings" Target="../printerSettings/printerSettings374.bin"/><Relationship Id="rId9" Type="http://schemas.openxmlformats.org/officeDocument/2006/relationships/printerSettings" Target="../printerSettings/printerSettings37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drawing" Target="../drawings/drawing3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gov.uk/government/publications/biofuels-carbon-calculator-rtfo" TargetMode="External"/></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388.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5" Type="http://schemas.openxmlformats.org/officeDocument/2006/relationships/printerSettings" Target="../printerSettings/printerSettings385.bin"/><Relationship Id="rId10" Type="http://schemas.openxmlformats.org/officeDocument/2006/relationships/printerSettings" Target="../printerSettings/printerSettings390.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comments" Target="../comments28.xml"/><Relationship Id="rId3" Type="http://schemas.openxmlformats.org/officeDocument/2006/relationships/printerSettings" Target="../printerSettings/printerSettings393.bin"/><Relationship Id="rId7" Type="http://schemas.openxmlformats.org/officeDocument/2006/relationships/printerSettings" Target="../printerSettings/printerSettings397.bin"/><Relationship Id="rId12" Type="http://schemas.openxmlformats.org/officeDocument/2006/relationships/vmlDrawing" Target="../drawings/vmlDrawing28.vml"/><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drawing" Target="../drawings/drawing36.xml"/><Relationship Id="rId5" Type="http://schemas.openxmlformats.org/officeDocument/2006/relationships/printerSettings" Target="../printerSettings/printerSettings395.bin"/><Relationship Id="rId10" Type="http://schemas.openxmlformats.org/officeDocument/2006/relationships/printerSettings" Target="../printerSettings/printerSettings400.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comments" Target="../comments29.xml"/><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12" Type="http://schemas.openxmlformats.org/officeDocument/2006/relationships/vmlDrawing" Target="../drawings/vmlDrawing29.vml"/><Relationship Id="rId2" Type="http://schemas.openxmlformats.org/officeDocument/2006/relationships/printerSettings" Target="../printerSettings/printerSettings402.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drawing" Target="../drawings/drawing37.xml"/><Relationship Id="rId5" Type="http://schemas.openxmlformats.org/officeDocument/2006/relationships/printerSettings" Target="../printerSettings/printerSettings405.bin"/><Relationship Id="rId10" Type="http://schemas.openxmlformats.org/officeDocument/2006/relationships/printerSettings" Target="../printerSettings/printerSettings410.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comments" Target="../comments30.xml"/><Relationship Id="rId3" Type="http://schemas.openxmlformats.org/officeDocument/2006/relationships/printerSettings" Target="../printerSettings/printerSettings413.bin"/><Relationship Id="rId7" Type="http://schemas.openxmlformats.org/officeDocument/2006/relationships/printerSettings" Target="../printerSettings/printerSettings417.bin"/><Relationship Id="rId12" Type="http://schemas.openxmlformats.org/officeDocument/2006/relationships/vmlDrawing" Target="../drawings/vmlDrawing30.vml"/><Relationship Id="rId2" Type="http://schemas.openxmlformats.org/officeDocument/2006/relationships/printerSettings" Target="../printerSettings/printerSettings412.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drawing" Target="../drawings/drawing38.xml"/><Relationship Id="rId5" Type="http://schemas.openxmlformats.org/officeDocument/2006/relationships/printerSettings" Target="../printerSettings/printerSettings415.bin"/><Relationship Id="rId10" Type="http://schemas.openxmlformats.org/officeDocument/2006/relationships/printerSettings" Target="../printerSettings/printerSettings420.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s>
</file>

<file path=xl/worksheets/_rels/sheet54.xml.rels><?xml version="1.0" encoding="UTF-8" standalone="yes"?>
<Relationships xmlns="http://schemas.openxmlformats.org/package/2006/relationships"><Relationship Id="rId8" Type="http://schemas.openxmlformats.org/officeDocument/2006/relationships/printerSettings" Target="../printerSettings/printerSettings428.bin"/><Relationship Id="rId13" Type="http://schemas.openxmlformats.org/officeDocument/2006/relationships/comments" Target="../comments31.xml"/><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12" Type="http://schemas.openxmlformats.org/officeDocument/2006/relationships/vmlDrawing" Target="../drawings/vmlDrawing31.vml"/><Relationship Id="rId2" Type="http://schemas.openxmlformats.org/officeDocument/2006/relationships/printerSettings" Target="../printerSettings/printerSettings422.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drawing" Target="../drawings/drawing39.xml"/><Relationship Id="rId5" Type="http://schemas.openxmlformats.org/officeDocument/2006/relationships/printerSettings" Target="../printerSettings/printerSettings425.bin"/><Relationship Id="rId10" Type="http://schemas.openxmlformats.org/officeDocument/2006/relationships/printerSettings" Target="../printerSettings/printerSettings430.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drawing" Target="../drawings/drawing40.xm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438.bin"/><Relationship Id="rId13" Type="http://schemas.openxmlformats.org/officeDocument/2006/relationships/comments" Target="../comments33.xml"/><Relationship Id="rId3" Type="http://schemas.openxmlformats.org/officeDocument/2006/relationships/printerSettings" Target="../printerSettings/printerSettings433.bin"/><Relationship Id="rId7" Type="http://schemas.openxmlformats.org/officeDocument/2006/relationships/printerSettings" Target="../printerSettings/printerSettings437.bin"/><Relationship Id="rId12" Type="http://schemas.openxmlformats.org/officeDocument/2006/relationships/vmlDrawing" Target="../drawings/vmlDrawing33.vml"/><Relationship Id="rId2" Type="http://schemas.openxmlformats.org/officeDocument/2006/relationships/printerSettings" Target="../printerSettings/printerSettings432.bin"/><Relationship Id="rId1" Type="http://schemas.openxmlformats.org/officeDocument/2006/relationships/printerSettings" Target="../printerSettings/printerSettings431.bin"/><Relationship Id="rId6" Type="http://schemas.openxmlformats.org/officeDocument/2006/relationships/printerSettings" Target="../printerSettings/printerSettings436.bin"/><Relationship Id="rId11" Type="http://schemas.openxmlformats.org/officeDocument/2006/relationships/drawing" Target="../drawings/drawing41.xml"/><Relationship Id="rId5" Type="http://schemas.openxmlformats.org/officeDocument/2006/relationships/printerSettings" Target="../printerSettings/printerSettings435.bin"/><Relationship Id="rId10" Type="http://schemas.openxmlformats.org/officeDocument/2006/relationships/printerSettings" Target="../printerSettings/printerSettings440.bin"/><Relationship Id="rId4" Type="http://schemas.openxmlformats.org/officeDocument/2006/relationships/printerSettings" Target="../printerSettings/printerSettings434.bin"/><Relationship Id="rId9" Type="http://schemas.openxmlformats.org/officeDocument/2006/relationships/printerSettings" Target="../printerSettings/printerSettings439.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448.bin"/><Relationship Id="rId13" Type="http://schemas.openxmlformats.org/officeDocument/2006/relationships/comments" Target="../comments34.xml"/><Relationship Id="rId3" Type="http://schemas.openxmlformats.org/officeDocument/2006/relationships/printerSettings" Target="../printerSettings/printerSettings443.bin"/><Relationship Id="rId7" Type="http://schemas.openxmlformats.org/officeDocument/2006/relationships/printerSettings" Target="../printerSettings/printerSettings447.bin"/><Relationship Id="rId12" Type="http://schemas.openxmlformats.org/officeDocument/2006/relationships/vmlDrawing" Target="../drawings/vmlDrawing34.vml"/><Relationship Id="rId2" Type="http://schemas.openxmlformats.org/officeDocument/2006/relationships/printerSettings" Target="../printerSettings/printerSettings442.bin"/><Relationship Id="rId1" Type="http://schemas.openxmlformats.org/officeDocument/2006/relationships/printerSettings" Target="../printerSettings/printerSettings441.bin"/><Relationship Id="rId6" Type="http://schemas.openxmlformats.org/officeDocument/2006/relationships/printerSettings" Target="../printerSettings/printerSettings446.bin"/><Relationship Id="rId11" Type="http://schemas.openxmlformats.org/officeDocument/2006/relationships/drawing" Target="../drawings/drawing42.xml"/><Relationship Id="rId5" Type="http://schemas.openxmlformats.org/officeDocument/2006/relationships/printerSettings" Target="../printerSettings/printerSettings445.bin"/><Relationship Id="rId10" Type="http://schemas.openxmlformats.org/officeDocument/2006/relationships/printerSettings" Target="../printerSettings/printerSettings450.bin"/><Relationship Id="rId4" Type="http://schemas.openxmlformats.org/officeDocument/2006/relationships/printerSettings" Target="../printerSettings/printerSettings444.bin"/><Relationship Id="rId9" Type="http://schemas.openxmlformats.org/officeDocument/2006/relationships/printerSettings" Target="../printerSettings/printerSettings449.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458.bin"/><Relationship Id="rId13" Type="http://schemas.openxmlformats.org/officeDocument/2006/relationships/comments" Target="../comments35.xml"/><Relationship Id="rId3" Type="http://schemas.openxmlformats.org/officeDocument/2006/relationships/printerSettings" Target="../printerSettings/printerSettings453.bin"/><Relationship Id="rId7" Type="http://schemas.openxmlformats.org/officeDocument/2006/relationships/printerSettings" Target="../printerSettings/printerSettings457.bin"/><Relationship Id="rId12" Type="http://schemas.openxmlformats.org/officeDocument/2006/relationships/vmlDrawing" Target="../drawings/vmlDrawing35.vml"/><Relationship Id="rId2" Type="http://schemas.openxmlformats.org/officeDocument/2006/relationships/printerSettings" Target="../printerSettings/printerSettings452.bin"/><Relationship Id="rId1" Type="http://schemas.openxmlformats.org/officeDocument/2006/relationships/printerSettings" Target="../printerSettings/printerSettings451.bin"/><Relationship Id="rId6" Type="http://schemas.openxmlformats.org/officeDocument/2006/relationships/printerSettings" Target="../printerSettings/printerSettings456.bin"/><Relationship Id="rId11" Type="http://schemas.openxmlformats.org/officeDocument/2006/relationships/drawing" Target="../drawings/drawing43.xml"/><Relationship Id="rId5" Type="http://schemas.openxmlformats.org/officeDocument/2006/relationships/printerSettings" Target="../printerSettings/printerSettings455.bin"/><Relationship Id="rId10" Type="http://schemas.openxmlformats.org/officeDocument/2006/relationships/printerSettings" Target="../printerSettings/printerSettings460.bin"/><Relationship Id="rId4" Type="http://schemas.openxmlformats.org/officeDocument/2006/relationships/printerSettings" Target="../printerSettings/printerSettings454.bin"/><Relationship Id="rId9" Type="http://schemas.openxmlformats.org/officeDocument/2006/relationships/printerSettings" Target="../printerSettings/printerSettings45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468.bin"/><Relationship Id="rId13" Type="http://schemas.openxmlformats.org/officeDocument/2006/relationships/comments" Target="../comments36.xml"/><Relationship Id="rId3" Type="http://schemas.openxmlformats.org/officeDocument/2006/relationships/printerSettings" Target="../printerSettings/printerSettings463.bin"/><Relationship Id="rId7" Type="http://schemas.openxmlformats.org/officeDocument/2006/relationships/printerSettings" Target="../printerSettings/printerSettings467.bin"/><Relationship Id="rId12" Type="http://schemas.openxmlformats.org/officeDocument/2006/relationships/vmlDrawing" Target="../drawings/vmlDrawing36.vml"/><Relationship Id="rId2" Type="http://schemas.openxmlformats.org/officeDocument/2006/relationships/printerSettings" Target="../printerSettings/printerSettings462.bin"/><Relationship Id="rId1" Type="http://schemas.openxmlformats.org/officeDocument/2006/relationships/printerSettings" Target="../printerSettings/printerSettings461.bin"/><Relationship Id="rId6" Type="http://schemas.openxmlformats.org/officeDocument/2006/relationships/printerSettings" Target="../printerSettings/printerSettings466.bin"/><Relationship Id="rId11" Type="http://schemas.openxmlformats.org/officeDocument/2006/relationships/drawing" Target="../drawings/drawing44.xml"/><Relationship Id="rId5" Type="http://schemas.openxmlformats.org/officeDocument/2006/relationships/printerSettings" Target="../printerSettings/printerSettings465.bin"/><Relationship Id="rId10" Type="http://schemas.openxmlformats.org/officeDocument/2006/relationships/printerSettings" Target="../printerSettings/printerSettings470.bin"/><Relationship Id="rId4" Type="http://schemas.openxmlformats.org/officeDocument/2006/relationships/printerSettings" Target="../printerSettings/printerSettings464.bin"/><Relationship Id="rId9" Type="http://schemas.openxmlformats.org/officeDocument/2006/relationships/printerSettings" Target="../printerSettings/printerSettings469.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478.bin"/><Relationship Id="rId13" Type="http://schemas.openxmlformats.org/officeDocument/2006/relationships/comments" Target="../comments37.xml"/><Relationship Id="rId3" Type="http://schemas.openxmlformats.org/officeDocument/2006/relationships/printerSettings" Target="../printerSettings/printerSettings473.bin"/><Relationship Id="rId7" Type="http://schemas.openxmlformats.org/officeDocument/2006/relationships/printerSettings" Target="../printerSettings/printerSettings477.bin"/><Relationship Id="rId12" Type="http://schemas.openxmlformats.org/officeDocument/2006/relationships/vmlDrawing" Target="../drawings/vmlDrawing37.vml"/><Relationship Id="rId2" Type="http://schemas.openxmlformats.org/officeDocument/2006/relationships/printerSettings" Target="../printerSettings/printerSettings472.bin"/><Relationship Id="rId1" Type="http://schemas.openxmlformats.org/officeDocument/2006/relationships/printerSettings" Target="../printerSettings/printerSettings471.bin"/><Relationship Id="rId6" Type="http://schemas.openxmlformats.org/officeDocument/2006/relationships/printerSettings" Target="../printerSettings/printerSettings476.bin"/><Relationship Id="rId11" Type="http://schemas.openxmlformats.org/officeDocument/2006/relationships/drawing" Target="../drawings/drawing45.xml"/><Relationship Id="rId5" Type="http://schemas.openxmlformats.org/officeDocument/2006/relationships/printerSettings" Target="../printerSettings/printerSettings475.bin"/><Relationship Id="rId10" Type="http://schemas.openxmlformats.org/officeDocument/2006/relationships/printerSettings" Target="../printerSettings/printerSettings480.bin"/><Relationship Id="rId4" Type="http://schemas.openxmlformats.org/officeDocument/2006/relationships/printerSettings" Target="../printerSettings/printerSettings474.bin"/><Relationship Id="rId9" Type="http://schemas.openxmlformats.org/officeDocument/2006/relationships/printerSettings" Target="../printerSettings/printerSettings479.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488.bin"/><Relationship Id="rId13" Type="http://schemas.openxmlformats.org/officeDocument/2006/relationships/comments" Target="../comments38.xml"/><Relationship Id="rId3" Type="http://schemas.openxmlformats.org/officeDocument/2006/relationships/printerSettings" Target="../printerSettings/printerSettings483.bin"/><Relationship Id="rId7" Type="http://schemas.openxmlformats.org/officeDocument/2006/relationships/printerSettings" Target="../printerSettings/printerSettings487.bin"/><Relationship Id="rId12" Type="http://schemas.openxmlformats.org/officeDocument/2006/relationships/vmlDrawing" Target="../drawings/vmlDrawing38.vml"/><Relationship Id="rId2" Type="http://schemas.openxmlformats.org/officeDocument/2006/relationships/printerSettings" Target="../printerSettings/printerSettings482.bin"/><Relationship Id="rId1" Type="http://schemas.openxmlformats.org/officeDocument/2006/relationships/printerSettings" Target="../printerSettings/printerSettings481.bin"/><Relationship Id="rId6" Type="http://schemas.openxmlformats.org/officeDocument/2006/relationships/printerSettings" Target="../printerSettings/printerSettings486.bin"/><Relationship Id="rId11" Type="http://schemas.openxmlformats.org/officeDocument/2006/relationships/drawing" Target="../drawings/drawing46.xml"/><Relationship Id="rId5" Type="http://schemas.openxmlformats.org/officeDocument/2006/relationships/printerSettings" Target="../printerSettings/printerSettings485.bin"/><Relationship Id="rId10" Type="http://schemas.openxmlformats.org/officeDocument/2006/relationships/printerSettings" Target="../printerSettings/printerSettings490.bin"/><Relationship Id="rId4" Type="http://schemas.openxmlformats.org/officeDocument/2006/relationships/printerSettings" Target="../printerSettings/printerSettings484.bin"/><Relationship Id="rId9" Type="http://schemas.openxmlformats.org/officeDocument/2006/relationships/printerSettings" Target="../printerSettings/printerSettings489.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drawing" Target="../drawings/drawing47.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3.bin"/><Relationship Id="rId7" Type="http://schemas.openxmlformats.org/officeDocument/2006/relationships/printerSettings" Target="../printerSettings/printerSettings27.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printerSettings" Target="../printerSettings/printerSettings26.bin"/><Relationship Id="rId11" Type="http://schemas.openxmlformats.org/officeDocument/2006/relationships/drawing" Target="../drawings/drawing6.xml"/><Relationship Id="rId5" Type="http://schemas.openxmlformats.org/officeDocument/2006/relationships/printerSettings" Target="../printerSettings/printerSettings25.bin"/><Relationship Id="rId10" Type="http://schemas.openxmlformats.org/officeDocument/2006/relationships/printerSettings" Target="../printerSettings/printerSettings30.bin"/><Relationship Id="rId4" Type="http://schemas.openxmlformats.org/officeDocument/2006/relationships/printerSettings" Target="../printerSettings/printerSettings24.bin"/><Relationship Id="rId9" Type="http://schemas.openxmlformats.org/officeDocument/2006/relationships/printerSettings" Target="../printerSettings/printerSettings2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38.bin"/><Relationship Id="rId3" Type="http://schemas.openxmlformats.org/officeDocument/2006/relationships/printerSettings" Target="../printerSettings/printerSettings33.bin"/><Relationship Id="rId7" Type="http://schemas.openxmlformats.org/officeDocument/2006/relationships/printerSettings" Target="../printerSettings/printerSettings37.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11" Type="http://schemas.openxmlformats.org/officeDocument/2006/relationships/drawing" Target="../drawings/drawing7.xml"/><Relationship Id="rId5" Type="http://schemas.openxmlformats.org/officeDocument/2006/relationships/printerSettings" Target="../printerSettings/printerSettings35.bin"/><Relationship Id="rId10" Type="http://schemas.openxmlformats.org/officeDocument/2006/relationships/printerSettings" Target="../printerSettings/printerSettings40.bin"/><Relationship Id="rId4" Type="http://schemas.openxmlformats.org/officeDocument/2006/relationships/printerSettings" Target="../printerSettings/printerSettings34.bin"/><Relationship Id="rId9" Type="http://schemas.openxmlformats.org/officeDocument/2006/relationships/printerSettings" Target="../printerSettings/printerSettings39.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drawing" Target="../drawings/drawing8.xml"/><Relationship Id="rId5" Type="http://schemas.openxmlformats.org/officeDocument/2006/relationships/printerSettings" Target="../printerSettings/printerSettings45.bin"/><Relationship Id="rId10" Type="http://schemas.openxmlformats.org/officeDocument/2006/relationships/printerSettings" Target="../printerSettings/printerSettings50.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B33A-8519-45D5-AB98-505321E24A98}">
  <sheetPr codeName="Sheet51"/>
  <dimension ref="C11:C39"/>
  <sheetViews>
    <sheetView showGridLines="0" zoomScaleNormal="100" workbookViewId="0"/>
  </sheetViews>
  <sheetFormatPr defaultRowHeight="14.45"/>
  <cols>
    <col min="1" max="1" width="5" customWidth="1"/>
    <col min="2" max="2" width="11.85546875" customWidth="1"/>
    <col min="3" max="3" width="184.5703125" customWidth="1"/>
  </cols>
  <sheetData>
    <row r="11" spans="3:3" ht="57">
      <c r="C11" s="444" t="s">
        <v>0</v>
      </c>
    </row>
    <row r="13" spans="3:3" ht="43.5">
      <c r="C13" s="81" t="s">
        <v>1</v>
      </c>
    </row>
    <row r="14" spans="3:3">
      <c r="C14" s="81"/>
    </row>
    <row r="15" spans="3:3">
      <c r="C15" s="333" t="s">
        <v>2</v>
      </c>
    </row>
    <row r="16" spans="3:3" ht="29.1">
      <c r="C16" s="81" t="s">
        <v>3</v>
      </c>
    </row>
    <row r="18" spans="3:3" ht="29.1">
      <c r="C18" s="81" t="s">
        <v>4</v>
      </c>
    </row>
    <row r="19" spans="3:3">
      <c r="C19" s="81"/>
    </row>
    <row r="20" spans="3:3" ht="29.1">
      <c r="C20" s="81" t="s">
        <v>5</v>
      </c>
    </row>
    <row r="22" spans="3:3">
      <c r="C22" s="333" t="s">
        <v>6</v>
      </c>
    </row>
    <row r="23" spans="3:3" ht="43.5">
      <c r="C23" s="81" t="s">
        <v>7</v>
      </c>
    </row>
    <row r="25" spans="3:3">
      <c r="C25" s="333" t="s">
        <v>8</v>
      </c>
    </row>
    <row r="26" spans="3:3" ht="29.1">
      <c r="C26" s="81" t="s">
        <v>9</v>
      </c>
    </row>
    <row r="28" spans="3:3">
      <c r="C28" s="28" t="s">
        <v>10</v>
      </c>
    </row>
    <row r="29" spans="3:3">
      <c r="C29" t="s">
        <v>11</v>
      </c>
    </row>
    <row r="31" spans="3:3" ht="29.1">
      <c r="C31" s="81" t="s">
        <v>12</v>
      </c>
    </row>
    <row r="33" spans="3:3" ht="28.5">
      <c r="C33" s="189" t="s">
        <v>13</v>
      </c>
    </row>
    <row r="35" spans="3:3" ht="29.1">
      <c r="C35" s="81" t="s">
        <v>14</v>
      </c>
    </row>
    <row r="37" spans="3:3" ht="29.1">
      <c r="C37" s="81" t="s">
        <v>15</v>
      </c>
    </row>
    <row r="39" spans="3:3" ht="29.1">
      <c r="C39" s="81" t="s">
        <v>16</v>
      </c>
    </row>
  </sheetData>
  <customSheetViews>
    <customSheetView guid="{F03309BC-D3FA-4CF2-833B-D6D9A95FE1FB}" showGridLines="0">
      <selection activeCell="D2" sqref="D2"/>
      <pageMargins left="0" right="0" top="0" bottom="0" header="0" footer="0"/>
    </customSheetView>
    <customSheetView guid="{EECBF9DF-6D77-4263-85DA-71E40216BADD}" showGridLines="0" topLeftCell="A13">
      <selection activeCell="D2" sqref="D2"/>
      <pageMargins left="0" right="0" top="0" bottom="0" header="0" footer="0"/>
    </customSheetView>
    <customSheetView guid="{1C16EB38-F785-4168-9938-104594734038}" showGridLines="0">
      <selection activeCell="D2" sqref="D2"/>
      <pageMargins left="0" right="0" top="0" bottom="0" header="0" footer="0"/>
    </customSheetView>
    <customSheetView guid="{0E935136-9A80-44B6-88D5-61E64D742049}" showGridLines="0" topLeftCell="A13">
      <selection activeCell="D2" sqref="D2"/>
      <pageMargins left="0" right="0" top="0" bottom="0" header="0" footer="0"/>
    </customSheetView>
    <customSheetView guid="{E6EFD927-84B2-4D06-BB59-59D9DF522DA2}" showGridLines="0">
      <selection activeCell="D2" sqref="D2"/>
      <pageMargins left="0" right="0" top="0" bottom="0" header="0" footer="0"/>
    </customSheetView>
    <customSheetView guid="{3F0A4FBA-5323-448F-A023-B3E14C54064C}" showGridLines="0">
      <selection activeCell="D2" sqref="D2"/>
      <pageMargins left="0" right="0" top="0" bottom="0" header="0" footer="0"/>
    </customSheetView>
    <customSheetView guid="{D97B1299-69D0-4EE0-B673-CCF74742F96B}">
      <selection activeCell="D2" sqref="D2"/>
      <pageMargins left="0" right="0" top="0" bottom="0" header="0" footer="0"/>
    </customSheetView>
    <customSheetView guid="{F468A2FD-7987-4A9D-8BAE-1AACE523607F}" showGridLines="0" topLeftCell="A13">
      <selection activeCell="C39" sqref="C39"/>
      <pageMargins left="0" right="0" top="0" bottom="0" header="0" footer="0"/>
    </customSheetView>
    <customSheetView guid="{2D920366-22B2-4182-A65D-0EDBE614FB37}" showGridLines="0">
      <pageMargins left="0" right="0" top="0" bottom="0" header="0" footer="0"/>
    </customSheetView>
  </customSheetViews>
  <pageMargins left="0" right="0" top="0" bottom="0" header="0" footer="0"/>
  <headerFooter>
    <oddHeader>&amp;C&amp;"Aptos"&amp;10&amp;K000000 OFFICIAL&amp;1#_x000D_</oddHeader>
    <oddFooter>&amp;C_x000D_&amp;1#&amp;"Aptos"&amp;10&amp;K000000 OFFICIAL</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rgb="FFC7E8FA"/>
  </sheetPr>
  <dimension ref="B2:AB116"/>
  <sheetViews>
    <sheetView showGridLines="0" zoomScaleNormal="100" workbookViewId="0"/>
  </sheetViews>
  <sheetFormatPr defaultColWidth="7.140625" defaultRowHeight="14.45"/>
  <cols>
    <col min="1" max="1" width="7.140625" style="4"/>
    <col min="2" max="2" width="39.140625" style="4" customWidth="1"/>
    <col min="3" max="3" width="23.85546875" style="4" customWidth="1"/>
    <col min="4" max="4" width="16.5703125" style="4" customWidth="1"/>
    <col min="5" max="5" width="17.85546875" style="4" customWidth="1"/>
    <col min="6" max="9" width="14" style="4" customWidth="1"/>
    <col min="10" max="10" width="16.85546875" style="4" customWidth="1"/>
    <col min="11" max="11" width="19.85546875" style="4" customWidth="1"/>
    <col min="12" max="13" width="18.140625" style="4" customWidth="1"/>
    <col min="14" max="14" width="23.5703125" style="4" customWidth="1"/>
    <col min="15" max="15" width="19" style="4" customWidth="1"/>
    <col min="16" max="16" width="25" style="4" customWidth="1"/>
    <col min="17" max="18" width="18.140625" style="4" customWidth="1"/>
    <col min="19" max="19" width="20.28515625" style="4" customWidth="1"/>
    <col min="20" max="20" width="13.28515625" style="4" customWidth="1"/>
    <col min="21" max="21" width="7.140625" style="4"/>
    <col min="22" max="22" width="12.85546875" style="4" customWidth="1"/>
    <col min="23" max="23" width="7.140625" style="4"/>
    <col min="24" max="24" width="16.140625" style="4" customWidth="1"/>
    <col min="25" max="25" width="16.42578125" style="4" customWidth="1"/>
    <col min="26" max="26" width="12.7109375" style="4" customWidth="1"/>
    <col min="27" max="27" width="14.140625" style="4" customWidth="1"/>
    <col min="28" max="28" width="18" style="4" customWidth="1"/>
    <col min="29" max="16384" width="7.140625" style="4"/>
  </cols>
  <sheetData>
    <row r="2" spans="2:10" ht="18.600000000000001">
      <c r="B2" s="377" t="s">
        <v>255</v>
      </c>
      <c r="C2" s="378"/>
      <c r="D2" s="378"/>
      <c r="E2" s="378"/>
      <c r="F2" s="378"/>
      <c r="G2" s="379"/>
      <c r="H2" s="378"/>
      <c r="I2" s="378"/>
      <c r="J2" s="378"/>
    </row>
    <row r="3" spans="2:10" ht="15" thickBot="1">
      <c r="B3" s="5" t="s">
        <v>256</v>
      </c>
      <c r="C3" s="380" t="s">
        <v>257</v>
      </c>
      <c r="D3" s="380" t="s">
        <v>258</v>
      </c>
      <c r="E3" s="380" t="s">
        <v>259</v>
      </c>
      <c r="F3" s="380" t="s">
        <v>260</v>
      </c>
      <c r="G3" s="380" t="s">
        <v>261</v>
      </c>
      <c r="H3" s="381"/>
      <c r="I3" s="381"/>
      <c r="J3" s="381"/>
    </row>
    <row r="4" spans="2:10" ht="15" thickTop="1">
      <c r="B4" s="382" t="s">
        <v>262</v>
      </c>
      <c r="C4" s="383"/>
      <c r="D4" s="383">
        <v>238.8</v>
      </c>
      <c r="E4" s="383">
        <f>2.388*10^-5</f>
        <v>2.3880000000000002E-5</v>
      </c>
      <c r="F4" s="383">
        <v>947.8</v>
      </c>
      <c r="G4" s="383">
        <v>0.27779999999999999</v>
      </c>
      <c r="H4" s="381"/>
      <c r="I4" s="381"/>
      <c r="J4" s="384"/>
    </row>
    <row r="5" spans="2:10">
      <c r="B5" s="382" t="s">
        <v>263</v>
      </c>
      <c r="C5" s="385">
        <f>4.1868*10^-3</f>
        <v>4.1868000000000001E-3</v>
      </c>
      <c r="D5" s="383"/>
      <c r="E5" s="383">
        <f>10^-7</f>
        <v>9.9999999999999995E-8</v>
      </c>
      <c r="F5" s="383">
        <v>3.968</v>
      </c>
      <c r="G5" s="383">
        <f>1.163*10^-3</f>
        <v>1.163E-3</v>
      </c>
      <c r="H5" s="381"/>
      <c r="I5" s="381"/>
      <c r="J5" s="386"/>
    </row>
    <row r="6" spans="2:10">
      <c r="B6" s="382" t="s">
        <v>264</v>
      </c>
      <c r="C6" s="387">
        <f>4.1868*10^4</f>
        <v>41868</v>
      </c>
      <c r="D6" s="387">
        <f>10^7</f>
        <v>10000000</v>
      </c>
      <c r="E6" s="383"/>
      <c r="F6" s="387">
        <f>3.968*10^7</f>
        <v>39680000</v>
      </c>
      <c r="G6" s="387">
        <v>11630</v>
      </c>
      <c r="H6" s="381"/>
      <c r="I6" s="381"/>
      <c r="J6" s="388"/>
    </row>
    <row r="7" spans="2:10">
      <c r="B7" s="382" t="s">
        <v>265</v>
      </c>
      <c r="C7" s="385">
        <f>1.0551*10^-3</f>
        <v>1.0551E-3</v>
      </c>
      <c r="D7" s="383">
        <v>0.252</v>
      </c>
      <c r="E7" s="383">
        <f>2.52*10^-8</f>
        <v>2.5200000000000001E-8</v>
      </c>
      <c r="F7" s="383"/>
      <c r="G7" s="385">
        <f>1/F8</f>
        <v>2.9307107044088316E-4</v>
      </c>
      <c r="H7" s="381"/>
      <c r="I7" s="381"/>
      <c r="J7" s="381"/>
    </row>
    <row r="8" spans="2:10">
      <c r="B8" s="382" t="s">
        <v>266</v>
      </c>
      <c r="C8" s="383">
        <v>3.6</v>
      </c>
      <c r="D8" s="383">
        <v>860</v>
      </c>
      <c r="E8" s="383">
        <f>8.6*10^-5</f>
        <v>8.6000000000000003E-5</v>
      </c>
      <c r="F8" s="387">
        <v>3412.1416300000001</v>
      </c>
      <c r="G8" s="389"/>
      <c r="H8" s="381"/>
      <c r="I8" s="381"/>
      <c r="J8" s="390"/>
    </row>
    <row r="9" spans="2:10">
      <c r="B9" s="381"/>
      <c r="C9" s="391"/>
      <c r="D9" s="391"/>
      <c r="E9" s="391"/>
      <c r="F9" s="391"/>
      <c r="G9" s="392"/>
      <c r="H9" s="381"/>
      <c r="I9" s="381"/>
      <c r="J9" s="381"/>
    </row>
    <row r="10" spans="2:10" ht="15.6">
      <c r="B10" s="393"/>
      <c r="C10" s="394"/>
      <c r="D10" s="394"/>
      <c r="E10" s="394"/>
      <c r="F10" s="394"/>
      <c r="G10" s="395"/>
      <c r="H10" s="393"/>
      <c r="I10" s="393"/>
      <c r="J10" s="378"/>
    </row>
    <row r="11" spans="2:10" ht="18.600000000000001">
      <c r="B11" s="377" t="s">
        <v>267</v>
      </c>
      <c r="C11" s="394"/>
      <c r="D11" s="394"/>
      <c r="E11" s="394"/>
      <c r="F11" s="394"/>
      <c r="G11" s="395"/>
      <c r="H11" s="393"/>
      <c r="I11" s="393"/>
      <c r="J11" s="378"/>
    </row>
    <row r="12" spans="2:10" ht="15" thickBot="1">
      <c r="B12" s="5" t="s">
        <v>256</v>
      </c>
      <c r="C12" s="380" t="s">
        <v>268</v>
      </c>
      <c r="D12" s="380" t="s">
        <v>269</v>
      </c>
      <c r="E12" s="380" t="s">
        <v>270</v>
      </c>
      <c r="F12" s="380" t="s">
        <v>271</v>
      </c>
      <c r="G12" s="380" t="s">
        <v>272</v>
      </c>
      <c r="H12" s="380" t="s">
        <v>273</v>
      </c>
      <c r="I12" s="380"/>
      <c r="J12" s="381"/>
    </row>
    <row r="13" spans="2:10" ht="15" thickTop="1">
      <c r="B13" s="382" t="s">
        <v>274</v>
      </c>
      <c r="C13" s="383"/>
      <c r="D13" s="383">
        <v>1E-3</v>
      </c>
      <c r="E13" s="396">
        <f>9.84207*10^-4</f>
        <v>9.8420699999999996E-4</v>
      </c>
      <c r="F13" s="397">
        <f>1.10231*10^-3</f>
        <v>1.10231E-3</v>
      </c>
      <c r="G13" s="398">
        <v>2.2046199999999998</v>
      </c>
      <c r="H13" s="399">
        <f>G13*16</f>
        <v>35.273919999999997</v>
      </c>
      <c r="I13" s="599"/>
      <c r="J13" s="381"/>
    </row>
    <row r="14" spans="2:10">
      <c r="B14" s="382" t="s">
        <v>275</v>
      </c>
      <c r="C14" s="383">
        <v>1000</v>
      </c>
      <c r="D14" s="383"/>
      <c r="E14" s="400">
        <v>0.98420700000000005</v>
      </c>
      <c r="F14" s="383">
        <v>1.1023099999999999</v>
      </c>
      <c r="G14" s="387">
        <v>2204.62</v>
      </c>
      <c r="H14" s="387">
        <f>G14*16</f>
        <v>35273.919999999998</v>
      </c>
      <c r="I14" s="600"/>
      <c r="J14" s="381"/>
    </row>
    <row r="15" spans="2:10">
      <c r="B15" s="382" t="s">
        <v>276</v>
      </c>
      <c r="C15" s="387">
        <f>1/E13</f>
        <v>1016.0464211288886</v>
      </c>
      <c r="D15" s="401">
        <f>1/E14</f>
        <v>1.0160464211288884</v>
      </c>
      <c r="E15" s="383"/>
      <c r="F15" s="401">
        <v>1.1200000000000001</v>
      </c>
      <c r="G15" s="387">
        <v>2240</v>
      </c>
      <c r="H15" s="387">
        <f>G15*16</f>
        <v>35840</v>
      </c>
      <c r="I15" s="600"/>
      <c r="J15" s="381"/>
    </row>
    <row r="16" spans="2:10">
      <c r="B16" s="382" t="s">
        <v>277</v>
      </c>
      <c r="C16" s="402">
        <f>1/F13</f>
        <v>907.18581887127937</v>
      </c>
      <c r="D16" s="400">
        <f>C16*D13</f>
        <v>0.90718581887127936</v>
      </c>
      <c r="E16" s="400">
        <f>C16*E13</f>
        <v>0.89285863323384518</v>
      </c>
      <c r="F16" s="383"/>
      <c r="G16" s="387">
        <v>2000</v>
      </c>
      <c r="H16" s="387">
        <f>G16*16</f>
        <v>32000</v>
      </c>
      <c r="I16" s="600"/>
      <c r="J16" s="381"/>
    </row>
    <row r="17" spans="2:10">
      <c r="B17" s="382" t="s">
        <v>278</v>
      </c>
      <c r="C17" s="400">
        <f>1/G13</f>
        <v>0.45359290943563974</v>
      </c>
      <c r="D17" s="396">
        <f>1/G14</f>
        <v>4.535929094356397E-4</v>
      </c>
      <c r="E17" s="396">
        <f>1/G15</f>
        <v>4.4642857142857141E-4</v>
      </c>
      <c r="F17" s="383">
        <f>1/G16</f>
        <v>5.0000000000000001E-4</v>
      </c>
      <c r="G17" s="389"/>
      <c r="H17" s="383">
        <v>16</v>
      </c>
      <c r="I17" s="601"/>
      <c r="J17" s="381"/>
    </row>
    <row r="18" spans="2:10">
      <c r="B18" s="382" t="s">
        <v>279</v>
      </c>
      <c r="C18" s="397">
        <f>C17/16</f>
        <v>2.8349556839727483E-2</v>
      </c>
      <c r="D18" s="403">
        <f>D17/16</f>
        <v>2.8349556839727481E-5</v>
      </c>
      <c r="E18" s="403">
        <f>E17/16</f>
        <v>2.7901785714285713E-5</v>
      </c>
      <c r="F18" s="403">
        <f>F17/16</f>
        <v>3.1250000000000001E-5</v>
      </c>
      <c r="G18" s="383">
        <f>1/16</f>
        <v>6.25E-2</v>
      </c>
      <c r="H18" s="383"/>
      <c r="I18" s="601"/>
      <c r="J18" s="381"/>
    </row>
    <row r="19" spans="2:10">
      <c r="B19" s="381"/>
      <c r="C19" s="391"/>
      <c r="D19" s="391"/>
      <c r="E19" s="391"/>
      <c r="F19" s="391"/>
      <c r="G19" s="392"/>
      <c r="H19" s="381"/>
      <c r="I19" s="381"/>
      <c r="J19" s="381"/>
    </row>
    <row r="20" spans="2:10" ht="15.6">
      <c r="B20" s="393"/>
      <c r="C20" s="394"/>
      <c r="D20" s="394"/>
      <c r="E20" s="394"/>
      <c r="F20" s="394"/>
      <c r="G20" s="395"/>
      <c r="H20" s="393"/>
      <c r="I20" s="393"/>
      <c r="J20" s="378"/>
    </row>
    <row r="21" spans="2:10" ht="18.600000000000001">
      <c r="B21" s="377" t="s">
        <v>280</v>
      </c>
      <c r="C21" s="393"/>
      <c r="D21" s="393"/>
      <c r="E21" s="393"/>
      <c r="F21" s="393"/>
      <c r="G21" s="395"/>
      <c r="H21" s="393"/>
      <c r="I21" s="393"/>
      <c r="J21" s="378"/>
    </row>
    <row r="22" spans="2:10" ht="15" thickBot="1">
      <c r="B22" s="5" t="s">
        <v>256</v>
      </c>
      <c r="C22" s="380" t="s">
        <v>281</v>
      </c>
      <c r="D22" s="380" t="s">
        <v>282</v>
      </c>
      <c r="E22" s="380" t="s">
        <v>283</v>
      </c>
      <c r="F22" s="380" t="s">
        <v>284</v>
      </c>
      <c r="G22" s="380" t="s">
        <v>285</v>
      </c>
      <c r="H22" s="380" t="s">
        <v>286</v>
      </c>
      <c r="I22" s="380"/>
      <c r="J22" s="381"/>
    </row>
    <row r="23" spans="2:10" ht="15" thickTop="1">
      <c r="B23" s="382" t="s">
        <v>287</v>
      </c>
      <c r="C23" s="383"/>
      <c r="D23" s="400">
        <v>0.83267400000000003</v>
      </c>
      <c r="E23" s="397">
        <f>1/C25</f>
        <v>2.3809523809523808E-2</v>
      </c>
      <c r="F23" s="400">
        <v>0.13368099999999999</v>
      </c>
      <c r="G23" s="404">
        <v>3.7854100000000002</v>
      </c>
      <c r="H23" s="405">
        <v>3.7854100000000003E-3</v>
      </c>
      <c r="I23" s="602"/>
      <c r="J23" s="406"/>
    </row>
    <row r="24" spans="2:10">
      <c r="B24" s="382" t="s">
        <v>288</v>
      </c>
      <c r="C24" s="400">
        <f>1/D23</f>
        <v>1.2009501917917456</v>
      </c>
      <c r="D24" s="383"/>
      <c r="E24" s="397">
        <f>1/D25</f>
        <v>2.8594052185517756E-2</v>
      </c>
      <c r="F24" s="400">
        <f>1/D26</f>
        <v>0.16054422258891232</v>
      </c>
      <c r="G24" s="400">
        <v>4.5460900000000004</v>
      </c>
      <c r="H24" s="397">
        <f>G24/1000</f>
        <v>4.54609E-3</v>
      </c>
      <c r="I24" s="603"/>
      <c r="J24" s="406"/>
    </row>
    <row r="25" spans="2:10">
      <c r="B25" s="382" t="s">
        <v>289</v>
      </c>
      <c r="C25" s="407">
        <v>42</v>
      </c>
      <c r="D25" s="399">
        <f>C25*D23</f>
        <v>34.972307999999998</v>
      </c>
      <c r="E25" s="383"/>
      <c r="F25" s="401">
        <f>1/E26</f>
        <v>5.6146019999999996</v>
      </c>
      <c r="G25" s="408">
        <v>158.98722000000001</v>
      </c>
      <c r="H25" s="397">
        <f>G25/1000</f>
        <v>0.15898722000000001</v>
      </c>
      <c r="I25" s="603"/>
      <c r="J25" s="406"/>
    </row>
    <row r="26" spans="2:10">
      <c r="B26" s="382" t="s">
        <v>290</v>
      </c>
      <c r="C26" s="400">
        <f>1/F23</f>
        <v>7.4804946103036336</v>
      </c>
      <c r="D26" s="401">
        <f>C26*D23</f>
        <v>6.2288133691399681</v>
      </c>
      <c r="E26" s="397">
        <f>C26*E23</f>
        <v>0.17810701453103889</v>
      </c>
      <c r="F26" s="383"/>
      <c r="G26" s="409">
        <v>28.316800000000001</v>
      </c>
      <c r="H26" s="397">
        <f>G26/1000</f>
        <v>2.83168E-2</v>
      </c>
      <c r="I26" s="603"/>
      <c r="J26" s="406"/>
    </row>
    <row r="27" spans="2:10">
      <c r="B27" s="382" t="s">
        <v>291</v>
      </c>
      <c r="C27" s="400">
        <v>0.26417217685798894</v>
      </c>
      <c r="D27" s="400">
        <f>1/G24</f>
        <v>0.21996924829908776</v>
      </c>
      <c r="E27" s="397">
        <f>1/G25</f>
        <v>6.2898137347140223E-3</v>
      </c>
      <c r="F27" s="400">
        <f>1/G26</f>
        <v>3.5314724827664144E-2</v>
      </c>
      <c r="G27" s="389"/>
      <c r="H27" s="383">
        <v>1E-3</v>
      </c>
      <c r="I27" s="601"/>
      <c r="J27" s="406"/>
    </row>
    <row r="28" spans="2:10">
      <c r="B28" s="382" t="s">
        <v>292</v>
      </c>
      <c r="C28" s="409">
        <f>1/H23</f>
        <v>264.17217685798892</v>
      </c>
      <c r="D28" s="409">
        <f>1/H24</f>
        <v>219.96924829908778</v>
      </c>
      <c r="E28" s="400">
        <f>1/H25</f>
        <v>6.2898137347140226</v>
      </c>
      <c r="F28" s="410">
        <f>1/H26</f>
        <v>35.314724827664143</v>
      </c>
      <c r="G28" s="387">
        <v>1000</v>
      </c>
      <c r="H28" s="389"/>
      <c r="I28" s="604"/>
      <c r="J28" s="381"/>
    </row>
    <row r="29" spans="2:10">
      <c r="B29" s="381"/>
      <c r="C29" s="391"/>
      <c r="D29" s="391"/>
      <c r="E29" s="391"/>
      <c r="F29" s="391"/>
      <c r="G29" s="392"/>
      <c r="H29" s="381"/>
      <c r="I29" s="381"/>
      <c r="J29" s="381"/>
    </row>
    <row r="30" spans="2:10">
      <c r="B30" s="381"/>
      <c r="C30" s="391"/>
      <c r="D30" s="391"/>
      <c r="E30" s="391"/>
      <c r="F30" s="391"/>
      <c r="G30" s="392"/>
      <c r="H30" s="381"/>
      <c r="I30" s="381"/>
      <c r="J30" s="381"/>
    </row>
    <row r="31" spans="2:10" ht="18.600000000000001">
      <c r="B31" s="377" t="s">
        <v>293</v>
      </c>
      <c r="C31" s="378"/>
      <c r="D31" s="378"/>
      <c r="E31" s="378"/>
      <c r="F31" s="378"/>
      <c r="G31" s="379"/>
      <c r="H31" s="378"/>
      <c r="I31" s="378"/>
      <c r="J31" s="378"/>
    </row>
    <row r="32" spans="2:10" ht="15" thickBot="1">
      <c r="B32" s="5" t="s">
        <v>256</v>
      </c>
      <c r="C32" s="380" t="s">
        <v>294</v>
      </c>
      <c r="D32" s="380" t="s">
        <v>295</v>
      </c>
      <c r="E32" s="380" t="s">
        <v>296</v>
      </c>
      <c r="F32" s="380" t="s">
        <v>297</v>
      </c>
      <c r="G32" s="380" t="s">
        <v>298</v>
      </c>
      <c r="H32" s="380" t="s">
        <v>299</v>
      </c>
      <c r="I32" s="380"/>
      <c r="J32" s="380" t="s">
        <v>300</v>
      </c>
    </row>
    <row r="33" spans="2:10" ht="15" thickTop="1">
      <c r="B33" s="382" t="s">
        <v>301</v>
      </c>
      <c r="C33" s="383"/>
      <c r="D33" s="400">
        <f>1/C34</f>
        <v>8.3333333333333329E-2</v>
      </c>
      <c r="E33" s="397">
        <f>1/C35</f>
        <v>2.7777777777777776E-2</v>
      </c>
      <c r="F33" s="385">
        <f>1/C36</f>
        <v>1.5782828282828283E-5</v>
      </c>
      <c r="G33" s="411">
        <f>1/C37</f>
        <v>1.3714900141812068E-5</v>
      </c>
      <c r="H33" s="397">
        <f>1/C38</f>
        <v>2.5399986284007407E-2</v>
      </c>
      <c r="I33" s="397"/>
      <c r="J33" s="385">
        <f>H33/1000</f>
        <v>2.5399986284007409E-5</v>
      </c>
    </row>
    <row r="34" spans="2:10">
      <c r="B34" s="382" t="s">
        <v>302</v>
      </c>
      <c r="C34" s="387">
        <v>12</v>
      </c>
      <c r="D34" s="383"/>
      <c r="E34" s="400">
        <f>1/D35</f>
        <v>0.33333333333333331</v>
      </c>
      <c r="F34" s="396">
        <f>1/D36</f>
        <v>1.8939393939393939E-4</v>
      </c>
      <c r="G34" s="396">
        <f>1/D37</f>
        <v>1.6457880170174483E-4</v>
      </c>
      <c r="H34" s="400">
        <f>1/D38</f>
        <v>0.30479983540808891</v>
      </c>
      <c r="I34" s="400"/>
      <c r="J34" s="396">
        <f>H34/1000</f>
        <v>3.0479983540808892E-4</v>
      </c>
    </row>
    <row r="35" spans="2:10">
      <c r="B35" s="382" t="s">
        <v>303</v>
      </c>
      <c r="C35" s="387">
        <v>36</v>
      </c>
      <c r="D35" s="387">
        <f>C35*D33</f>
        <v>3</v>
      </c>
      <c r="E35" s="383"/>
      <c r="F35" s="412">
        <f>1/E36</f>
        <v>5.6818181818181815E-4</v>
      </c>
      <c r="G35" s="396">
        <f>1/E37</f>
        <v>4.9373640510523445E-4</v>
      </c>
      <c r="H35" s="400">
        <f>1/E38</f>
        <v>0.91439950622426669</v>
      </c>
      <c r="I35" s="400"/>
      <c r="J35" s="410">
        <f>H35/1000</f>
        <v>9.143995062242667E-4</v>
      </c>
    </row>
    <row r="36" spans="2:10">
      <c r="B36" s="382" t="s">
        <v>304</v>
      </c>
      <c r="C36" s="387">
        <v>63360</v>
      </c>
      <c r="D36" s="387">
        <f>C36*D33</f>
        <v>5280</v>
      </c>
      <c r="E36" s="387">
        <f>C36*E33</f>
        <v>1760</v>
      </c>
      <c r="F36" s="383"/>
      <c r="G36" s="400">
        <f>1/F37</f>
        <v>0.86897607298521262</v>
      </c>
      <c r="H36" s="387">
        <f>1/F38</f>
        <v>1609.3431309547093</v>
      </c>
      <c r="I36" s="387"/>
      <c r="J36" s="400">
        <f>H36/1000</f>
        <v>1.6093431309547093</v>
      </c>
    </row>
    <row r="37" spans="2:10">
      <c r="B37" s="382" t="s">
        <v>305</v>
      </c>
      <c r="C37" s="387">
        <v>72913.399999999994</v>
      </c>
      <c r="D37" s="387">
        <f>C37*D33</f>
        <v>6076.1166666666659</v>
      </c>
      <c r="E37" s="387">
        <f>C37*E33</f>
        <v>2025.372222222222</v>
      </c>
      <c r="F37" s="400">
        <f>C37*F33</f>
        <v>1.1507796717171717</v>
      </c>
      <c r="G37" s="389"/>
      <c r="H37" s="387">
        <f>1/G38</f>
        <v>1851.9993599203453</v>
      </c>
      <c r="I37" s="387"/>
      <c r="J37" s="400">
        <f>H37/1000</f>
        <v>1.8519993599203453</v>
      </c>
    </row>
    <row r="38" spans="2:10">
      <c r="B38" s="382" t="s">
        <v>306</v>
      </c>
      <c r="C38" s="408">
        <v>39.370100000000001</v>
      </c>
      <c r="D38" s="410">
        <f>C38*D33</f>
        <v>3.2808416666666664</v>
      </c>
      <c r="E38" s="410">
        <f>C38*E33</f>
        <v>1.0936138888888889</v>
      </c>
      <c r="F38" s="396">
        <f>C38*F33</f>
        <v>6.2137152777777776E-4</v>
      </c>
      <c r="G38" s="396">
        <f>C38*G33</f>
        <v>5.3995699007315537E-4</v>
      </c>
      <c r="H38" s="389"/>
      <c r="I38" s="389"/>
      <c r="J38" s="400">
        <f>1/H39</f>
        <v>1E-3</v>
      </c>
    </row>
    <row r="39" spans="2:10">
      <c r="B39" s="382" t="s">
        <v>307</v>
      </c>
      <c r="C39" s="387">
        <f>C38*1000</f>
        <v>39370.1</v>
      </c>
      <c r="D39" s="409">
        <f>D38*1000</f>
        <v>3280.8416666666662</v>
      </c>
      <c r="E39" s="409">
        <f>E38*1000</f>
        <v>1093.6138888888888</v>
      </c>
      <c r="F39" s="399">
        <f>F38*1000</f>
        <v>0.62137152777777771</v>
      </c>
      <c r="G39" s="399">
        <f>G38*1000</f>
        <v>0.53995699007315534</v>
      </c>
      <c r="H39" s="387">
        <v>1000</v>
      </c>
      <c r="I39" s="387"/>
      <c r="J39" s="413"/>
    </row>
    <row r="40" spans="2:10">
      <c r="B40" s="381"/>
      <c r="C40" s="391"/>
      <c r="D40" s="391"/>
      <c r="E40" s="391"/>
      <c r="F40" s="391"/>
      <c r="G40" s="392"/>
      <c r="H40" s="381"/>
      <c r="I40" s="381"/>
      <c r="J40" s="381"/>
    </row>
    <row r="41" spans="2:10">
      <c r="B41" s="381"/>
      <c r="C41" s="391"/>
      <c r="D41" s="391"/>
      <c r="E41" s="391"/>
      <c r="F41" s="391"/>
      <c r="G41" s="392"/>
      <c r="H41" s="381"/>
      <c r="I41" s="381"/>
      <c r="J41" s="381"/>
    </row>
    <row r="42" spans="2:10" ht="18.600000000000001">
      <c r="B42" s="377" t="s">
        <v>308</v>
      </c>
      <c r="C42" s="378"/>
    </row>
    <row r="43" spans="2:10" ht="15" thickBot="1">
      <c r="B43" s="5" t="s">
        <v>256</v>
      </c>
      <c r="C43" s="380" t="s">
        <v>309</v>
      </c>
      <c r="D43" s="380" t="s">
        <v>310</v>
      </c>
    </row>
    <row r="44" spans="2:10" ht="15" thickTop="1">
      <c r="B44" s="382" t="s">
        <v>311</v>
      </c>
      <c r="C44" s="383"/>
      <c r="D44" s="400">
        <v>0.74569987199999999</v>
      </c>
    </row>
    <row r="45" spans="2:10">
      <c r="B45" s="382" t="s">
        <v>312</v>
      </c>
      <c r="C45" s="401">
        <f>1/D44</f>
        <v>1.3410220888438076</v>
      </c>
      <c r="D45" s="383"/>
    </row>
    <row r="48" spans="2:10" ht="18.600000000000001">
      <c r="B48" s="377" t="s">
        <v>313</v>
      </c>
      <c r="C48" s="378"/>
    </row>
    <row r="49" spans="2:4" ht="15" thickBot="1">
      <c r="B49" s="5" t="s">
        <v>256</v>
      </c>
      <c r="C49" s="380" t="s">
        <v>314</v>
      </c>
      <c r="D49" s="380" t="s">
        <v>315</v>
      </c>
    </row>
    <row r="50" spans="2:4" ht="15" thickTop="1">
      <c r="B50" s="382" t="s">
        <v>315</v>
      </c>
      <c r="C50" s="383">
        <v>10</v>
      </c>
      <c r="D50" s="400"/>
    </row>
    <row r="51" spans="2:4">
      <c r="B51" s="382" t="s">
        <v>314</v>
      </c>
      <c r="C51" s="401"/>
      <c r="D51" s="383">
        <v>0.1</v>
      </c>
    </row>
    <row r="54" spans="2:4" ht="18.600000000000001">
      <c r="B54" s="377" t="s">
        <v>316</v>
      </c>
      <c r="C54" s="378"/>
      <c r="D54" s="378"/>
    </row>
    <row r="55" spans="2:4" ht="15" thickBot="1">
      <c r="B55" s="5" t="s">
        <v>317</v>
      </c>
      <c r="C55" s="5" t="s">
        <v>318</v>
      </c>
      <c r="D55" s="5" t="s">
        <v>319</v>
      </c>
    </row>
    <row r="56" spans="2:4" ht="15" thickTop="1">
      <c r="B56" s="6" t="s">
        <v>320</v>
      </c>
      <c r="C56" s="6" t="s">
        <v>321</v>
      </c>
      <c r="D56" s="6" t="s">
        <v>322</v>
      </c>
    </row>
    <row r="57" spans="2:4">
      <c r="B57" s="6" t="s">
        <v>323</v>
      </c>
      <c r="C57" s="6" t="s">
        <v>324</v>
      </c>
      <c r="D57" s="6" t="s">
        <v>325</v>
      </c>
    </row>
    <row r="58" spans="2:4">
      <c r="B58" s="6" t="s">
        <v>326</v>
      </c>
      <c r="C58" s="6" t="s">
        <v>327</v>
      </c>
      <c r="D58" s="6" t="s">
        <v>328</v>
      </c>
    </row>
    <row r="59" spans="2:4">
      <c r="B59" s="6" t="s">
        <v>329</v>
      </c>
      <c r="C59" s="6" t="s">
        <v>330</v>
      </c>
      <c r="D59" s="6" t="s">
        <v>331</v>
      </c>
    </row>
    <row r="60" spans="2:4">
      <c r="B60" s="6" t="s">
        <v>332</v>
      </c>
      <c r="C60" s="6" t="s">
        <v>333</v>
      </c>
      <c r="D60" s="6" t="s">
        <v>334</v>
      </c>
    </row>
    <row r="61" spans="2:4">
      <c r="B61" s="6" t="s">
        <v>335</v>
      </c>
      <c r="C61" s="6" t="s">
        <v>336</v>
      </c>
      <c r="D61" s="6" t="s">
        <v>337</v>
      </c>
    </row>
    <row r="62" spans="2:4">
      <c r="B62" s="6" t="s">
        <v>338</v>
      </c>
      <c r="C62" s="6" t="s">
        <v>339</v>
      </c>
      <c r="D62" s="6" t="s">
        <v>340</v>
      </c>
    </row>
    <row r="63" spans="2:4">
      <c r="B63" s="6" t="s">
        <v>341</v>
      </c>
      <c r="C63" s="6" t="s">
        <v>342</v>
      </c>
      <c r="D63" s="6" t="s">
        <v>343</v>
      </c>
    </row>
    <row r="64" spans="2:4">
      <c r="B64" s="6" t="s">
        <v>344</v>
      </c>
      <c r="C64" s="6" t="s">
        <v>345</v>
      </c>
      <c r="D64" s="6" t="s">
        <v>346</v>
      </c>
    </row>
    <row r="65" spans="2:4">
      <c r="B65" s="6" t="s">
        <v>347</v>
      </c>
      <c r="C65" s="6" t="s">
        <v>348</v>
      </c>
      <c r="D65" s="6" t="s">
        <v>349</v>
      </c>
    </row>
    <row r="66" spans="2:4">
      <c r="B66" s="7" t="s">
        <v>350</v>
      </c>
      <c r="C66" s="6" t="s">
        <v>351</v>
      </c>
      <c r="D66" s="6" t="s">
        <v>352</v>
      </c>
    </row>
    <row r="67" spans="2:4">
      <c r="B67" s="7" t="s">
        <v>353</v>
      </c>
      <c r="C67" s="6" t="s">
        <v>354</v>
      </c>
      <c r="D67" s="6" t="s">
        <v>355</v>
      </c>
    </row>
    <row r="68" spans="2:4">
      <c r="B68" s="7" t="s">
        <v>356</v>
      </c>
      <c r="C68" s="6" t="s">
        <v>357</v>
      </c>
      <c r="D68" s="6" t="s">
        <v>299</v>
      </c>
    </row>
    <row r="69" spans="2:4">
      <c r="B69" s="7" t="s">
        <v>358</v>
      </c>
      <c r="C69" s="6" t="s">
        <v>359</v>
      </c>
      <c r="D69" s="6" t="s">
        <v>299</v>
      </c>
    </row>
    <row r="70" spans="2:4">
      <c r="B70" s="7" t="s">
        <v>360</v>
      </c>
      <c r="C70" s="6" t="s">
        <v>361</v>
      </c>
      <c r="D70" s="6" t="s">
        <v>362</v>
      </c>
    </row>
    <row r="71" spans="2:4">
      <c r="B71" s="7" t="s">
        <v>363</v>
      </c>
      <c r="C71" s="6" t="s">
        <v>364</v>
      </c>
      <c r="D71" s="6" t="s">
        <v>365</v>
      </c>
    </row>
    <row r="72" spans="2:4">
      <c r="B72" s="8" t="s">
        <v>366</v>
      </c>
      <c r="C72" s="6" t="s">
        <v>367</v>
      </c>
      <c r="D72" s="6" t="s">
        <v>368</v>
      </c>
    </row>
    <row r="73" spans="2:4">
      <c r="B73" s="8" t="s">
        <v>369</v>
      </c>
      <c r="C73" s="6" t="s">
        <v>370</v>
      </c>
      <c r="D73" s="6" t="s">
        <v>371</v>
      </c>
    </row>
    <row r="74" spans="2:4">
      <c r="B74" s="8" t="s">
        <v>372</v>
      </c>
      <c r="C74" s="6" t="s">
        <v>373</v>
      </c>
      <c r="D74" s="6" t="s">
        <v>374</v>
      </c>
    </row>
    <row r="75" spans="2:4">
      <c r="B75" s="8" t="s">
        <v>375</v>
      </c>
      <c r="C75" s="6" t="s">
        <v>376</v>
      </c>
      <c r="D75" s="6" t="s">
        <v>377</v>
      </c>
    </row>
    <row r="77" spans="2:4" ht="15" thickBot="1">
      <c r="B77" s="116" t="s">
        <v>378</v>
      </c>
      <c r="C77" s="9"/>
    </row>
    <row r="78" spans="2:4">
      <c r="B78" s="115" t="s">
        <v>379</v>
      </c>
    </row>
    <row r="79" spans="2:4">
      <c r="B79" s="115" t="s">
        <v>380</v>
      </c>
    </row>
    <row r="82" spans="2:28" ht="18.600000000000001">
      <c r="B82" s="377" t="s">
        <v>381</v>
      </c>
    </row>
    <row r="83" spans="2:28" ht="29.45" thickBot="1">
      <c r="B83" s="5" t="s">
        <v>382</v>
      </c>
      <c r="C83" s="376" t="s">
        <v>383</v>
      </c>
      <c r="D83" s="5" t="s">
        <v>384</v>
      </c>
      <c r="E83" s="5" t="s">
        <v>385</v>
      </c>
      <c r="F83" s="5" t="s">
        <v>386</v>
      </c>
      <c r="G83" s="5" t="s">
        <v>387</v>
      </c>
      <c r="H83" s="5" t="s">
        <v>388</v>
      </c>
      <c r="I83" s="5" t="s">
        <v>389</v>
      </c>
      <c r="J83" s="5" t="s">
        <v>390</v>
      </c>
      <c r="K83" s="5" t="s">
        <v>391</v>
      </c>
      <c r="L83" s="5" t="s">
        <v>392</v>
      </c>
      <c r="M83" s="5" t="s">
        <v>393</v>
      </c>
      <c r="N83" s="5" t="s">
        <v>394</v>
      </c>
      <c r="O83" s="5" t="s">
        <v>395</v>
      </c>
      <c r="P83" s="5" t="s">
        <v>396</v>
      </c>
      <c r="Q83" s="5" t="s">
        <v>397</v>
      </c>
      <c r="R83" s="5" t="s">
        <v>398</v>
      </c>
      <c r="S83" s="5" t="s">
        <v>399</v>
      </c>
      <c r="T83" s="5" t="s">
        <v>400</v>
      </c>
      <c r="U83" s="5" t="s">
        <v>401</v>
      </c>
      <c r="V83" s="376" t="s">
        <v>402</v>
      </c>
      <c r="W83" s="376" t="s">
        <v>403</v>
      </c>
      <c r="X83" s="376" t="s">
        <v>404</v>
      </c>
      <c r="Y83" s="376" t="s">
        <v>248</v>
      </c>
      <c r="Z83" s="376" t="s">
        <v>36</v>
      </c>
      <c r="AA83" s="376" t="s">
        <v>405</v>
      </c>
      <c r="AB83" s="376" t="s">
        <v>406</v>
      </c>
    </row>
    <row r="84" spans="2:28" ht="15" thickTop="1">
      <c r="B84" s="4" t="s">
        <v>407</v>
      </c>
      <c r="C84" s="4" t="s">
        <v>194</v>
      </c>
      <c r="D84" s="4" t="s">
        <v>408</v>
      </c>
      <c r="E84" s="4" t="s">
        <v>409</v>
      </c>
      <c r="F84" s="4" t="s">
        <v>410</v>
      </c>
      <c r="G84" s="4" t="s">
        <v>411</v>
      </c>
      <c r="H84" s="4" t="s">
        <v>412</v>
      </c>
      <c r="I84" s="4" t="s">
        <v>413</v>
      </c>
      <c r="J84" s="4" t="s">
        <v>414</v>
      </c>
      <c r="K84" s="4" t="s">
        <v>415</v>
      </c>
      <c r="L84" s="4" t="s">
        <v>416</v>
      </c>
      <c r="M84" s="4" t="s">
        <v>417</v>
      </c>
      <c r="N84" s="4" t="s">
        <v>418</v>
      </c>
      <c r="O84" s="4" t="s">
        <v>419</v>
      </c>
      <c r="P84" s="4" t="s">
        <v>420</v>
      </c>
      <c r="Q84" s="4" t="s">
        <v>421</v>
      </c>
      <c r="R84" s="4" t="s">
        <v>410</v>
      </c>
      <c r="S84" s="4" t="s">
        <v>410</v>
      </c>
      <c r="T84" s="4" t="s">
        <v>422</v>
      </c>
      <c r="U84" s="4">
        <v>2023</v>
      </c>
      <c r="V84" s="4" t="s">
        <v>423</v>
      </c>
      <c r="W84" s="4" t="s">
        <v>424</v>
      </c>
      <c r="X84" s="4" t="s">
        <v>418</v>
      </c>
      <c r="Y84" s="4" t="s">
        <v>251</v>
      </c>
      <c r="Z84" s="4" t="s">
        <v>425</v>
      </c>
      <c r="AA84" s="4" t="s">
        <v>426</v>
      </c>
      <c r="AB84" s="4" t="s">
        <v>427</v>
      </c>
    </row>
    <row r="85" spans="2:28">
      <c r="B85" s="4" t="s">
        <v>428</v>
      </c>
      <c r="C85" s="4" t="s">
        <v>429</v>
      </c>
      <c r="D85" s="4" t="s">
        <v>430</v>
      </c>
      <c r="E85" s="4" t="s">
        <v>431</v>
      </c>
      <c r="F85" s="4" t="s">
        <v>432</v>
      </c>
      <c r="G85" s="4" t="s">
        <v>433</v>
      </c>
      <c r="H85" s="4" t="s">
        <v>434</v>
      </c>
      <c r="I85" s="4" t="s">
        <v>435</v>
      </c>
      <c r="J85" s="4" t="s">
        <v>436</v>
      </c>
      <c r="K85" s="4" t="s">
        <v>437</v>
      </c>
      <c r="L85" s="4" t="s">
        <v>438</v>
      </c>
      <c r="M85" s="4" t="s">
        <v>439</v>
      </c>
      <c r="N85" s="4" t="s">
        <v>430</v>
      </c>
      <c r="O85" s="4" t="s">
        <v>440</v>
      </c>
      <c r="P85" s="4" t="s">
        <v>174</v>
      </c>
      <c r="Q85" s="4" t="s">
        <v>441</v>
      </c>
      <c r="R85" s="4" t="s">
        <v>432</v>
      </c>
      <c r="S85" s="4" t="s">
        <v>442</v>
      </c>
      <c r="T85" s="4" t="s">
        <v>443</v>
      </c>
      <c r="U85" s="4">
        <v>2024</v>
      </c>
      <c r="V85" s="4" t="s">
        <v>444</v>
      </c>
      <c r="W85" s="4" t="s">
        <v>445</v>
      </c>
      <c r="X85" s="4" t="s">
        <v>430</v>
      </c>
      <c r="Y85" s="4" t="s">
        <v>446</v>
      </c>
      <c r="Z85" s="4" t="s">
        <v>447</v>
      </c>
      <c r="AA85" s="4" t="s">
        <v>448</v>
      </c>
      <c r="AB85" s="4" t="s">
        <v>449</v>
      </c>
    </row>
    <row r="86" spans="2:28">
      <c r="B86" s="4" t="s">
        <v>450</v>
      </c>
      <c r="C86" s="4" t="s">
        <v>451</v>
      </c>
      <c r="F86" s="4" t="s">
        <v>442</v>
      </c>
      <c r="G86" s="4" t="s">
        <v>452</v>
      </c>
      <c r="H86" s="4" t="s">
        <v>453</v>
      </c>
      <c r="I86" s="4" t="s">
        <v>454</v>
      </c>
      <c r="J86" s="4" t="s">
        <v>455</v>
      </c>
      <c r="K86" s="4" t="s">
        <v>456</v>
      </c>
      <c r="L86" s="4" t="s">
        <v>457</v>
      </c>
      <c r="M86" s="4" t="s">
        <v>456</v>
      </c>
      <c r="N86" s="4" t="s">
        <v>456</v>
      </c>
      <c r="O86" s="4" t="s">
        <v>458</v>
      </c>
      <c r="P86" s="4" t="s">
        <v>459</v>
      </c>
      <c r="Q86" s="4" t="s">
        <v>460</v>
      </c>
      <c r="T86" s="4" t="s">
        <v>461</v>
      </c>
      <c r="U86" s="4">
        <v>2025</v>
      </c>
      <c r="W86" s="4" t="s">
        <v>194</v>
      </c>
      <c r="Y86" s="4" t="s">
        <v>253</v>
      </c>
      <c r="AA86" s="4" t="s">
        <v>462</v>
      </c>
      <c r="AB86" s="4" t="s">
        <v>430</v>
      </c>
    </row>
    <row r="87" spans="2:28">
      <c r="B87" s="4" t="s">
        <v>463</v>
      </c>
      <c r="C87" s="4" t="s">
        <v>464</v>
      </c>
      <c r="G87" s="4" t="s">
        <v>194</v>
      </c>
      <c r="H87" s="4" t="s">
        <v>465</v>
      </c>
      <c r="I87" s="4" t="s">
        <v>194</v>
      </c>
      <c r="J87" s="4" t="s">
        <v>194</v>
      </c>
      <c r="L87" s="4" t="s">
        <v>466</v>
      </c>
      <c r="O87" s="4" t="s">
        <v>467</v>
      </c>
      <c r="P87" s="4" t="s">
        <v>194</v>
      </c>
      <c r="Q87" s="4" t="s">
        <v>442</v>
      </c>
      <c r="T87" s="4" t="s">
        <v>468</v>
      </c>
      <c r="U87" s="4">
        <v>2026</v>
      </c>
    </row>
    <row r="88" spans="2:28">
      <c r="B88" s="4" t="s">
        <v>469</v>
      </c>
      <c r="C88" s="4" t="s">
        <v>463</v>
      </c>
      <c r="G88" s="4" t="s">
        <v>456</v>
      </c>
      <c r="H88" s="4" t="s">
        <v>456</v>
      </c>
      <c r="I88" s="4" t="s">
        <v>456</v>
      </c>
      <c r="J88" s="4" t="s">
        <v>456</v>
      </c>
      <c r="L88" s="4" t="s">
        <v>470</v>
      </c>
      <c r="O88" s="4" t="s">
        <v>194</v>
      </c>
      <c r="P88" s="4" t="s">
        <v>471</v>
      </c>
      <c r="Q88" s="4" t="s">
        <v>194</v>
      </c>
      <c r="T88" s="4" t="s">
        <v>472</v>
      </c>
      <c r="U88" s="4">
        <v>2027</v>
      </c>
    </row>
    <row r="89" spans="2:28">
      <c r="B89" s="4" t="s">
        <v>464</v>
      </c>
      <c r="C89" s="4" t="s">
        <v>469</v>
      </c>
      <c r="L89" s="4" t="s">
        <v>473</v>
      </c>
      <c r="O89" s="4" t="s">
        <v>456</v>
      </c>
      <c r="P89" s="4" t="s">
        <v>456</v>
      </c>
      <c r="Q89" s="4" t="s">
        <v>456</v>
      </c>
      <c r="T89" s="4" t="s">
        <v>456</v>
      </c>
      <c r="U89" s="4">
        <v>2028</v>
      </c>
    </row>
    <row r="90" spans="2:28">
      <c r="B90" s="4" t="s">
        <v>474</v>
      </c>
      <c r="C90" s="4" t="s">
        <v>475</v>
      </c>
      <c r="L90" s="4" t="s">
        <v>476</v>
      </c>
      <c r="U90" s="4">
        <v>2029</v>
      </c>
    </row>
    <row r="91" spans="2:28">
      <c r="B91" s="4" t="s">
        <v>477</v>
      </c>
      <c r="C91" s="4" t="s">
        <v>478</v>
      </c>
      <c r="L91" s="4" t="s">
        <v>479</v>
      </c>
      <c r="U91" s="4">
        <v>2030</v>
      </c>
    </row>
    <row r="92" spans="2:28">
      <c r="B92" s="4" t="s">
        <v>429</v>
      </c>
      <c r="C92" s="4" t="s">
        <v>480</v>
      </c>
      <c r="L92" s="4" t="s">
        <v>481</v>
      </c>
      <c r="U92" s="4">
        <v>2031</v>
      </c>
    </row>
    <row r="93" spans="2:28">
      <c r="B93" s="4" t="s">
        <v>451</v>
      </c>
      <c r="L93" s="4" t="s">
        <v>482</v>
      </c>
      <c r="U93" s="4">
        <v>2032</v>
      </c>
    </row>
    <row r="94" spans="2:28">
      <c r="B94" s="4" t="s">
        <v>480</v>
      </c>
      <c r="L94" s="4" t="s">
        <v>483</v>
      </c>
      <c r="U94" s="4">
        <v>2033</v>
      </c>
    </row>
    <row r="95" spans="2:28">
      <c r="B95" s="4" t="s">
        <v>475</v>
      </c>
      <c r="L95" s="4" t="s">
        <v>484</v>
      </c>
      <c r="U95" s="4">
        <v>2034</v>
      </c>
    </row>
    <row r="96" spans="2:28">
      <c r="B96" s="4" t="s">
        <v>478</v>
      </c>
      <c r="L96" s="4" t="s">
        <v>485</v>
      </c>
      <c r="U96" s="4">
        <v>2035</v>
      </c>
    </row>
    <row r="97" spans="2:21">
      <c r="B97" s="4" t="s">
        <v>486</v>
      </c>
      <c r="U97" s="4">
        <v>2036</v>
      </c>
    </row>
    <row r="98" spans="2:21">
      <c r="B98" s="4" t="s">
        <v>487</v>
      </c>
      <c r="U98" s="4">
        <v>2037</v>
      </c>
    </row>
    <row r="99" spans="2:21">
      <c r="B99" s="4" t="s">
        <v>488</v>
      </c>
      <c r="U99" s="4">
        <v>2038</v>
      </c>
    </row>
    <row r="100" spans="2:21">
      <c r="B100" s="4" t="s">
        <v>489</v>
      </c>
      <c r="U100" s="4">
        <v>2039</v>
      </c>
    </row>
    <row r="101" spans="2:21">
      <c r="B101" s="4" t="s">
        <v>419</v>
      </c>
      <c r="U101" s="4">
        <v>2040</v>
      </c>
    </row>
    <row r="102" spans="2:21">
      <c r="B102" s="4" t="s">
        <v>440</v>
      </c>
      <c r="U102" s="4">
        <v>2041</v>
      </c>
    </row>
    <row r="103" spans="2:21">
      <c r="B103" s="4" t="s">
        <v>194</v>
      </c>
      <c r="U103" s="4">
        <v>2042</v>
      </c>
    </row>
    <row r="104" spans="2:21">
      <c r="C104" s="610"/>
      <c r="U104" s="4">
        <v>2043</v>
      </c>
    </row>
    <row r="105" spans="2:21">
      <c r="C105" s="610"/>
      <c r="U105" s="4">
        <v>2044</v>
      </c>
    </row>
    <row r="106" spans="2:21">
      <c r="C106" s="610"/>
      <c r="U106" s="4">
        <v>2045</v>
      </c>
    </row>
    <row r="107" spans="2:21" ht="18.600000000000001">
      <c r="B107" s="132" t="s">
        <v>490</v>
      </c>
      <c r="U107" s="4">
        <v>2046</v>
      </c>
    </row>
    <row r="108" spans="2:21">
      <c r="B108" s="131" t="s">
        <v>423</v>
      </c>
      <c r="U108" s="4">
        <v>2047</v>
      </c>
    </row>
    <row r="109" spans="2:21">
      <c r="U109" s="4">
        <v>2048</v>
      </c>
    </row>
    <row r="110" spans="2:21">
      <c r="U110" s="4">
        <v>2049</v>
      </c>
    </row>
    <row r="111" spans="2:21">
      <c r="U111" s="4">
        <v>2050</v>
      </c>
    </row>
    <row r="112" spans="2:21" ht="15" thickBot="1">
      <c r="B112" s="621" t="s">
        <v>491</v>
      </c>
      <c r="C112" s="621" t="s">
        <v>492</v>
      </c>
      <c r="D112" s="621" t="s">
        <v>493</v>
      </c>
      <c r="E112" s="621" t="s">
        <v>494</v>
      </c>
    </row>
    <row r="113" spans="2:5" ht="15" thickTop="1">
      <c r="B113" s="619" t="str" cm="1">
        <f t="array" ref="B113:B116">IF(OR(OR(Path=$C$84:$C$86),AND(OR(Path=$B$99:$B$102),Initial_questions!$E$111="No")),Proj,IF(OR(OR(Path=$C$87:$C$92),AND(OR(Path=$B$97:$B$98),Initial_questions!$E$111="No"),AND(OR(Path=$B$90:$B$91),OR(Initial_questions!$E$73=$H$85:$H$87))),Proj_or_mix,Data))</f>
        <v>Projected</v>
      </c>
      <c r="C113" s="619" t="str" cm="1">
        <f t="array" ref="C113:C115">IF(Initial_questions!$E$112="Default",Def,IF(OR(Path=B$84:B$89),$N$86, IF(OR(Initial_questions!$E$112="Projected",Path=B$93:B$96,AND(OR(Path=$B$90:$B$91),OR(Initial_questions!$E$73=$H$85:$H$87)),AND(OR(Path=B$97:B$102),Initial_questions!$E$111="No")),Proj,Proj_or_def)))</f>
        <v>Projected</v>
      </c>
      <c r="D113" s="619" t="str" cm="1">
        <f t="array" ref="D113:D115">IF(Initial_questions!$E$112="Default",Def, IF(OR(Initial_questions!$E$112="Projected",OR(Path=$B$87:$B$88), AND(Path=$B$89, Initial_questions!$E$38&gt;0)), Proj,Proj_or_def))</f>
        <v>Projected</v>
      </c>
      <c r="E113" s="619" t="str" cm="1">
        <f t="array" ref="E113:E115">IF(Initial_questions!$E$112="Default",Def, IF(Initial_questions!$E$112="Projected",Proj,Proj_or_def))</f>
        <v>Projected</v>
      </c>
    </row>
    <row r="114" spans="2:5">
      <c r="B114" s="619" t="str">
        <v>Default</v>
      </c>
      <c r="C114" s="619" t="str">
        <v>Default</v>
      </c>
      <c r="D114" s="619" t="str">
        <v>Default</v>
      </c>
      <c r="E114" s="619" t="str">
        <v>Default</v>
      </c>
    </row>
    <row r="115" spans="2:5">
      <c r="B115" s="619" t="str">
        <v>Mixed</v>
      </c>
      <c r="C115" s="619">
        <v>0</v>
      </c>
      <c r="D115" s="619">
        <v>0</v>
      </c>
      <c r="E115" s="619">
        <v>0</v>
      </c>
    </row>
    <row r="116" spans="2:5">
      <c r="B116" s="619">
        <v>0</v>
      </c>
      <c r="C116" s="620"/>
      <c r="D116" s="620"/>
      <c r="E116" s="620"/>
    </row>
  </sheetData>
  <customSheetViews>
    <customSheetView guid="{F03309BC-D3FA-4CF2-833B-D6D9A95FE1FB}" showGridLines="0" topLeftCell="A115">
      <selection activeCell="D2" sqref="D2"/>
      <pageMargins left="0" right="0" top="0" bottom="0" header="0" footer="0"/>
      <pageSetup paperSize="9" orientation="portrait" r:id="rId1"/>
    </customSheetView>
    <customSheetView guid="{EECBF9DF-6D77-4263-85DA-71E40216BADD}" showGridLines="0">
      <selection activeCell="D1" sqref="D1"/>
      <pageMargins left="0" right="0" top="0" bottom="0" header="0" footer="0"/>
      <pageSetup paperSize="9" orientation="portrait" r:id="rId2"/>
    </customSheetView>
    <customSheetView guid="{1C16EB38-F785-4168-9938-104594734038}" showGridLines="0">
      <selection activeCell="D1" sqref="D1"/>
      <pageMargins left="0" right="0" top="0" bottom="0" header="0" footer="0"/>
      <pageSetup paperSize="9" orientation="portrait" r:id="rId3"/>
    </customSheetView>
    <customSheetView guid="{0E935136-9A80-44B6-88D5-61E64D742049}" showGridLines="0">
      <selection activeCell="D1" sqref="D1"/>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3F0A4FBA-5323-448F-A023-B3E14C54064C}" showGridLines="0" topLeftCell="A115">
      <selection activeCell="D2" sqref="D2"/>
      <pageMargins left="0" right="0" top="0" bottom="0" header="0" footer="0"/>
      <pageSetup paperSize="9" orientation="portrait" r:id="rId6"/>
    </customSheetView>
    <customSheetView guid="{D97B1299-69D0-4EE0-B673-CCF74742F96B}" topLeftCell="A115">
      <selection activeCell="B129" sqref="B129"/>
      <pageMargins left="0" right="0" top="0" bottom="0" header="0" footer="0"/>
      <pageSetup paperSize="9" orientation="portrait" r:id="rId7"/>
    </customSheetView>
    <customSheetView guid="{F468A2FD-7987-4A9D-8BAE-1AACE523607F}" showGridLines="0">
      <selection activeCell="D1" sqref="D1"/>
      <pageMargins left="0" right="0" top="0" bottom="0" header="0" footer="0"/>
      <pageSetup paperSize="9" orientation="portrait" r:id="rId8"/>
    </customSheetView>
    <customSheetView guid="{2D920366-22B2-4182-A65D-0EDBE614FB37}" showGridLines="0">
      <pageMargins left="0" right="0" top="0" bottom="0" header="0" footer="0"/>
      <pageSetup paperSize="9" orientation="portrait" r:id="rId9"/>
    </customSheetView>
  </customSheetViews>
  <dataValidations count="1">
    <dataValidation type="list" allowBlank="1" showInputMessage="1" showErrorMessage="1" sqref="B108" xr:uid="{3601247B-6B63-499F-9930-16C36A292193}">
      <formula1>Switch</formula1>
    </dataValidation>
  </dataValidations>
  <pageMargins left="0" right="0" top="0" bottom="0" header="0" footer="0"/>
  <pageSetup paperSize="9" orientation="portrait" r:id="rId10"/>
  <headerFooter>
    <oddHeader>&amp;C&amp;"Aptos"&amp;10&amp;K000000 OFFICIAL&amp;1#_x000D_</oddHeader>
    <oddFooter>&amp;C_x000D_&amp;1#&amp;"Aptos"&amp;10&amp;K000000 OFFICIAL</oddFooter>
  </headerFooter>
  <legacyDrawing r:id="rId1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7CE75-FF2B-43E9-91B2-1B8DE2D4A3AB}">
  <sheetPr codeName="Sheet5">
    <tabColor rgb="FFC7E8FA"/>
  </sheetPr>
  <dimension ref="B2:W157"/>
  <sheetViews>
    <sheetView showGridLines="0" topLeftCell="A116" zoomScaleNormal="100" workbookViewId="0">
      <selection activeCell="H16" sqref="H16"/>
    </sheetView>
  </sheetViews>
  <sheetFormatPr defaultRowHeight="14.45"/>
  <cols>
    <col min="2" max="2" width="44" customWidth="1"/>
    <col min="3" max="3" width="24.5703125" customWidth="1"/>
    <col min="4" max="4" width="26.5703125" customWidth="1"/>
    <col min="5" max="5" width="24.140625" customWidth="1"/>
    <col min="6" max="6" width="27.7109375" customWidth="1"/>
    <col min="7" max="7" width="24.42578125" customWidth="1"/>
    <col min="8" max="8" width="39.5703125" customWidth="1"/>
    <col min="9" max="9" width="6.5703125" customWidth="1"/>
    <col min="10" max="10" width="25.140625" customWidth="1"/>
    <col min="11" max="11" width="24.140625" customWidth="1"/>
    <col min="12" max="12" width="26.85546875" customWidth="1"/>
    <col min="13" max="13" width="29.140625" customWidth="1"/>
    <col min="14" max="14" width="27.5703125" customWidth="1"/>
    <col min="15" max="15" width="24.5703125" customWidth="1"/>
    <col min="16" max="16" width="6.42578125" customWidth="1"/>
    <col min="17" max="17" width="24.140625" customWidth="1"/>
    <col min="18" max="18" width="25.85546875" customWidth="1"/>
    <col min="19" max="19" width="26.85546875" customWidth="1"/>
    <col min="20" max="20" width="24.140625" customWidth="1"/>
    <col min="21" max="21" width="25.140625" customWidth="1"/>
    <col min="22" max="22" width="19.5703125" customWidth="1"/>
    <col min="23" max="23" width="5.85546875" customWidth="1"/>
    <col min="24" max="24" width="13" bestFit="1" customWidth="1"/>
    <col min="25" max="25" width="12.42578125" customWidth="1"/>
    <col min="26" max="26" width="12.42578125" bestFit="1" customWidth="1"/>
    <col min="27" max="27" width="13" bestFit="1" customWidth="1"/>
    <col min="29" max="29" width="25.140625" customWidth="1"/>
    <col min="30" max="30" width="28.42578125" customWidth="1"/>
    <col min="31" max="31" width="25.5703125" customWidth="1"/>
  </cols>
  <sheetData>
    <row r="2" spans="2:23" s="161" customFormat="1">
      <c r="B2" s="161" t="s">
        <v>495</v>
      </c>
    </row>
    <row r="4" spans="2:23">
      <c r="B4" s="643" t="s">
        <v>496</v>
      </c>
    </row>
    <row r="5" spans="2:23">
      <c r="B5" s="643" t="s">
        <v>497</v>
      </c>
    </row>
    <row r="6" spans="2:23">
      <c r="B6" s="466" t="s">
        <v>498</v>
      </c>
    </row>
    <row r="7" spans="2:23" ht="16.5">
      <c r="B7" s="643" t="s">
        <v>499</v>
      </c>
    </row>
    <row r="8" spans="2:23" ht="16.5">
      <c r="B8" s="643" t="s">
        <v>500</v>
      </c>
    </row>
    <row r="9" spans="2:23" ht="16.5">
      <c r="B9" s="643" t="s">
        <v>501</v>
      </c>
    </row>
    <row r="10" spans="2:23" ht="16.5">
      <c r="B10" s="643" t="s">
        <v>502</v>
      </c>
    </row>
    <row r="11" spans="2:23">
      <c r="B11" s="643" t="s">
        <v>503</v>
      </c>
      <c r="C11" s="268"/>
      <c r="D11" s="268"/>
    </row>
    <row r="13" spans="2:23" ht="14.45" customHeight="1">
      <c r="B13" s="266"/>
      <c r="C13" s="267"/>
      <c r="D13" s="632" t="s">
        <v>504</v>
      </c>
      <c r="E13" s="633"/>
      <c r="F13" s="633"/>
      <c r="G13" s="633"/>
      <c r="H13" s="634"/>
    </row>
    <row r="14" spans="2:23" ht="28.7" customHeight="1">
      <c r="B14" s="284" t="s">
        <v>505</v>
      </c>
      <c r="C14" s="284" t="s">
        <v>506</v>
      </c>
      <c r="D14" s="345" t="s">
        <v>507</v>
      </c>
      <c r="E14" s="173" t="s">
        <v>508</v>
      </c>
      <c r="F14" s="173" t="s">
        <v>509</v>
      </c>
      <c r="G14" s="172" t="s">
        <v>510</v>
      </c>
      <c r="H14" s="283" t="s">
        <v>511</v>
      </c>
      <c r="I14" s="81"/>
      <c r="P14" s="81" t="s">
        <v>512</v>
      </c>
      <c r="W14" s="81" t="s">
        <v>512</v>
      </c>
    </row>
    <row r="15" spans="2:23" ht="16.5">
      <c r="B15" s="31" t="s">
        <v>513</v>
      </c>
      <c r="C15" s="31" t="s">
        <v>514</v>
      </c>
      <c r="D15" s="164">
        <v>8.413990921392756</v>
      </c>
      <c r="E15" s="288">
        <v>8.413990921392756</v>
      </c>
      <c r="F15" s="288">
        <v>2.7685895999999999</v>
      </c>
      <c r="G15" s="288">
        <v>26.895667199999991</v>
      </c>
      <c r="H15" s="165" t="s">
        <v>515</v>
      </c>
      <c r="I15" s="81"/>
      <c r="P15" s="81" t="s">
        <v>512</v>
      </c>
      <c r="W15" s="81" t="s">
        <v>512</v>
      </c>
    </row>
    <row r="16" spans="2:23" ht="16.5">
      <c r="B16" s="31" t="s">
        <v>516</v>
      </c>
      <c r="C16" s="31" t="s">
        <v>514</v>
      </c>
      <c r="D16" s="164">
        <v>7.6477616787943488</v>
      </c>
      <c r="E16" s="288">
        <v>7.6477616787943488</v>
      </c>
      <c r="F16" s="288">
        <v>2.4638667275746884</v>
      </c>
      <c r="G16" s="288">
        <v>28.227281873750169</v>
      </c>
      <c r="H16" s="165" t="s">
        <v>515</v>
      </c>
      <c r="I16" s="81"/>
      <c r="P16" s="81" t="s">
        <v>512</v>
      </c>
      <c r="W16" s="81" t="s">
        <v>512</v>
      </c>
    </row>
    <row r="17" spans="2:23" ht="16.5">
      <c r="B17" s="31" t="s">
        <v>517</v>
      </c>
      <c r="C17" s="31" t="s">
        <v>514</v>
      </c>
      <c r="D17" s="269" t="s">
        <v>518</v>
      </c>
      <c r="E17" s="288" t="s">
        <v>519</v>
      </c>
      <c r="F17" s="288" t="s">
        <v>519</v>
      </c>
      <c r="G17" s="288" t="s">
        <v>519</v>
      </c>
      <c r="H17" s="635" t="s">
        <v>520</v>
      </c>
      <c r="I17" s="81"/>
      <c r="P17" s="81"/>
      <c r="W17" s="81"/>
    </row>
    <row r="18" spans="2:23" ht="16.5">
      <c r="B18" s="31" t="s">
        <v>521</v>
      </c>
      <c r="C18" s="31" t="s">
        <v>514</v>
      </c>
      <c r="D18" s="269" t="s">
        <v>518</v>
      </c>
      <c r="E18" s="288" t="s">
        <v>519</v>
      </c>
      <c r="F18" s="288" t="s">
        <v>519</v>
      </c>
      <c r="G18" s="288" t="s">
        <v>519</v>
      </c>
      <c r="H18" s="635" t="s">
        <v>520</v>
      </c>
      <c r="I18" s="81"/>
      <c r="P18" s="81"/>
      <c r="W18" s="81"/>
    </row>
    <row r="19" spans="2:23" ht="16.5">
      <c r="B19" s="31" t="s">
        <v>522</v>
      </c>
      <c r="C19" s="31" t="s">
        <v>514</v>
      </c>
      <c r="D19" s="164">
        <v>5.5967130104359839</v>
      </c>
      <c r="E19" s="288">
        <v>3.9976521503114175</v>
      </c>
      <c r="F19" s="288">
        <v>-44.062769117291573</v>
      </c>
      <c r="G19" s="288">
        <v>30.259422186659656</v>
      </c>
      <c r="H19" s="165" t="s">
        <v>523</v>
      </c>
      <c r="I19" s="81"/>
      <c r="P19" s="81" t="s">
        <v>512</v>
      </c>
      <c r="W19" s="81" t="s">
        <v>512</v>
      </c>
    </row>
    <row r="20" spans="2:23" ht="16.5">
      <c r="B20" s="31" t="s">
        <v>524</v>
      </c>
      <c r="C20" s="31" t="s">
        <v>514</v>
      </c>
      <c r="D20" s="164">
        <v>5.087042247644483</v>
      </c>
      <c r="E20" s="288">
        <v>3.6336016054603451</v>
      </c>
      <c r="F20" s="288">
        <v>-34.413298020865213</v>
      </c>
      <c r="G20" s="288">
        <v>31.757246135493411</v>
      </c>
      <c r="H20" s="165" t="s">
        <v>523</v>
      </c>
      <c r="I20" s="81"/>
      <c r="P20" s="81" t="s">
        <v>512</v>
      </c>
      <c r="W20" s="81" t="s">
        <v>512</v>
      </c>
    </row>
    <row r="21" spans="2:23" ht="16.5">
      <c r="B21" s="31" t="s">
        <v>525</v>
      </c>
      <c r="C21" s="31" t="s">
        <v>514</v>
      </c>
      <c r="D21" s="164">
        <v>9.4423899454909037</v>
      </c>
      <c r="E21" s="288">
        <v>6.7445642467792171</v>
      </c>
      <c r="F21" s="288">
        <v>6.0843299581785155</v>
      </c>
      <c r="G21" s="288">
        <v>10.045735689782724</v>
      </c>
      <c r="H21" s="165" t="s">
        <v>526</v>
      </c>
      <c r="I21" s="81"/>
      <c r="P21" s="81" t="s">
        <v>512</v>
      </c>
      <c r="W21" s="81" t="s">
        <v>512</v>
      </c>
    </row>
    <row r="22" spans="2:23" ht="16.5">
      <c r="B22" s="31" t="s">
        <v>527</v>
      </c>
      <c r="C22" s="31" t="s">
        <v>514</v>
      </c>
      <c r="D22" s="164">
        <v>0.6399861312087467</v>
      </c>
      <c r="E22" s="288">
        <v>0.45713295086339051</v>
      </c>
      <c r="F22" s="288">
        <v>0.45713295086339051</v>
      </c>
      <c r="G22" s="288">
        <v>1.1778807546997814</v>
      </c>
      <c r="H22" s="165" t="s">
        <v>528</v>
      </c>
      <c r="I22" s="81"/>
      <c r="P22" s="81" t="s">
        <v>512</v>
      </c>
      <c r="W22" s="81" t="s">
        <v>512</v>
      </c>
    </row>
    <row r="23" spans="2:23" ht="16.5">
      <c r="B23" s="31" t="s">
        <v>529</v>
      </c>
      <c r="C23" s="31" t="s">
        <v>514</v>
      </c>
      <c r="D23" s="164">
        <v>0.6399861312087467</v>
      </c>
      <c r="E23" s="288">
        <v>0.45713295086339051</v>
      </c>
      <c r="F23" s="288">
        <v>0.45713295086339051</v>
      </c>
      <c r="G23" s="288">
        <v>1.1778807546997814</v>
      </c>
      <c r="H23" s="165" t="s">
        <v>528</v>
      </c>
      <c r="I23" s="81"/>
      <c r="P23" s="81" t="s">
        <v>512</v>
      </c>
      <c r="W23" s="81" t="s">
        <v>512</v>
      </c>
    </row>
    <row r="24" spans="2:23" ht="16.5">
      <c r="B24" s="31" t="s">
        <v>530</v>
      </c>
      <c r="C24" s="31" t="s">
        <v>514</v>
      </c>
      <c r="D24" s="164"/>
      <c r="E24" s="288"/>
      <c r="F24" s="288"/>
      <c r="G24" s="288"/>
      <c r="H24" s="31" t="s">
        <v>531</v>
      </c>
      <c r="I24" s="81"/>
      <c r="P24" s="81" t="s">
        <v>512</v>
      </c>
      <c r="W24" s="81" t="s">
        <v>512</v>
      </c>
    </row>
    <row r="25" spans="2:23" ht="16.5">
      <c r="B25" s="31" t="s">
        <v>532</v>
      </c>
      <c r="C25" s="31" t="s">
        <v>514</v>
      </c>
      <c r="D25" s="164"/>
      <c r="E25" s="288"/>
      <c r="F25" s="288"/>
      <c r="G25" s="288"/>
      <c r="H25" s="31" t="s">
        <v>533</v>
      </c>
      <c r="I25" s="81"/>
      <c r="P25" s="81" t="s">
        <v>512</v>
      </c>
      <c r="W25" s="81" t="s">
        <v>512</v>
      </c>
    </row>
    <row r="26" spans="2:23" ht="16.5">
      <c r="B26" s="31" t="s">
        <v>534</v>
      </c>
      <c r="C26" s="31" t="s">
        <v>514</v>
      </c>
      <c r="D26" s="164"/>
      <c r="E26" s="288"/>
      <c r="F26" s="288"/>
      <c r="G26" s="288"/>
      <c r="H26" s="31" t="s">
        <v>535</v>
      </c>
      <c r="I26" s="81"/>
      <c r="P26" s="81" t="s">
        <v>512</v>
      </c>
      <c r="W26" s="81" t="s">
        <v>512</v>
      </c>
    </row>
    <row r="27" spans="2:23">
      <c r="D27" s="137"/>
      <c r="E27" s="117"/>
    </row>
    <row r="28" spans="2:23">
      <c r="D28" s="137"/>
      <c r="E28" s="117"/>
    </row>
    <row r="29" spans="2:23" ht="14.45" customHeight="1">
      <c r="B29" s="266"/>
      <c r="C29" s="267"/>
      <c r="D29" s="632" t="s">
        <v>536</v>
      </c>
      <c r="E29" s="636"/>
      <c r="F29" s="636"/>
      <c r="G29" s="636"/>
      <c r="H29" s="637"/>
    </row>
    <row r="30" spans="2:23" ht="28.7" customHeight="1">
      <c r="B30" s="284" t="s">
        <v>505</v>
      </c>
      <c r="C30" s="284" t="s">
        <v>506</v>
      </c>
      <c r="D30" s="638" t="s">
        <v>507</v>
      </c>
      <c r="E30" s="286" t="s">
        <v>508</v>
      </c>
      <c r="F30" s="286" t="s">
        <v>509</v>
      </c>
      <c r="G30" s="287" t="s">
        <v>510</v>
      </c>
      <c r="H30" s="639" t="s">
        <v>511</v>
      </c>
    </row>
    <row r="31" spans="2:23" ht="16.5">
      <c r="B31" s="31" t="s">
        <v>513</v>
      </c>
      <c r="C31" s="31" t="s">
        <v>514</v>
      </c>
      <c r="D31" s="164">
        <v>0.75531281770322034</v>
      </c>
      <c r="E31" s="288">
        <v>0.53950915550230027</v>
      </c>
      <c r="F31" s="288">
        <v>0.53371621100230038</v>
      </c>
      <c r="G31" s="288">
        <v>0.54530210000230039</v>
      </c>
      <c r="H31" s="165" t="s">
        <v>537</v>
      </c>
    </row>
    <row r="32" spans="2:23" ht="16.5">
      <c r="B32" s="31" t="s">
        <v>516</v>
      </c>
      <c r="C32" s="31" t="s">
        <v>514</v>
      </c>
      <c r="D32" s="164">
        <v>4.4514479857375457</v>
      </c>
      <c r="E32" s="288">
        <v>3.1796057040982473</v>
      </c>
      <c r="F32" s="288">
        <v>2.3094602685081465</v>
      </c>
      <c r="G32" s="288">
        <v>0.56008879411171475</v>
      </c>
      <c r="H32" s="165" t="s">
        <v>538</v>
      </c>
    </row>
    <row r="33" spans="2:11" ht="16.5">
      <c r="B33" s="31" t="s">
        <v>517</v>
      </c>
      <c r="C33" s="31" t="s">
        <v>514</v>
      </c>
      <c r="D33" s="269" t="s">
        <v>518</v>
      </c>
      <c r="E33" s="288" t="s">
        <v>519</v>
      </c>
      <c r="F33" s="288" t="s">
        <v>519</v>
      </c>
      <c r="G33" s="288" t="s">
        <v>519</v>
      </c>
      <c r="H33" s="635" t="s">
        <v>520</v>
      </c>
    </row>
    <row r="34" spans="2:11" ht="16.5">
      <c r="B34" s="31" t="s">
        <v>521</v>
      </c>
      <c r="C34" s="31" t="s">
        <v>514</v>
      </c>
      <c r="D34" s="640">
        <v>4.4514479857375457</v>
      </c>
      <c r="E34" s="288">
        <v>3.1796057040982473</v>
      </c>
      <c r="F34" s="288">
        <v>2.3094602685081465</v>
      </c>
      <c r="G34" s="288">
        <v>0.56008879411171475</v>
      </c>
      <c r="H34" s="165" t="s">
        <v>539</v>
      </c>
    </row>
    <row r="35" spans="2:11" ht="16.5">
      <c r="B35" s="31" t="s">
        <v>522</v>
      </c>
      <c r="C35" s="31" t="s">
        <v>514</v>
      </c>
      <c r="D35" s="628">
        <v>0.75531281770322034</v>
      </c>
      <c r="E35" s="288">
        <v>0.53950915550230027</v>
      </c>
      <c r="F35" s="288">
        <v>0.53371621100230038</v>
      </c>
      <c r="G35" s="288">
        <v>0.54530210000230039</v>
      </c>
      <c r="H35" s="166" t="s">
        <v>540</v>
      </c>
    </row>
    <row r="36" spans="2:11" ht="16.5">
      <c r="B36" s="31" t="s">
        <v>524</v>
      </c>
      <c r="C36" s="31" t="s">
        <v>514</v>
      </c>
      <c r="D36" s="164">
        <v>4.4514479857375457</v>
      </c>
      <c r="E36" s="288">
        <v>3.1796057040982473</v>
      </c>
      <c r="F36" s="288">
        <v>2.3094576016613484</v>
      </c>
      <c r="G36" s="288">
        <v>0.56008552214183205</v>
      </c>
      <c r="H36" s="165" t="s">
        <v>541</v>
      </c>
    </row>
    <row r="37" spans="2:11" ht="16.5">
      <c r="B37" s="31" t="s">
        <v>525</v>
      </c>
      <c r="C37" s="31" t="s">
        <v>514</v>
      </c>
      <c r="D37" s="164">
        <v>14.868342250970558</v>
      </c>
      <c r="E37" s="288">
        <v>10.62024446497897</v>
      </c>
      <c r="F37" s="288">
        <v>10.62024446497897</v>
      </c>
      <c r="G37" s="288">
        <v>10.62024446497897</v>
      </c>
      <c r="H37" s="165"/>
    </row>
    <row r="38" spans="2:11" ht="16.5">
      <c r="B38" s="31" t="s">
        <v>527</v>
      </c>
      <c r="C38" s="31" t="s">
        <v>514</v>
      </c>
      <c r="D38" s="164">
        <v>16.040298065011847</v>
      </c>
      <c r="E38" s="288">
        <v>11.457355760722749</v>
      </c>
      <c r="F38" s="288">
        <v>11.457355760722749</v>
      </c>
      <c r="G38" s="288">
        <v>11.484302341937189</v>
      </c>
      <c r="H38" s="165"/>
    </row>
    <row r="39" spans="2:11" ht="16.5">
      <c r="B39" s="31" t="s">
        <v>529</v>
      </c>
      <c r="C39" s="31" t="s">
        <v>514</v>
      </c>
      <c r="D39" s="164">
        <v>16.040298065011847</v>
      </c>
      <c r="E39" s="288">
        <v>11.457355760722749</v>
      </c>
      <c r="F39" s="288">
        <v>11.457355760722749</v>
      </c>
      <c r="G39" s="288">
        <v>11.484302341937189</v>
      </c>
      <c r="H39" s="629"/>
    </row>
    <row r="40" spans="2:11" ht="16.5">
      <c r="B40" s="31" t="s">
        <v>530</v>
      </c>
      <c r="C40" s="31" t="s">
        <v>514</v>
      </c>
      <c r="D40" s="269" t="s">
        <v>518</v>
      </c>
      <c r="E40" s="641">
        <v>64.366050000000001</v>
      </c>
      <c r="F40" s="288">
        <v>56.729400000000005</v>
      </c>
      <c r="G40" s="288">
        <v>72.548175000000015</v>
      </c>
      <c r="H40" s="629" t="s">
        <v>542</v>
      </c>
    </row>
    <row r="41" spans="2:11" ht="16.5">
      <c r="B41" s="31" t="s">
        <v>532</v>
      </c>
      <c r="C41" s="31" t="s">
        <v>514</v>
      </c>
      <c r="D41" s="164">
        <v>0</v>
      </c>
      <c r="E41" s="288">
        <v>0</v>
      </c>
      <c r="F41" s="288">
        <v>0</v>
      </c>
      <c r="G41" s="288">
        <v>0</v>
      </c>
      <c r="H41" s="629" t="s">
        <v>543</v>
      </c>
      <c r="K41" s="441"/>
    </row>
    <row r="42" spans="2:11" ht="16.5">
      <c r="B42" s="31" t="s">
        <v>534</v>
      </c>
      <c r="C42" s="31" t="s">
        <v>514</v>
      </c>
      <c r="D42" s="164">
        <v>2.54223328229217</v>
      </c>
      <c r="E42" s="288">
        <v>2.25551524293591</v>
      </c>
      <c r="F42" s="288">
        <v>1.9879117395367343</v>
      </c>
      <c r="G42" s="288">
        <v>2.54223328229217</v>
      </c>
      <c r="H42" s="629" t="s">
        <v>544</v>
      </c>
    </row>
    <row r="43" spans="2:11">
      <c r="D43" s="137"/>
      <c r="E43" s="117"/>
    </row>
    <row r="44" spans="2:11">
      <c r="D44" s="137"/>
      <c r="E44" s="117"/>
    </row>
    <row r="45" spans="2:11" ht="14.45" customHeight="1">
      <c r="B45" s="266"/>
      <c r="C45" s="267"/>
      <c r="D45" s="632" t="s">
        <v>545</v>
      </c>
      <c r="E45" s="636"/>
      <c r="F45" s="636"/>
      <c r="G45" s="636"/>
      <c r="H45" s="637"/>
    </row>
    <row r="46" spans="2:11" ht="28.7" customHeight="1">
      <c r="B46" s="284" t="s">
        <v>505</v>
      </c>
      <c r="C46" s="284" t="s">
        <v>506</v>
      </c>
      <c r="D46" s="345" t="s">
        <v>507</v>
      </c>
      <c r="E46" s="173" t="s">
        <v>508</v>
      </c>
      <c r="F46" s="173" t="s">
        <v>509</v>
      </c>
      <c r="G46" s="172" t="s">
        <v>510</v>
      </c>
      <c r="H46" s="283" t="s">
        <v>511</v>
      </c>
    </row>
    <row r="47" spans="2:11" ht="16.5">
      <c r="B47" s="31" t="s">
        <v>513</v>
      </c>
      <c r="C47" s="31" t="s">
        <v>514</v>
      </c>
      <c r="D47" s="164">
        <v>0.39772777043334007</v>
      </c>
      <c r="E47" s="288">
        <v>0.28409126459524292</v>
      </c>
      <c r="F47" s="288">
        <v>0.28409126459524292</v>
      </c>
      <c r="G47" s="288">
        <v>0.28409126459524292</v>
      </c>
      <c r="H47" s="166" t="s">
        <v>546</v>
      </c>
    </row>
    <row r="48" spans="2:11" ht="16.5">
      <c r="B48" s="31" t="s">
        <v>516</v>
      </c>
      <c r="C48" s="31" t="s">
        <v>514</v>
      </c>
      <c r="D48" s="164">
        <v>0.39436994696292882</v>
      </c>
      <c r="E48" s="288">
        <v>0.28169281925923489</v>
      </c>
      <c r="F48" s="288">
        <v>0.28169281925923489</v>
      </c>
      <c r="G48" s="288">
        <v>0.28169281925923489</v>
      </c>
      <c r="H48" s="166" t="s">
        <v>546</v>
      </c>
    </row>
    <row r="49" spans="2:8" ht="16.5">
      <c r="B49" s="31" t="s">
        <v>517</v>
      </c>
      <c r="C49" s="31" t="s">
        <v>514</v>
      </c>
      <c r="D49" s="269" t="s">
        <v>518</v>
      </c>
      <c r="E49" s="288" t="s">
        <v>519</v>
      </c>
      <c r="F49" s="288" t="s">
        <v>519</v>
      </c>
      <c r="G49" s="288" t="s">
        <v>519</v>
      </c>
      <c r="H49" s="635" t="s">
        <v>520</v>
      </c>
    </row>
    <row r="50" spans="2:8" ht="16.5">
      <c r="B50" s="31" t="s">
        <v>521</v>
      </c>
      <c r="C50" s="31" t="s">
        <v>514</v>
      </c>
      <c r="D50" s="628">
        <v>0.39436994696292882</v>
      </c>
      <c r="E50" s="288">
        <v>0.28169281925923489</v>
      </c>
      <c r="F50" s="288">
        <v>0.28169281925923489</v>
      </c>
      <c r="G50" s="288">
        <v>0.28169281925923489</v>
      </c>
      <c r="H50" s="165" t="s">
        <v>547</v>
      </c>
    </row>
    <row r="51" spans="2:8" ht="16.5">
      <c r="B51" s="31" t="s">
        <v>522</v>
      </c>
      <c r="C51" s="31" t="s">
        <v>514</v>
      </c>
      <c r="D51" s="164">
        <v>0.39772777043334007</v>
      </c>
      <c r="E51" s="288">
        <v>0.28409126459524292</v>
      </c>
      <c r="F51" s="288">
        <v>0.28409126459524292</v>
      </c>
      <c r="G51" s="288">
        <v>0.28409126459524292</v>
      </c>
      <c r="H51" s="166" t="s">
        <v>546</v>
      </c>
    </row>
    <row r="52" spans="2:8" ht="16.5">
      <c r="B52" s="31" t="s">
        <v>524</v>
      </c>
      <c r="C52" s="31" t="s">
        <v>514</v>
      </c>
      <c r="D52" s="164">
        <v>0.39436994696292882</v>
      </c>
      <c r="E52" s="288">
        <v>0.28169281925923489</v>
      </c>
      <c r="F52" s="288">
        <v>0.28169281925923489</v>
      </c>
      <c r="G52" s="288">
        <v>0.28169281925923489</v>
      </c>
      <c r="H52" s="166" t="s">
        <v>546</v>
      </c>
    </row>
    <row r="53" spans="2:8" ht="16.5">
      <c r="B53" s="31" t="s">
        <v>525</v>
      </c>
      <c r="C53" s="31" t="s">
        <v>514</v>
      </c>
      <c r="D53" s="164">
        <v>3.5511417495819044</v>
      </c>
      <c r="E53" s="288">
        <v>2.5365298211299319</v>
      </c>
      <c r="F53" s="288">
        <v>2.5365298211299319</v>
      </c>
      <c r="G53" s="288">
        <v>2.5365298211299319</v>
      </c>
      <c r="H53" s="165" t="s">
        <v>548</v>
      </c>
    </row>
    <row r="54" spans="2:8" ht="16.5">
      <c r="B54" s="31" t="s">
        <v>527</v>
      </c>
      <c r="C54" s="31" t="s">
        <v>514</v>
      </c>
      <c r="D54" s="164">
        <v>3.8549359498943487</v>
      </c>
      <c r="E54" s="288">
        <v>2.7535256784959636</v>
      </c>
      <c r="F54" s="288">
        <v>2.7535256784959636</v>
      </c>
      <c r="G54" s="288">
        <v>2.9986284369369178</v>
      </c>
      <c r="H54" s="165" t="s">
        <v>549</v>
      </c>
    </row>
    <row r="55" spans="2:8" ht="16.5">
      <c r="B55" s="31" t="s">
        <v>529</v>
      </c>
      <c r="C55" s="31" t="s">
        <v>514</v>
      </c>
      <c r="D55" s="164">
        <v>3.8549359498943487</v>
      </c>
      <c r="E55" s="288">
        <v>2.7535256784959636</v>
      </c>
      <c r="F55" s="288">
        <v>2.7535256784959636</v>
      </c>
      <c r="G55" s="288">
        <v>2.9986284369369178</v>
      </c>
      <c r="H55" s="165" t="s">
        <v>549</v>
      </c>
    </row>
    <row r="56" spans="2:8" ht="16.5">
      <c r="B56" s="31" t="s">
        <v>530</v>
      </c>
      <c r="C56" s="31" t="s">
        <v>514</v>
      </c>
      <c r="D56" s="164">
        <v>3.617164730355555E-2</v>
      </c>
      <c r="E56" s="288">
        <v>2.583689093111111E-2</v>
      </c>
      <c r="F56" s="288">
        <v>2.583689093111111E-2</v>
      </c>
      <c r="G56" s="288">
        <v>2.583689093111111E-2</v>
      </c>
      <c r="H56" s="165" t="s">
        <v>550</v>
      </c>
    </row>
    <row r="57" spans="2:8" ht="16.5">
      <c r="B57" s="31" t="s">
        <v>532</v>
      </c>
      <c r="C57" s="31" t="s">
        <v>514</v>
      </c>
      <c r="D57" s="164">
        <v>3.617164730355555E-2</v>
      </c>
      <c r="E57" s="288">
        <v>2.583689093111111E-2</v>
      </c>
      <c r="F57" s="288">
        <v>2.583689093111111E-2</v>
      </c>
      <c r="G57" s="288">
        <v>2.583689093111111E-2</v>
      </c>
      <c r="H57" s="165" t="s">
        <v>550</v>
      </c>
    </row>
    <row r="58" spans="2:8" ht="16.5">
      <c r="B58" s="31" t="s">
        <v>534</v>
      </c>
      <c r="C58" s="31" t="s">
        <v>514</v>
      </c>
      <c r="D58" s="164">
        <v>3.617164730355555E-2</v>
      </c>
      <c r="E58" s="288">
        <v>2.583689093111111E-2</v>
      </c>
      <c r="F58" s="288">
        <v>2.583689093111111E-2</v>
      </c>
      <c r="G58" s="288">
        <v>2.583689093111111E-2</v>
      </c>
      <c r="H58" s="165" t="s">
        <v>550</v>
      </c>
    </row>
    <row r="59" spans="2:8">
      <c r="D59" s="137"/>
      <c r="E59" s="117"/>
    </row>
    <row r="60" spans="2:8">
      <c r="D60" s="137"/>
      <c r="E60" s="117"/>
    </row>
    <row r="61" spans="2:8">
      <c r="B61" s="266"/>
      <c r="C61" s="267"/>
      <c r="D61" s="632" t="s">
        <v>551</v>
      </c>
      <c r="E61" s="636"/>
      <c r="F61" s="636"/>
      <c r="G61" s="636"/>
      <c r="H61" s="637"/>
    </row>
    <row r="62" spans="2:8" ht="28.7" customHeight="1">
      <c r="B62" s="284" t="s">
        <v>505</v>
      </c>
      <c r="C62" s="284" t="s">
        <v>506</v>
      </c>
      <c r="D62" s="282" t="s">
        <v>507</v>
      </c>
      <c r="E62" s="173" t="s">
        <v>508</v>
      </c>
      <c r="F62" s="173" t="s">
        <v>509</v>
      </c>
      <c r="G62" s="172" t="s">
        <v>510</v>
      </c>
      <c r="H62" s="283" t="s">
        <v>511</v>
      </c>
    </row>
    <row r="63" spans="2:8" ht="16.5">
      <c r="B63" s="31" t="s">
        <v>513</v>
      </c>
      <c r="C63" s="31" t="s">
        <v>514</v>
      </c>
      <c r="D63" s="269" t="s">
        <v>518</v>
      </c>
      <c r="E63" s="288">
        <v>77.687458333333325</v>
      </c>
      <c r="F63" s="288">
        <v>76.150783333333337</v>
      </c>
      <c r="G63" s="288">
        <v>79.224133333333327</v>
      </c>
      <c r="H63" s="31"/>
    </row>
    <row r="64" spans="2:8" ht="16.5">
      <c r="B64" s="31" t="s">
        <v>516</v>
      </c>
      <c r="C64" s="31" t="s">
        <v>514</v>
      </c>
      <c r="D64" s="269" t="s">
        <v>518</v>
      </c>
      <c r="E64" s="288">
        <v>70.612765370829877</v>
      </c>
      <c r="F64" s="288">
        <v>67.769300778182924</v>
      </c>
      <c r="G64" s="288">
        <v>83.146550192425309</v>
      </c>
      <c r="H64" s="31"/>
    </row>
    <row r="65" spans="2:8" ht="16.5">
      <c r="B65" s="31" t="s">
        <v>517</v>
      </c>
      <c r="C65" s="31" t="s">
        <v>514</v>
      </c>
      <c r="D65" s="164" t="s">
        <v>518</v>
      </c>
      <c r="E65" s="288" t="s">
        <v>519</v>
      </c>
      <c r="F65" s="288" t="s">
        <v>519</v>
      </c>
      <c r="G65" s="288" t="s">
        <v>519</v>
      </c>
      <c r="H65" s="165"/>
    </row>
    <row r="66" spans="2:8" ht="16.5">
      <c r="B66" s="31" t="s">
        <v>521</v>
      </c>
      <c r="C66" s="31" t="s">
        <v>514</v>
      </c>
      <c r="D66" s="164" t="s">
        <v>518</v>
      </c>
      <c r="E66" s="288" t="s">
        <v>519</v>
      </c>
      <c r="F66" s="288" t="s">
        <v>519</v>
      </c>
      <c r="G66" s="288" t="s">
        <v>519</v>
      </c>
      <c r="H66" s="165"/>
    </row>
    <row r="67" spans="2:8" ht="16.5">
      <c r="B67" s="31" t="s">
        <v>522</v>
      </c>
      <c r="C67" s="31" t="s">
        <v>514</v>
      </c>
      <c r="D67" s="269" t="s">
        <v>518</v>
      </c>
      <c r="E67" s="288">
        <v>0</v>
      </c>
      <c r="F67" s="288">
        <v>0</v>
      </c>
      <c r="G67" s="288">
        <v>0</v>
      </c>
      <c r="H67" s="31"/>
    </row>
    <row r="68" spans="2:8" ht="16.5">
      <c r="B68" s="31" t="s">
        <v>524</v>
      </c>
      <c r="C68" s="31" t="s">
        <v>514</v>
      </c>
      <c r="D68" s="269" t="s">
        <v>518</v>
      </c>
      <c r="E68" s="288">
        <v>0</v>
      </c>
      <c r="F68" s="288">
        <v>0</v>
      </c>
      <c r="G68" s="288">
        <v>0</v>
      </c>
      <c r="H68" s="31"/>
    </row>
    <row r="69" spans="2:8" ht="16.5">
      <c r="B69" s="31" t="s">
        <v>525</v>
      </c>
      <c r="C69" s="31" t="s">
        <v>514</v>
      </c>
      <c r="D69" s="269" t="s">
        <v>518</v>
      </c>
      <c r="E69" s="288">
        <v>0</v>
      </c>
      <c r="F69" s="288">
        <v>0</v>
      </c>
      <c r="G69" s="288">
        <v>0</v>
      </c>
      <c r="H69" s="31"/>
    </row>
    <row r="70" spans="2:8" ht="16.5">
      <c r="B70" s="31" t="s">
        <v>527</v>
      </c>
      <c r="C70" s="31" t="s">
        <v>514</v>
      </c>
      <c r="D70" s="269" t="s">
        <v>518</v>
      </c>
      <c r="E70" s="288">
        <v>0</v>
      </c>
      <c r="F70" s="288">
        <v>0</v>
      </c>
      <c r="G70" s="288">
        <v>0</v>
      </c>
      <c r="H70" s="31" t="s">
        <v>552</v>
      </c>
    </row>
    <row r="71" spans="2:8" ht="16.5">
      <c r="B71" s="31" t="s">
        <v>529</v>
      </c>
      <c r="C71" s="31" t="s">
        <v>514</v>
      </c>
      <c r="D71" s="269" t="s">
        <v>518</v>
      </c>
      <c r="E71" s="288">
        <v>175.17627323448303</v>
      </c>
      <c r="F71" s="288">
        <v>175.17627323448303</v>
      </c>
      <c r="G71" s="288">
        <v>175.17627323448303</v>
      </c>
      <c r="H71" s="31" t="s">
        <v>553</v>
      </c>
    </row>
    <row r="72" spans="2:8" ht="16.5">
      <c r="B72" s="31" t="s">
        <v>530</v>
      </c>
      <c r="C72" s="31" t="s">
        <v>514</v>
      </c>
      <c r="D72" s="269" t="s">
        <v>518</v>
      </c>
      <c r="E72" s="288">
        <v>0</v>
      </c>
      <c r="F72" s="288">
        <v>0</v>
      </c>
      <c r="G72" s="288">
        <v>0</v>
      </c>
      <c r="H72" s="31"/>
    </row>
    <row r="73" spans="2:8" ht="16.5">
      <c r="B73" s="31" t="s">
        <v>532</v>
      </c>
      <c r="C73" s="31" t="s">
        <v>514</v>
      </c>
      <c r="D73" s="269" t="s">
        <v>518</v>
      </c>
      <c r="E73" s="288">
        <v>0</v>
      </c>
      <c r="F73" s="288">
        <v>0</v>
      </c>
      <c r="G73" s="288">
        <v>0</v>
      </c>
      <c r="H73" s="31"/>
    </row>
    <row r="74" spans="2:8" ht="16.5">
      <c r="B74" s="31" t="s">
        <v>534</v>
      </c>
      <c r="C74" s="31" t="s">
        <v>514</v>
      </c>
      <c r="D74" s="269" t="s">
        <v>518</v>
      </c>
      <c r="E74" s="288">
        <v>0</v>
      </c>
      <c r="F74" s="288">
        <v>0</v>
      </c>
      <c r="G74" s="288">
        <v>0</v>
      </c>
      <c r="H74" s="31"/>
    </row>
    <row r="75" spans="2:8">
      <c r="E75" s="117"/>
    </row>
    <row r="76" spans="2:8">
      <c r="D76" s="137"/>
      <c r="E76" s="117"/>
    </row>
    <row r="77" spans="2:8" ht="14.45" customHeight="1">
      <c r="B77" s="266"/>
      <c r="C77" s="267"/>
      <c r="D77" s="632" t="s">
        <v>554</v>
      </c>
      <c r="E77" s="636"/>
      <c r="F77" s="636"/>
      <c r="G77" s="636"/>
      <c r="H77" s="637"/>
    </row>
    <row r="78" spans="2:8" ht="28.7" customHeight="1">
      <c r="B78" s="284" t="s">
        <v>505</v>
      </c>
      <c r="C78" s="284" t="s">
        <v>506</v>
      </c>
      <c r="D78" s="282" t="s">
        <v>507</v>
      </c>
      <c r="E78" s="173" t="s">
        <v>508</v>
      </c>
      <c r="F78" s="173" t="s">
        <v>509</v>
      </c>
      <c r="G78" s="172" t="s">
        <v>510</v>
      </c>
      <c r="H78" s="283" t="s">
        <v>511</v>
      </c>
    </row>
    <row r="79" spans="2:8" ht="16.5">
      <c r="B79" s="31" t="s">
        <v>513</v>
      </c>
      <c r="C79" s="31" t="s">
        <v>514</v>
      </c>
      <c r="D79" s="269" t="s">
        <v>518</v>
      </c>
      <c r="E79" s="289" t="s">
        <v>555</v>
      </c>
      <c r="F79" s="289" t="s">
        <v>555</v>
      </c>
      <c r="G79" s="289" t="s">
        <v>555</v>
      </c>
      <c r="H79" s="31" t="s">
        <v>556</v>
      </c>
    </row>
    <row r="80" spans="2:8" ht="16.5">
      <c r="B80" s="31" t="s">
        <v>516</v>
      </c>
      <c r="C80" s="31" t="s">
        <v>514</v>
      </c>
      <c r="D80" s="269" t="s">
        <v>518</v>
      </c>
      <c r="E80" s="289" t="s">
        <v>555</v>
      </c>
      <c r="F80" s="289" t="s">
        <v>555</v>
      </c>
      <c r="G80" s="289" t="s">
        <v>555</v>
      </c>
      <c r="H80" s="31" t="s">
        <v>556</v>
      </c>
    </row>
    <row r="81" spans="2:8" ht="16.5">
      <c r="B81" s="31" t="s">
        <v>517</v>
      </c>
      <c r="C81" s="31" t="s">
        <v>514</v>
      </c>
      <c r="D81" s="164" t="s">
        <v>518</v>
      </c>
      <c r="E81" s="288" t="s">
        <v>519</v>
      </c>
      <c r="F81" s="288" t="s">
        <v>519</v>
      </c>
      <c r="G81" s="288" t="s">
        <v>519</v>
      </c>
      <c r="H81" s="165"/>
    </row>
    <row r="82" spans="2:8" ht="16.5">
      <c r="B82" s="31" t="s">
        <v>521</v>
      </c>
      <c r="C82" s="31" t="s">
        <v>514</v>
      </c>
      <c r="D82" s="164" t="s">
        <v>518</v>
      </c>
      <c r="E82" s="288" t="s">
        <v>519</v>
      </c>
      <c r="F82" s="288" t="s">
        <v>519</v>
      </c>
      <c r="G82" s="288" t="s">
        <v>519</v>
      </c>
      <c r="H82" s="165"/>
    </row>
    <row r="83" spans="2:8" ht="16.5">
      <c r="B83" s="31" t="s">
        <v>522</v>
      </c>
      <c r="C83" s="31" t="s">
        <v>514</v>
      </c>
      <c r="D83" s="269" t="s">
        <v>518</v>
      </c>
      <c r="E83" s="289" t="s">
        <v>555</v>
      </c>
      <c r="F83" s="289" t="s">
        <v>555</v>
      </c>
      <c r="G83" s="289" t="s">
        <v>555</v>
      </c>
      <c r="H83" s="31" t="s">
        <v>556</v>
      </c>
    </row>
    <row r="84" spans="2:8" ht="16.5">
      <c r="B84" s="31" t="s">
        <v>524</v>
      </c>
      <c r="C84" s="31" t="s">
        <v>514</v>
      </c>
      <c r="D84" s="269" t="s">
        <v>518</v>
      </c>
      <c r="E84" s="289" t="s">
        <v>555</v>
      </c>
      <c r="F84" s="289" t="s">
        <v>555</v>
      </c>
      <c r="G84" s="289" t="s">
        <v>555</v>
      </c>
      <c r="H84" s="31" t="s">
        <v>556</v>
      </c>
    </row>
    <row r="85" spans="2:8" ht="16.5">
      <c r="B85" s="31" t="s">
        <v>525</v>
      </c>
      <c r="C85" s="31" t="s">
        <v>514</v>
      </c>
      <c r="D85" s="269" t="s">
        <v>518</v>
      </c>
      <c r="E85" s="289" t="s">
        <v>555</v>
      </c>
      <c r="F85" s="289" t="s">
        <v>555</v>
      </c>
      <c r="G85" s="289" t="s">
        <v>555</v>
      </c>
      <c r="H85" s="31" t="s">
        <v>556</v>
      </c>
    </row>
    <row r="86" spans="2:8" ht="16.5">
      <c r="B86" s="31" t="s">
        <v>527</v>
      </c>
      <c r="C86" s="31" t="s">
        <v>514</v>
      </c>
      <c r="D86" s="269" t="s">
        <v>518</v>
      </c>
      <c r="E86" s="289" t="s">
        <v>555</v>
      </c>
      <c r="F86" s="289" t="s">
        <v>555</v>
      </c>
      <c r="G86" s="289" t="s">
        <v>555</v>
      </c>
      <c r="H86" s="31" t="s">
        <v>556</v>
      </c>
    </row>
    <row r="87" spans="2:8" ht="16.5">
      <c r="B87" s="31" t="s">
        <v>529</v>
      </c>
      <c r="C87" s="31" t="s">
        <v>514</v>
      </c>
      <c r="D87" s="269" t="s">
        <v>518</v>
      </c>
      <c r="E87" s="289" t="s">
        <v>555</v>
      </c>
      <c r="F87" s="289" t="s">
        <v>555</v>
      </c>
      <c r="G87" s="289" t="s">
        <v>555</v>
      </c>
      <c r="H87" s="31" t="s">
        <v>556</v>
      </c>
    </row>
    <row r="88" spans="2:8" ht="16.5">
      <c r="B88" s="31" t="s">
        <v>530</v>
      </c>
      <c r="C88" s="31" t="s">
        <v>514</v>
      </c>
      <c r="D88" s="269" t="s">
        <v>518</v>
      </c>
      <c r="E88" s="288">
        <v>0</v>
      </c>
      <c r="F88" s="288">
        <v>0</v>
      </c>
      <c r="G88" s="288">
        <v>0</v>
      </c>
      <c r="H88" s="31"/>
    </row>
    <row r="89" spans="2:8" ht="16.5">
      <c r="B89" s="31" t="s">
        <v>532</v>
      </c>
      <c r="C89" s="31" t="s">
        <v>514</v>
      </c>
      <c r="D89" s="269" t="s">
        <v>518</v>
      </c>
      <c r="E89" s="288">
        <v>0</v>
      </c>
      <c r="F89" s="288">
        <v>0</v>
      </c>
      <c r="G89" s="288">
        <v>0</v>
      </c>
      <c r="H89" s="31"/>
    </row>
    <row r="90" spans="2:8" ht="16.5">
      <c r="B90" s="31" t="s">
        <v>534</v>
      </c>
      <c r="C90" s="31" t="s">
        <v>514</v>
      </c>
      <c r="D90" s="269" t="s">
        <v>518</v>
      </c>
      <c r="E90" s="288">
        <v>0</v>
      </c>
      <c r="F90" s="288">
        <v>0</v>
      </c>
      <c r="G90" s="288">
        <v>0</v>
      </c>
      <c r="H90" s="31"/>
    </row>
    <row r="91" spans="2:8">
      <c r="D91" s="137"/>
      <c r="E91" s="117"/>
    </row>
    <row r="92" spans="2:8">
      <c r="D92" s="137"/>
      <c r="E92" s="117"/>
    </row>
    <row r="93" spans="2:8" ht="14.45" customHeight="1">
      <c r="B93" s="266"/>
      <c r="C93" s="267"/>
      <c r="D93" s="632" t="s">
        <v>557</v>
      </c>
      <c r="E93" s="636"/>
      <c r="F93" s="636"/>
      <c r="G93" s="636"/>
      <c r="H93" s="637"/>
    </row>
    <row r="94" spans="2:8" ht="28.7" customHeight="1">
      <c r="B94" s="284" t="s">
        <v>505</v>
      </c>
      <c r="C94" s="284" t="s">
        <v>506</v>
      </c>
      <c r="D94" s="282" t="s">
        <v>507</v>
      </c>
      <c r="E94" s="271" t="s">
        <v>508</v>
      </c>
      <c r="F94" s="271" t="s">
        <v>509</v>
      </c>
      <c r="G94" s="272" t="s">
        <v>510</v>
      </c>
      <c r="H94" s="283" t="s">
        <v>511</v>
      </c>
    </row>
    <row r="95" spans="2:8" ht="16.5">
      <c r="B95" s="31" t="s">
        <v>513</v>
      </c>
      <c r="C95" s="31" t="s">
        <v>514</v>
      </c>
      <c r="D95" s="270" t="s">
        <v>518</v>
      </c>
      <c r="E95" s="288">
        <v>-66.03433958333332</v>
      </c>
      <c r="F95" s="288">
        <v>-68.61185578333334</v>
      </c>
      <c r="G95" s="288">
        <v>-53.000945199999997</v>
      </c>
      <c r="H95" s="31"/>
    </row>
    <row r="96" spans="2:8" ht="16.5">
      <c r="B96" s="31" t="s">
        <v>516</v>
      </c>
      <c r="C96" s="31" t="s">
        <v>514</v>
      </c>
      <c r="D96" s="270" t="s">
        <v>518</v>
      </c>
      <c r="E96" s="288">
        <v>-67.082127102288382</v>
      </c>
      <c r="F96" s="288">
        <v>-64.85522084472106</v>
      </c>
      <c r="G96" s="288">
        <v>-78.989222682804041</v>
      </c>
      <c r="H96" s="31"/>
    </row>
    <row r="97" spans="2:8" ht="16.5">
      <c r="B97" s="31" t="s">
        <v>517</v>
      </c>
      <c r="C97" s="31" t="s">
        <v>514</v>
      </c>
      <c r="D97" s="164" t="s">
        <v>518</v>
      </c>
      <c r="E97" s="288" t="s">
        <v>519</v>
      </c>
      <c r="F97" s="288" t="s">
        <v>519</v>
      </c>
      <c r="G97" s="288" t="s">
        <v>519</v>
      </c>
      <c r="H97" s="165"/>
    </row>
    <row r="98" spans="2:8" ht="16.5">
      <c r="B98" s="31" t="s">
        <v>521</v>
      </c>
      <c r="C98" s="31" t="s">
        <v>514</v>
      </c>
      <c r="D98" s="573" t="s">
        <v>518</v>
      </c>
      <c r="E98" s="288" t="s">
        <v>519</v>
      </c>
      <c r="F98" s="288" t="s">
        <v>519</v>
      </c>
      <c r="G98" s="288" t="s">
        <v>519</v>
      </c>
      <c r="H98" s="165"/>
    </row>
    <row r="99" spans="2:8" ht="16.5">
      <c r="B99" s="31" t="s">
        <v>522</v>
      </c>
      <c r="C99" s="31" t="s">
        <v>514</v>
      </c>
      <c r="D99" s="270" t="s">
        <v>518</v>
      </c>
      <c r="E99" s="288">
        <v>-64.138620000000003</v>
      </c>
      <c r="F99" s="288">
        <v>-66.642140640000008</v>
      </c>
      <c r="G99" s="288">
        <v>-51.479389439999999</v>
      </c>
      <c r="H99" s="31"/>
    </row>
    <row r="100" spans="2:8" ht="16.5">
      <c r="B100" s="31" t="s">
        <v>524</v>
      </c>
      <c r="C100" s="31" t="s">
        <v>514</v>
      </c>
      <c r="D100" s="270" t="s">
        <v>518</v>
      </c>
      <c r="E100" s="288">
        <v>-65.156327543424311</v>
      </c>
      <c r="F100" s="288">
        <v>-62.992693934359799</v>
      </c>
      <c r="G100" s="288">
        <v>-76.720792308825693</v>
      </c>
      <c r="H100" s="31"/>
    </row>
    <row r="101" spans="2:8" ht="16.5">
      <c r="B101" s="31" t="s">
        <v>525</v>
      </c>
      <c r="C101" s="31" t="s">
        <v>514</v>
      </c>
      <c r="D101" s="270" t="s">
        <v>518</v>
      </c>
      <c r="E101" s="288">
        <v>-243.93611525000813</v>
      </c>
      <c r="F101" s="288">
        <v>-249.07161241316618</v>
      </c>
      <c r="G101" s="288">
        <v>-231.09737234211298</v>
      </c>
      <c r="H101" s="31"/>
    </row>
    <row r="102" spans="2:8" ht="16.5">
      <c r="B102" s="31" t="s">
        <v>527</v>
      </c>
      <c r="C102" s="31" t="s">
        <v>514</v>
      </c>
      <c r="D102" s="270" t="s">
        <v>518</v>
      </c>
      <c r="E102" s="288">
        <v>-166.41745957275887</v>
      </c>
      <c r="F102" s="288">
        <v>-169.92098503744856</v>
      </c>
      <c r="G102" s="288">
        <v>-157.65864591103474</v>
      </c>
      <c r="H102" s="31"/>
    </row>
    <row r="103" spans="2:8" ht="16.5">
      <c r="B103" s="31" t="s">
        <v>529</v>
      </c>
      <c r="C103" s="31" t="s">
        <v>514</v>
      </c>
      <c r="D103" s="270" t="s">
        <v>518</v>
      </c>
      <c r="E103" s="288">
        <v>-166.41745957275887</v>
      </c>
      <c r="F103" s="288">
        <v>-169.92098503744856</v>
      </c>
      <c r="G103" s="288">
        <v>-157.65864591103474</v>
      </c>
      <c r="H103" s="31"/>
    </row>
    <row r="104" spans="2:8" ht="16.5">
      <c r="B104" s="31" t="s">
        <v>530</v>
      </c>
      <c r="C104" s="31" t="s">
        <v>514</v>
      </c>
      <c r="D104" s="270" t="s">
        <v>518</v>
      </c>
      <c r="E104" s="288">
        <v>0</v>
      </c>
      <c r="F104" s="288">
        <v>0</v>
      </c>
      <c r="G104" s="288">
        <v>0</v>
      </c>
      <c r="H104" s="31"/>
    </row>
    <row r="105" spans="2:8" ht="16.5">
      <c r="B105" s="31" t="s">
        <v>532</v>
      </c>
      <c r="C105" s="31" t="s">
        <v>514</v>
      </c>
      <c r="D105" s="270" t="s">
        <v>518</v>
      </c>
      <c r="E105" s="288">
        <v>0</v>
      </c>
      <c r="F105" s="288">
        <v>0</v>
      </c>
      <c r="G105" s="288">
        <v>0</v>
      </c>
      <c r="H105" s="31"/>
    </row>
    <row r="106" spans="2:8" ht="16.5">
      <c r="B106" s="31" t="s">
        <v>534</v>
      </c>
      <c r="C106" s="31" t="s">
        <v>514</v>
      </c>
      <c r="D106" s="270" t="s">
        <v>518</v>
      </c>
      <c r="E106" s="288">
        <v>0</v>
      </c>
      <c r="F106" s="288">
        <v>0</v>
      </c>
      <c r="G106" s="288">
        <v>0</v>
      </c>
      <c r="H106" s="31"/>
    </row>
    <row r="107" spans="2:8">
      <c r="D107" s="137"/>
      <c r="E107" s="117"/>
    </row>
    <row r="108" spans="2:8">
      <c r="D108" s="137"/>
      <c r="E108" s="117"/>
    </row>
    <row r="109" spans="2:8" ht="14.45" customHeight="1">
      <c r="B109" s="266"/>
      <c r="C109" s="267"/>
      <c r="D109" s="632" t="s">
        <v>558</v>
      </c>
      <c r="E109" s="636"/>
      <c r="F109" s="636"/>
      <c r="G109" s="636"/>
      <c r="H109" s="637"/>
    </row>
    <row r="110" spans="2:8" ht="28.7" customHeight="1">
      <c r="B110" s="284" t="s">
        <v>505</v>
      </c>
      <c r="C110" s="284" t="s">
        <v>506</v>
      </c>
      <c r="D110" s="282" t="s">
        <v>507</v>
      </c>
      <c r="E110" s="271" t="s">
        <v>508</v>
      </c>
      <c r="F110" s="271" t="s">
        <v>509</v>
      </c>
      <c r="G110" s="272" t="s">
        <v>510</v>
      </c>
      <c r="H110" s="283" t="s">
        <v>511</v>
      </c>
    </row>
    <row r="111" spans="2:8" ht="16.5">
      <c r="B111" s="31" t="s">
        <v>513</v>
      </c>
      <c r="C111" s="31" t="s">
        <v>514</v>
      </c>
      <c r="D111" s="270" t="s">
        <v>518</v>
      </c>
      <c r="E111" s="288">
        <v>1.221220749665328</v>
      </c>
      <c r="F111" s="288">
        <v>1.221220749665328</v>
      </c>
      <c r="G111" s="288">
        <v>1.221220749665328</v>
      </c>
      <c r="H111" s="31"/>
    </row>
    <row r="112" spans="2:8" ht="16.5">
      <c r="B112" s="31" t="s">
        <v>516</v>
      </c>
      <c r="C112" s="31" t="s">
        <v>514</v>
      </c>
      <c r="D112" s="270" t="s">
        <v>518</v>
      </c>
      <c r="E112" s="288">
        <v>0.76823333654718573</v>
      </c>
      <c r="F112" s="288">
        <v>0.76823333654718573</v>
      </c>
      <c r="G112" s="288">
        <v>0.76823333654718573</v>
      </c>
      <c r="H112" s="31"/>
    </row>
    <row r="113" spans="2:15" ht="16.5">
      <c r="B113" s="31" t="s">
        <v>517</v>
      </c>
      <c r="C113" s="31" t="s">
        <v>514</v>
      </c>
      <c r="D113" s="164" t="s">
        <v>518</v>
      </c>
      <c r="E113" s="288" t="s">
        <v>519</v>
      </c>
      <c r="F113" s="288" t="s">
        <v>519</v>
      </c>
      <c r="G113" s="288" t="s">
        <v>519</v>
      </c>
      <c r="H113" s="165"/>
    </row>
    <row r="114" spans="2:15" ht="16.5">
      <c r="B114" s="31" t="s">
        <v>521</v>
      </c>
      <c r="C114" s="31" t="s">
        <v>514</v>
      </c>
      <c r="D114" s="573" t="s">
        <v>518</v>
      </c>
      <c r="E114" s="288" t="s">
        <v>519</v>
      </c>
      <c r="F114" s="288" t="s">
        <v>519</v>
      </c>
      <c r="G114" s="288" t="s">
        <v>519</v>
      </c>
      <c r="H114" s="165"/>
    </row>
    <row r="115" spans="2:15" ht="16.5">
      <c r="B115" s="31" t="s">
        <v>522</v>
      </c>
      <c r="C115" s="31" t="s">
        <v>514</v>
      </c>
      <c r="D115" s="270" t="s">
        <v>518</v>
      </c>
      <c r="E115" s="288">
        <v>1.221220749665328</v>
      </c>
      <c r="F115" s="288">
        <v>1.221220749665328</v>
      </c>
      <c r="G115" s="288">
        <v>1.221220749665328</v>
      </c>
      <c r="H115" s="31"/>
    </row>
    <row r="116" spans="2:15" ht="16.5">
      <c r="B116" s="31" t="s">
        <v>524</v>
      </c>
      <c r="C116" s="31" t="s">
        <v>514</v>
      </c>
      <c r="D116" s="270" t="s">
        <v>518</v>
      </c>
      <c r="E116" s="288">
        <v>0.76823333654718573</v>
      </c>
      <c r="F116" s="288">
        <v>0.76823333654718573</v>
      </c>
      <c r="G116" s="288">
        <v>0.76823333654718573</v>
      </c>
      <c r="H116" s="31"/>
    </row>
    <row r="117" spans="2:15" ht="16.5">
      <c r="B117" s="31" t="s">
        <v>525</v>
      </c>
      <c r="C117" s="31" t="s">
        <v>514</v>
      </c>
      <c r="D117" s="270" t="s">
        <v>518</v>
      </c>
      <c r="E117" s="288">
        <v>0</v>
      </c>
      <c r="F117" s="288">
        <v>0</v>
      </c>
      <c r="G117" s="288">
        <v>0</v>
      </c>
      <c r="H117" s="31"/>
    </row>
    <row r="118" spans="2:15" ht="16.5">
      <c r="B118" s="31" t="s">
        <v>527</v>
      </c>
      <c r="C118" s="31" t="s">
        <v>514</v>
      </c>
      <c r="D118" s="270" t="s">
        <v>518</v>
      </c>
      <c r="E118" s="288">
        <v>0</v>
      </c>
      <c r="F118" s="288">
        <v>0</v>
      </c>
      <c r="G118" s="288">
        <v>0</v>
      </c>
      <c r="H118" s="31"/>
    </row>
    <row r="119" spans="2:15" ht="16.5">
      <c r="B119" s="31" t="s">
        <v>529</v>
      </c>
      <c r="C119" s="31" t="s">
        <v>514</v>
      </c>
      <c r="D119" s="270" t="s">
        <v>518</v>
      </c>
      <c r="E119" s="288">
        <v>0</v>
      </c>
      <c r="F119" s="288">
        <v>0</v>
      </c>
      <c r="G119" s="288">
        <v>0</v>
      </c>
      <c r="H119" s="31"/>
    </row>
    <row r="120" spans="2:15" ht="16.5">
      <c r="B120" s="31" t="s">
        <v>530</v>
      </c>
      <c r="C120" s="31" t="s">
        <v>514</v>
      </c>
      <c r="D120" s="270" t="s">
        <v>518</v>
      </c>
      <c r="E120" s="288">
        <v>0</v>
      </c>
      <c r="F120" s="288">
        <v>0</v>
      </c>
      <c r="G120" s="288">
        <v>0</v>
      </c>
      <c r="H120" s="31"/>
    </row>
    <row r="121" spans="2:15" ht="16.5">
      <c r="B121" s="31" t="s">
        <v>532</v>
      </c>
      <c r="C121" s="31" t="s">
        <v>514</v>
      </c>
      <c r="D121" s="270" t="s">
        <v>518</v>
      </c>
      <c r="E121" s="288">
        <v>0</v>
      </c>
      <c r="F121" s="288">
        <v>0</v>
      </c>
      <c r="G121" s="288">
        <v>0</v>
      </c>
      <c r="H121" s="31"/>
    </row>
    <row r="122" spans="2:15" ht="16.5">
      <c r="B122" s="31" t="s">
        <v>534</v>
      </c>
      <c r="C122" s="31" t="s">
        <v>514</v>
      </c>
      <c r="D122" s="270" t="s">
        <v>518</v>
      </c>
      <c r="E122" s="288">
        <v>0</v>
      </c>
      <c r="F122" s="288">
        <v>0</v>
      </c>
      <c r="G122" s="288">
        <v>0</v>
      </c>
      <c r="H122" s="31"/>
      <c r="O122" s="90"/>
    </row>
    <row r="123" spans="2:15">
      <c r="D123" s="137"/>
      <c r="E123" s="117"/>
    </row>
    <row r="124" spans="2:15">
      <c r="D124" s="137"/>
      <c r="E124" s="117"/>
    </row>
    <row r="125" spans="2:15" ht="14.45" customHeight="1">
      <c r="B125" s="266"/>
      <c r="C125" s="267"/>
      <c r="D125" s="632" t="s">
        <v>559</v>
      </c>
      <c r="E125" s="636"/>
      <c r="F125" s="636"/>
      <c r="G125" s="636"/>
      <c r="H125" s="637"/>
    </row>
    <row r="126" spans="2:15" ht="28.7" customHeight="1">
      <c r="B126" s="284" t="s">
        <v>505</v>
      </c>
      <c r="C126" s="284" t="s">
        <v>506</v>
      </c>
      <c r="D126" s="282" t="s">
        <v>507</v>
      </c>
      <c r="E126" s="271" t="s">
        <v>508</v>
      </c>
      <c r="F126" s="271" t="s">
        <v>509</v>
      </c>
      <c r="G126" s="272" t="s">
        <v>510</v>
      </c>
      <c r="H126" s="283" t="s">
        <v>511</v>
      </c>
    </row>
    <row r="127" spans="2:15" ht="16.5">
      <c r="B127" s="31" t="s">
        <v>513</v>
      </c>
      <c r="C127" s="31" t="s">
        <v>514</v>
      </c>
      <c r="D127" s="270" t="s">
        <v>518</v>
      </c>
      <c r="E127" s="288">
        <v>0</v>
      </c>
      <c r="F127" s="288">
        <v>0</v>
      </c>
      <c r="G127" s="288">
        <v>0</v>
      </c>
      <c r="H127" s="31"/>
    </row>
    <row r="128" spans="2:15" ht="16.5">
      <c r="B128" s="31" t="s">
        <v>516</v>
      </c>
      <c r="C128" s="31" t="s">
        <v>514</v>
      </c>
      <c r="D128" s="270" t="s">
        <v>518</v>
      </c>
      <c r="E128" s="288">
        <v>0</v>
      </c>
      <c r="F128" s="288">
        <v>0</v>
      </c>
      <c r="G128" s="288">
        <v>0</v>
      </c>
      <c r="H128" s="31"/>
    </row>
    <row r="129" spans="2:15" ht="16.5">
      <c r="B129" s="31" t="s">
        <v>517</v>
      </c>
      <c r="C129" s="31" t="s">
        <v>514</v>
      </c>
      <c r="D129" s="164" t="s">
        <v>518</v>
      </c>
      <c r="E129" s="288" t="s">
        <v>519</v>
      </c>
      <c r="F129" s="288" t="s">
        <v>519</v>
      </c>
      <c r="G129" s="288" t="s">
        <v>519</v>
      </c>
      <c r="H129" s="165"/>
    </row>
    <row r="130" spans="2:15" ht="16.5">
      <c r="B130" s="31" t="s">
        <v>521</v>
      </c>
      <c r="C130" s="31" t="s">
        <v>514</v>
      </c>
      <c r="D130" s="573" t="s">
        <v>518</v>
      </c>
      <c r="E130" s="288" t="s">
        <v>519</v>
      </c>
      <c r="F130" s="288" t="s">
        <v>519</v>
      </c>
      <c r="G130" s="288" t="s">
        <v>519</v>
      </c>
      <c r="H130" s="165"/>
    </row>
    <row r="131" spans="2:15" ht="16.5">
      <c r="B131" s="31" t="s">
        <v>522</v>
      </c>
      <c r="C131" s="31" t="s">
        <v>514</v>
      </c>
      <c r="D131" s="270" t="s">
        <v>518</v>
      </c>
      <c r="E131" s="288">
        <v>0</v>
      </c>
      <c r="F131" s="288">
        <v>0</v>
      </c>
      <c r="G131" s="288">
        <v>0</v>
      </c>
      <c r="H131" s="31"/>
    </row>
    <row r="132" spans="2:15" ht="16.5">
      <c r="B132" s="31" t="s">
        <v>524</v>
      </c>
      <c r="C132" s="31" t="s">
        <v>514</v>
      </c>
      <c r="D132" s="270" t="s">
        <v>518</v>
      </c>
      <c r="E132" s="288">
        <v>0</v>
      </c>
      <c r="F132" s="288">
        <v>0</v>
      </c>
      <c r="G132" s="288">
        <v>0</v>
      </c>
      <c r="H132" s="31"/>
    </row>
    <row r="133" spans="2:15" ht="16.5">
      <c r="B133" s="31" t="s">
        <v>560</v>
      </c>
      <c r="C133" s="31" t="s">
        <v>514</v>
      </c>
      <c r="D133" s="270" t="s">
        <v>518</v>
      </c>
      <c r="E133" s="288">
        <v>0</v>
      </c>
      <c r="F133" s="288">
        <v>0</v>
      </c>
      <c r="G133" s="288">
        <v>0</v>
      </c>
      <c r="H133" s="31"/>
    </row>
    <row r="134" spans="2:15" ht="16.5">
      <c r="B134" s="31" t="s">
        <v>527</v>
      </c>
      <c r="C134" s="31" t="s">
        <v>514</v>
      </c>
      <c r="D134" s="270" t="s">
        <v>518</v>
      </c>
      <c r="E134" s="288">
        <v>0</v>
      </c>
      <c r="F134" s="288">
        <v>0</v>
      </c>
      <c r="G134" s="288">
        <v>0</v>
      </c>
      <c r="H134" s="31"/>
    </row>
    <row r="135" spans="2:15" ht="16.5">
      <c r="B135" s="31" t="s">
        <v>529</v>
      </c>
      <c r="C135" s="31" t="s">
        <v>514</v>
      </c>
      <c r="D135" s="270" t="s">
        <v>518</v>
      </c>
      <c r="E135" s="288">
        <v>9.2614584079701014</v>
      </c>
      <c r="F135" s="288">
        <v>9.2614584079701086</v>
      </c>
      <c r="G135" s="288">
        <v>9.2614584079701086</v>
      </c>
      <c r="H135" s="31" t="s">
        <v>561</v>
      </c>
    </row>
    <row r="136" spans="2:15" ht="16.5">
      <c r="B136" s="31" t="s">
        <v>530</v>
      </c>
      <c r="C136" s="31" t="s">
        <v>514</v>
      </c>
      <c r="D136" s="270" t="s">
        <v>518</v>
      </c>
      <c r="E136" s="288">
        <v>0</v>
      </c>
      <c r="F136" s="288">
        <v>0</v>
      </c>
      <c r="G136" s="288">
        <v>0</v>
      </c>
      <c r="H136" s="31"/>
    </row>
    <row r="137" spans="2:15" ht="16.5">
      <c r="B137" s="31" t="s">
        <v>532</v>
      </c>
      <c r="C137" s="31" t="s">
        <v>514</v>
      </c>
      <c r="D137" s="270" t="s">
        <v>518</v>
      </c>
      <c r="E137" s="288">
        <v>0</v>
      </c>
      <c r="F137" s="288">
        <v>0</v>
      </c>
      <c r="G137" s="288">
        <v>0</v>
      </c>
      <c r="H137" s="31"/>
    </row>
    <row r="138" spans="2:15" ht="16.5">
      <c r="B138" s="31" t="s">
        <v>534</v>
      </c>
      <c r="C138" s="31" t="s">
        <v>514</v>
      </c>
      <c r="D138" s="270" t="s">
        <v>518</v>
      </c>
      <c r="E138" s="288">
        <v>0</v>
      </c>
      <c r="F138" s="288">
        <v>0</v>
      </c>
      <c r="G138" s="288">
        <v>0</v>
      </c>
      <c r="H138" s="31"/>
      <c r="O138" s="90"/>
    </row>
    <row r="139" spans="2:15">
      <c r="O139" s="171"/>
    </row>
    <row r="140" spans="2:15">
      <c r="O140" s="171"/>
    </row>
    <row r="141" spans="2:15" ht="14.45" customHeight="1">
      <c r="B141" s="266"/>
      <c r="C141" s="267"/>
      <c r="D141" s="632" t="s">
        <v>562</v>
      </c>
      <c r="E141" s="636"/>
      <c r="F141" s="636"/>
      <c r="G141" s="636"/>
      <c r="H141" s="637"/>
      <c r="O141" s="171"/>
    </row>
    <row r="142" spans="2:15" ht="28.7" customHeight="1">
      <c r="B142" s="284" t="s">
        <v>505</v>
      </c>
      <c r="C142" s="284" t="s">
        <v>506</v>
      </c>
      <c r="D142" s="285" t="s">
        <v>507</v>
      </c>
      <c r="E142" s="286" t="s">
        <v>508</v>
      </c>
      <c r="F142" s="286" t="s">
        <v>509</v>
      </c>
      <c r="G142" s="287" t="s">
        <v>510</v>
      </c>
      <c r="H142" s="283" t="s">
        <v>511</v>
      </c>
      <c r="O142" s="171"/>
    </row>
    <row r="143" spans="2:15" ht="16.5">
      <c r="B143" s="31" t="s">
        <v>513</v>
      </c>
      <c r="C143" s="31" t="s">
        <v>514</v>
      </c>
      <c r="D143" s="270" t="s">
        <v>563</v>
      </c>
      <c r="E143" s="288">
        <v>22.111930841155633</v>
      </c>
      <c r="F143" s="288">
        <v>12.34654537526287</v>
      </c>
      <c r="G143" s="288">
        <v>55.169469447596185</v>
      </c>
      <c r="H143" s="31"/>
      <c r="J143" s="456"/>
      <c r="K143" s="456"/>
      <c r="L143" s="456"/>
      <c r="O143" s="171"/>
    </row>
    <row r="144" spans="2:15" ht="16.5">
      <c r="B144" s="31" t="s">
        <v>516</v>
      </c>
      <c r="C144" s="31" t="s">
        <v>514</v>
      </c>
      <c r="D144" s="270" t="s">
        <v>563</v>
      </c>
      <c r="E144" s="288">
        <v>15.407931807240518</v>
      </c>
      <c r="F144" s="288">
        <v>8.7373330853511124</v>
      </c>
      <c r="G144" s="288">
        <v>33.994624333289565</v>
      </c>
      <c r="H144" s="31"/>
      <c r="J144" s="456"/>
      <c r="K144" s="456"/>
      <c r="L144" s="456"/>
      <c r="O144" s="171"/>
    </row>
    <row r="145" spans="2:15" ht="16.5">
      <c r="B145" s="31" t="s">
        <v>517</v>
      </c>
      <c r="C145" s="31" t="s">
        <v>514</v>
      </c>
      <c r="D145" s="164" t="s">
        <v>563</v>
      </c>
      <c r="E145" s="288" t="s">
        <v>519</v>
      </c>
      <c r="F145" s="288" t="s">
        <v>519</v>
      </c>
      <c r="G145" s="288" t="s">
        <v>519</v>
      </c>
      <c r="H145" s="165"/>
      <c r="J145" s="456"/>
      <c r="K145" s="456"/>
      <c r="L145" s="456"/>
    </row>
    <row r="146" spans="2:15" ht="16.5">
      <c r="B146" s="31" t="s">
        <v>521</v>
      </c>
      <c r="C146" s="31" t="s">
        <v>514</v>
      </c>
      <c r="D146" s="573" t="s">
        <v>563</v>
      </c>
      <c r="E146" s="288" t="s">
        <v>519</v>
      </c>
      <c r="F146" s="288" t="s">
        <v>519</v>
      </c>
      <c r="G146" s="288" t="s">
        <v>519</v>
      </c>
      <c r="H146" s="165"/>
      <c r="J146" s="456"/>
      <c r="K146" s="456"/>
      <c r="L146" s="456"/>
    </row>
    <row r="147" spans="2:15" ht="16.5">
      <c r="B147" s="31" t="s">
        <v>522</v>
      </c>
      <c r="C147" s="31" t="s">
        <v>514</v>
      </c>
      <c r="D147" s="270" t="s">
        <v>563</v>
      </c>
      <c r="E147" s="288">
        <v>-58.096146679925717</v>
      </c>
      <c r="F147" s="288">
        <v>-108.66588153202871</v>
      </c>
      <c r="G147" s="288">
        <v>-19.169353139077472</v>
      </c>
      <c r="H147" s="31"/>
      <c r="J147" s="456"/>
      <c r="K147" s="456"/>
      <c r="L147" s="456"/>
      <c r="O147" s="171"/>
    </row>
    <row r="148" spans="2:15" ht="16.5">
      <c r="B148" s="31" t="s">
        <v>524</v>
      </c>
      <c r="C148" s="31" t="s">
        <v>514</v>
      </c>
      <c r="D148" s="270" t="s">
        <v>563</v>
      </c>
      <c r="E148" s="288">
        <v>-57.293194078059301</v>
      </c>
      <c r="F148" s="288">
        <v>-94.046608197757251</v>
      </c>
      <c r="G148" s="288">
        <v>-43.353534495384032</v>
      </c>
      <c r="H148" s="31"/>
      <c r="J148" s="456"/>
      <c r="K148" s="456"/>
      <c r="L148" s="456"/>
      <c r="O148" s="171"/>
    </row>
    <row r="149" spans="2:15" ht="16.5">
      <c r="B149" s="31" t="s">
        <v>525</v>
      </c>
      <c r="C149" s="31" t="s">
        <v>514</v>
      </c>
      <c r="D149" s="270" t="s">
        <v>563</v>
      </c>
      <c r="E149" s="288">
        <v>-224.03477671712</v>
      </c>
      <c r="F149" s="288">
        <v>-229.83050816887877</v>
      </c>
      <c r="G149" s="288">
        <v>-207.89486236622136</v>
      </c>
      <c r="H149" s="31"/>
      <c r="J149" s="456"/>
      <c r="K149" s="456"/>
      <c r="L149" s="456"/>
      <c r="O149" s="171"/>
    </row>
    <row r="150" spans="2:15" ht="16.5">
      <c r="B150" s="31" t="s">
        <v>527</v>
      </c>
      <c r="C150" s="31" t="s">
        <v>514</v>
      </c>
      <c r="D150" s="270" t="s">
        <v>563</v>
      </c>
      <c r="E150" s="288">
        <v>-151.74944518267677</v>
      </c>
      <c r="F150" s="288">
        <v>-155.25297064736645</v>
      </c>
      <c r="G150" s="288">
        <v>-141.99783437746086</v>
      </c>
      <c r="H150" s="31"/>
      <c r="J150" s="456"/>
      <c r="K150" s="456"/>
      <c r="L150" s="456"/>
      <c r="O150" s="171"/>
    </row>
    <row r="151" spans="2:15" ht="16.5">
      <c r="B151" s="31" t="s">
        <v>529</v>
      </c>
      <c r="C151" s="31" t="s">
        <v>514</v>
      </c>
      <c r="D151" s="270" t="s">
        <v>563</v>
      </c>
      <c r="E151" s="288">
        <v>23.426828051806268</v>
      </c>
      <c r="F151" s="288">
        <v>19.923302587116581</v>
      </c>
      <c r="G151" s="288">
        <v>33.178438857022172</v>
      </c>
      <c r="H151" s="31"/>
      <c r="J151" s="456"/>
      <c r="K151" s="456"/>
      <c r="L151" s="456"/>
      <c r="O151" s="171"/>
    </row>
    <row r="152" spans="2:15" ht="16.5">
      <c r="B152" s="31" t="s">
        <v>530</v>
      </c>
      <c r="C152" s="31" t="s">
        <v>514</v>
      </c>
      <c r="D152" s="270" t="s">
        <v>563</v>
      </c>
      <c r="E152" s="288">
        <v>64.391886890931119</v>
      </c>
      <c r="F152" s="288">
        <v>56.755236890931116</v>
      </c>
      <c r="G152" s="288">
        <v>72.574011890931132</v>
      </c>
      <c r="H152" s="31"/>
      <c r="J152" s="456"/>
      <c r="K152" s="456"/>
      <c r="L152" s="456"/>
      <c r="O152" s="171"/>
    </row>
    <row r="153" spans="2:15" ht="16.5">
      <c r="B153" s="31" t="s">
        <v>532</v>
      </c>
      <c r="C153" s="31" t="s">
        <v>514</v>
      </c>
      <c r="D153" s="270" t="s">
        <v>563</v>
      </c>
      <c r="E153" s="288">
        <v>2.583689093111111E-2</v>
      </c>
      <c r="F153" s="288">
        <v>2.583689093111111E-2</v>
      </c>
      <c r="G153" s="288">
        <v>2.583689093111111E-2</v>
      </c>
      <c r="H153" s="31"/>
      <c r="J153" s="456"/>
      <c r="K153" s="456"/>
      <c r="L153" s="456"/>
      <c r="O153" s="171"/>
    </row>
    <row r="154" spans="2:15" ht="16.5">
      <c r="B154" s="31" t="s">
        <v>534</v>
      </c>
      <c r="C154" s="31" t="s">
        <v>514</v>
      </c>
      <c r="D154" s="270" t="s">
        <v>563</v>
      </c>
      <c r="E154" s="288">
        <v>2.2813521338670211</v>
      </c>
      <c r="F154" s="288">
        <v>2.0137486304678456</v>
      </c>
      <c r="G154" s="288">
        <v>2.5680701732232811</v>
      </c>
      <c r="H154" s="31"/>
      <c r="J154" s="456"/>
      <c r="K154" s="456"/>
      <c r="L154" s="456"/>
      <c r="O154" s="171"/>
    </row>
    <row r="155" spans="2:15">
      <c r="O155" s="171"/>
    </row>
    <row r="156" spans="2:15">
      <c r="O156" s="171"/>
    </row>
    <row r="157" spans="2:15">
      <c r="O157" s="171"/>
    </row>
  </sheetData>
  <dataConsolidate/>
  <customSheetViews>
    <customSheetView guid="{F03309BC-D3FA-4CF2-833B-D6D9A95FE1FB}" showGridLines="0" topLeftCell="A140">
      <selection activeCell="D2" sqref="D2"/>
      <pageMargins left="0" right="0" top="0" bottom="0" header="0" footer="0"/>
      <pageSetup paperSize="9" orientation="portrait" r:id="rId1"/>
    </customSheetView>
    <customSheetView guid="{EECBF9DF-6D77-4263-85DA-71E40216BADD}" showGridLines="0">
      <selection activeCell="D1" sqref="D1"/>
      <pageMargins left="0" right="0" top="0" bottom="0" header="0" footer="0"/>
      <pageSetup paperSize="9" orientation="portrait" r:id="rId2"/>
    </customSheetView>
    <customSheetView guid="{1C16EB38-F785-4168-9938-104594734038}" showGridLines="0">
      <selection activeCell="D1" sqref="D1"/>
      <pageMargins left="0" right="0" top="0" bottom="0" header="0" footer="0"/>
      <pageSetup paperSize="9" orientation="portrait" r:id="rId3"/>
    </customSheetView>
    <customSheetView guid="{0E935136-9A80-44B6-88D5-61E64D742049}" showGridLines="0">
      <selection activeCell="D1" sqref="D1"/>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3F0A4FBA-5323-448F-A023-B3E14C54064C}" showGridLines="0" topLeftCell="A140">
      <selection activeCell="D2" sqref="D2"/>
      <pageMargins left="0" right="0" top="0" bottom="0" header="0" footer="0"/>
      <pageSetup paperSize="9" orientation="portrait" r:id="rId6"/>
    </customSheetView>
    <customSheetView guid="{D97B1299-69D0-4EE0-B673-CCF74742F96B}">
      <selection activeCell="B10" sqref="B10"/>
      <pageMargins left="0" right="0" top="0" bottom="0" header="0" footer="0"/>
      <pageSetup paperSize="9" orientation="portrait" r:id="rId7"/>
    </customSheetView>
    <customSheetView guid="{F468A2FD-7987-4A9D-8BAE-1AACE523607F}" showGridLines="0">
      <selection activeCell="D1" sqref="D1"/>
      <pageMargins left="0" right="0" top="0" bottom="0" header="0" footer="0"/>
      <pageSetup paperSize="9" orientation="portrait" r:id="rId8"/>
    </customSheetView>
    <customSheetView guid="{2D920366-22B2-4182-A65D-0EDBE614FB37}" showGridLines="0">
      <pageMargins left="0" right="0" top="0" bottom="0" header="0" footer="0"/>
      <pageSetup paperSize="9" orientation="portrait" r:id="rId9"/>
    </customSheetView>
  </customSheetViews>
  <dataValidations count="3">
    <dataValidation type="custom" allowBlank="1" showInputMessage="1" showErrorMessage="1" error="Please do not change these values" sqref="D139:H142 H59:H124 D13:H14 D16:D18 H41:H46 G147:G154 D40 D43:D124 G19 D24:E39 H34:H39 E15:F19 H19:H23 H27:H32 E40:E124 D143:F154 F24:G124" xr:uid="{DE8E7085-559A-47B7-9746-BF1F4966AA38}">
      <formula1>"Please do not change these values"</formula1>
    </dataValidation>
    <dataValidation type="custom" allowBlank="1" showInputMessage="1" showErrorMessage="1" error="Please do not change" sqref="B121:C138 H15:H16 D20:G23 H40 G143:G146 D125:H138 G15:G18 D19 D41:D42" xr:uid="{2D8D547A-0B7E-493E-A237-AB2BE9633D08}">
      <formula1>"Please do not change"</formula1>
    </dataValidation>
    <dataValidation type="custom" allowBlank="1" showInputMessage="1" showErrorMessage="1" error="Please do nto change" sqref="D15" xr:uid="{C1EB1373-0E1C-40E2-9CF3-C57BB89CC843}">
      <formula1>"Please do not change"</formula1>
    </dataValidation>
  </dataValidations>
  <pageMargins left="0" right="0" top="0" bottom="0" header="0" footer="0"/>
  <pageSetup paperSize="9" orientation="portrait" r:id="rId10"/>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7E7B9-0C40-408E-8F3A-5990E03B1F9F}">
  <sheetPr codeName="Sheet3">
    <tabColor rgb="FFC7E8FA"/>
  </sheetPr>
  <dimension ref="B1:K408"/>
  <sheetViews>
    <sheetView showGridLines="0" tabSelected="1" topLeftCell="A155" zoomScaleNormal="100" workbookViewId="0">
      <selection activeCell="D186" sqref="D186"/>
    </sheetView>
  </sheetViews>
  <sheetFormatPr defaultRowHeight="14.45" outlineLevelRow="1"/>
  <cols>
    <col min="2" max="2" width="38.7109375" customWidth="1"/>
    <col min="3" max="3" width="22.7109375" customWidth="1"/>
    <col min="4" max="4" width="25.5703125" customWidth="1"/>
    <col min="5" max="5" width="25.42578125" customWidth="1"/>
    <col min="6" max="6" width="22.140625" customWidth="1"/>
    <col min="7" max="7" width="22.42578125" customWidth="1"/>
    <col min="8" max="8" width="13.5703125" customWidth="1"/>
  </cols>
  <sheetData>
    <row r="1" spans="2:11" s="4" customFormat="1"/>
    <row r="2" spans="2:11" s="274" customFormat="1">
      <c r="B2" s="161" t="s">
        <v>564</v>
      </c>
    </row>
    <row r="3" spans="2:11" s="4" customFormat="1">
      <c r="B3" s="127"/>
      <c r="E3" s="10"/>
      <c r="F3" s="10"/>
      <c r="G3" s="10"/>
      <c r="H3" s="10"/>
      <c r="I3" s="10"/>
      <c r="J3" s="10"/>
      <c r="K3" s="10"/>
    </row>
    <row r="4" spans="2:11" s="4" customFormat="1" ht="16.5">
      <c r="B4" s="284" t="s">
        <v>565</v>
      </c>
      <c r="C4" s="626" t="s">
        <v>566</v>
      </c>
      <c r="D4" s="284" t="s">
        <v>567</v>
      </c>
      <c r="E4" s="10"/>
      <c r="F4" s="10"/>
      <c r="G4" s="10"/>
      <c r="H4" s="10"/>
      <c r="I4" s="10"/>
      <c r="J4" s="10"/>
      <c r="K4" s="10"/>
    </row>
    <row r="5" spans="2:11" s="4" customFormat="1" ht="16.5">
      <c r="B5" s="31" t="s">
        <v>568</v>
      </c>
      <c r="C5" s="625">
        <v>1</v>
      </c>
      <c r="D5" s="31" t="s">
        <v>569</v>
      </c>
      <c r="E5" s="10"/>
      <c r="F5" s="10"/>
      <c r="G5" s="10"/>
      <c r="H5" s="10"/>
      <c r="I5" s="10"/>
      <c r="J5" s="10"/>
      <c r="K5" s="10"/>
    </row>
    <row r="6" spans="2:11" s="4" customFormat="1" ht="16.5">
      <c r="B6" s="31" t="s">
        <v>570</v>
      </c>
      <c r="C6" s="625">
        <v>28</v>
      </c>
      <c r="D6" s="31" t="s">
        <v>569</v>
      </c>
      <c r="E6" s="10"/>
      <c r="F6" s="10"/>
      <c r="G6" s="10"/>
      <c r="H6" s="10"/>
      <c r="I6" s="10"/>
      <c r="J6" s="10"/>
      <c r="K6" s="10"/>
    </row>
    <row r="7" spans="2:11" s="4" customFormat="1" ht="16.5">
      <c r="B7" s="31" t="s">
        <v>571</v>
      </c>
      <c r="C7" s="625">
        <v>265</v>
      </c>
      <c r="D7" s="31" t="s">
        <v>569</v>
      </c>
    </row>
    <row r="8" spans="2:11" s="4" customFormat="1" ht="16.5">
      <c r="B8" s="31" t="s">
        <v>572</v>
      </c>
      <c r="C8" s="625">
        <v>23500</v>
      </c>
      <c r="D8" s="31" t="s">
        <v>569</v>
      </c>
    </row>
    <row r="9" spans="2:11" s="4" customFormat="1">
      <c r="B9" s="31" t="s">
        <v>573</v>
      </c>
      <c r="C9" s="625">
        <v>12400</v>
      </c>
      <c r="D9" s="31" t="s">
        <v>569</v>
      </c>
    </row>
    <row r="10" spans="2:11" s="4" customFormat="1">
      <c r="B10" s="31" t="s">
        <v>574</v>
      </c>
      <c r="C10" s="625">
        <v>677</v>
      </c>
      <c r="D10" s="31" t="s">
        <v>569</v>
      </c>
    </row>
    <row r="11" spans="2:11" s="4" customFormat="1">
      <c r="B11" s="31" t="s">
        <v>575</v>
      </c>
      <c r="C11" s="625">
        <v>116</v>
      </c>
      <c r="D11" s="31" t="s">
        <v>569</v>
      </c>
    </row>
    <row r="12" spans="2:11" s="4" customFormat="1">
      <c r="B12" s="31" t="s">
        <v>576</v>
      </c>
      <c r="C12" s="625">
        <v>3170</v>
      </c>
      <c r="D12" s="31" t="s">
        <v>569</v>
      </c>
    </row>
    <row r="13" spans="2:11" s="4" customFormat="1">
      <c r="B13" s="31" t="s">
        <v>577</v>
      </c>
      <c r="C13" s="625">
        <v>1120</v>
      </c>
      <c r="D13" s="31" t="s">
        <v>569</v>
      </c>
    </row>
    <row r="14" spans="2:11" s="4" customFormat="1">
      <c r="B14" s="31" t="s">
        <v>578</v>
      </c>
      <c r="C14" s="625">
        <v>1300</v>
      </c>
      <c r="D14" s="31" t="s">
        <v>569</v>
      </c>
    </row>
    <row r="15" spans="2:11" s="4" customFormat="1">
      <c r="B15" s="31" t="s">
        <v>579</v>
      </c>
      <c r="C15" s="625">
        <v>328</v>
      </c>
      <c r="D15" s="31" t="s">
        <v>569</v>
      </c>
    </row>
    <row r="16" spans="2:11" s="4" customFormat="1">
      <c r="B16" s="31" t="s">
        <v>580</v>
      </c>
      <c r="C16" s="625">
        <v>4800</v>
      </c>
      <c r="D16" s="31" t="s">
        <v>569</v>
      </c>
    </row>
    <row r="17" spans="2:4" s="4" customFormat="1">
      <c r="B17" s="31" t="s">
        <v>581</v>
      </c>
      <c r="C17" s="625">
        <v>16</v>
      </c>
      <c r="D17" s="31" t="s">
        <v>569</v>
      </c>
    </row>
    <row r="18" spans="2:4" s="4" customFormat="1">
      <c r="B18" s="31" t="s">
        <v>582</v>
      </c>
      <c r="C18" s="625">
        <v>138</v>
      </c>
      <c r="D18" s="31" t="s">
        <v>569</v>
      </c>
    </row>
    <row r="19" spans="2:4" s="4" customFormat="1">
      <c r="B19" s="31" t="s">
        <v>583</v>
      </c>
      <c r="C19" s="625">
        <v>4</v>
      </c>
      <c r="D19" s="31" t="s">
        <v>569</v>
      </c>
    </row>
    <row r="20" spans="2:4" s="4" customFormat="1">
      <c r="B20" s="31" t="s">
        <v>584</v>
      </c>
      <c r="C20" s="625">
        <v>3350</v>
      </c>
      <c r="D20" s="31" t="s">
        <v>569</v>
      </c>
    </row>
    <row r="21" spans="2:4" s="4" customFormat="1">
      <c r="B21" s="31" t="s">
        <v>585</v>
      </c>
      <c r="C21" s="625">
        <v>1210</v>
      </c>
      <c r="D21" s="31" t="s">
        <v>569</v>
      </c>
    </row>
    <row r="22" spans="2:4" s="4" customFormat="1">
      <c r="B22" s="31" t="s">
        <v>586</v>
      </c>
      <c r="C22" s="625">
        <v>1330</v>
      </c>
      <c r="D22" s="31" t="s">
        <v>569</v>
      </c>
    </row>
    <row r="23" spans="2:4" s="4" customFormat="1">
      <c r="B23" s="31" t="s">
        <v>587</v>
      </c>
      <c r="C23" s="625">
        <v>8060</v>
      </c>
      <c r="D23" s="31" t="s">
        <v>569</v>
      </c>
    </row>
    <row r="24" spans="2:4" s="4" customFormat="1">
      <c r="B24" s="31" t="s">
        <v>588</v>
      </c>
      <c r="C24" s="625">
        <v>716</v>
      </c>
      <c r="D24" s="31" t="s">
        <v>569</v>
      </c>
    </row>
    <row r="25" spans="2:4" s="4" customFormat="1">
      <c r="B25" s="31" t="s">
        <v>589</v>
      </c>
      <c r="C25" s="625">
        <v>858</v>
      </c>
      <c r="D25" s="31" t="s">
        <v>569</v>
      </c>
    </row>
    <row r="26" spans="2:4" s="4" customFormat="1">
      <c r="B26" s="31" t="s">
        <v>590</v>
      </c>
      <c r="C26" s="625">
        <v>804</v>
      </c>
      <c r="D26" s="31" t="s">
        <v>569</v>
      </c>
    </row>
    <row r="27" spans="2:4" s="4" customFormat="1">
      <c r="B27" s="31" t="s">
        <v>591</v>
      </c>
      <c r="C27" s="625">
        <v>1650</v>
      </c>
      <c r="D27" s="31" t="s">
        <v>569</v>
      </c>
    </row>
    <row r="28" spans="2:4" s="4" customFormat="1"/>
    <row r="29" spans="2:4" s="4" customFormat="1"/>
    <row r="30" spans="2:4" s="274" customFormat="1">
      <c r="B30" s="161" t="s">
        <v>592</v>
      </c>
    </row>
    <row r="31" spans="2:4">
      <c r="B31" s="28"/>
    </row>
    <row r="32" spans="2:4" s="4" customFormat="1" ht="16.5">
      <c r="B32" s="284" t="s">
        <v>593</v>
      </c>
      <c r="C32" s="626" t="s">
        <v>594</v>
      </c>
      <c r="D32" s="284" t="s">
        <v>567</v>
      </c>
    </row>
    <row r="33" spans="2:4" s="4" customFormat="1">
      <c r="B33" s="31" t="s">
        <v>422</v>
      </c>
      <c r="C33" s="31">
        <v>12</v>
      </c>
      <c r="D33" s="31" t="s">
        <v>595</v>
      </c>
    </row>
    <row r="34" spans="2:4" s="4" customFormat="1">
      <c r="B34" s="31" t="s">
        <v>443</v>
      </c>
      <c r="C34" s="31">
        <v>13</v>
      </c>
      <c r="D34" s="31" t="s">
        <v>595</v>
      </c>
    </row>
    <row r="35" spans="2:4" s="4" customFormat="1">
      <c r="B35" s="31" t="s">
        <v>461</v>
      </c>
      <c r="C35" s="31">
        <v>55</v>
      </c>
      <c r="D35" s="31" t="s">
        <v>595</v>
      </c>
    </row>
    <row r="36" spans="2:4" s="4" customFormat="1">
      <c r="B36" s="31" t="s">
        <v>468</v>
      </c>
      <c r="C36" s="31">
        <v>0</v>
      </c>
      <c r="D36" s="31" t="s">
        <v>595</v>
      </c>
    </row>
    <row r="37" spans="2:4" s="4" customFormat="1">
      <c r="B37" s="31" t="s">
        <v>472</v>
      </c>
      <c r="C37" s="31">
        <v>0</v>
      </c>
      <c r="D37" s="31" t="s">
        <v>595</v>
      </c>
    </row>
    <row r="40" spans="2:4" s="274" customFormat="1">
      <c r="B40" s="161" t="s">
        <v>596</v>
      </c>
    </row>
    <row r="41" spans="2:4" outlineLevel="1"/>
    <row r="42" spans="2:4" outlineLevel="1">
      <c r="B42" t="s">
        <v>597</v>
      </c>
    </row>
    <row r="43" spans="2:4" outlineLevel="1">
      <c r="B43" t="s">
        <v>598</v>
      </c>
    </row>
    <row r="44" spans="2:4" outlineLevel="1">
      <c r="B44" t="s">
        <v>599</v>
      </c>
    </row>
    <row r="45" spans="2:4" outlineLevel="1">
      <c r="B45" t="s">
        <v>600</v>
      </c>
    </row>
    <row r="46" spans="2:4" outlineLevel="1"/>
    <row r="47" spans="2:4" ht="16.5" outlineLevel="1">
      <c r="B47" s="284" t="s">
        <v>601</v>
      </c>
      <c r="C47" s="284" t="s">
        <v>602</v>
      </c>
    </row>
    <row r="48" spans="2:4" outlineLevel="1">
      <c r="B48" s="31" t="s">
        <v>603</v>
      </c>
      <c r="C48" s="616">
        <v>14.2</v>
      </c>
    </row>
    <row r="49" spans="2:3" outlineLevel="1">
      <c r="B49" s="31" t="s">
        <v>604</v>
      </c>
      <c r="C49" s="579">
        <v>11.7</v>
      </c>
    </row>
    <row r="50" spans="2:3" outlineLevel="1">
      <c r="B50" s="31" t="s">
        <v>605</v>
      </c>
      <c r="C50" s="579">
        <v>9.1</v>
      </c>
    </row>
    <row r="51" spans="2:3" outlineLevel="1">
      <c r="B51" s="31" t="s">
        <v>606</v>
      </c>
      <c r="C51" s="579">
        <v>9.9</v>
      </c>
    </row>
    <row r="52" spans="2:3" outlineLevel="1">
      <c r="B52" s="31" t="s">
        <v>607</v>
      </c>
      <c r="C52" s="579">
        <v>9.6</v>
      </c>
    </row>
    <row r="53" spans="2:3" outlineLevel="1">
      <c r="B53" s="31" t="s">
        <v>608</v>
      </c>
      <c r="C53" s="579">
        <v>4.7</v>
      </c>
    </row>
    <row r="54" spans="2:3" outlineLevel="1">
      <c r="B54" s="31" t="s">
        <v>609</v>
      </c>
      <c r="C54" s="579">
        <v>7.2</v>
      </c>
    </row>
    <row r="55" spans="2:3" outlineLevel="1">
      <c r="B55" s="31" t="s">
        <v>610</v>
      </c>
      <c r="C55" s="579">
        <v>2.4</v>
      </c>
    </row>
    <row r="56" spans="2:3" outlineLevel="1">
      <c r="B56" s="31" t="s">
        <v>611</v>
      </c>
      <c r="C56" s="579">
        <v>3.9</v>
      </c>
    </row>
    <row r="57" spans="2:3" outlineLevel="1">
      <c r="B57" s="31" t="s">
        <v>612</v>
      </c>
      <c r="C57" s="579">
        <v>7.9</v>
      </c>
    </row>
    <row r="58" spans="2:3" outlineLevel="1">
      <c r="B58" s="31" t="s">
        <v>613</v>
      </c>
      <c r="C58" s="579">
        <v>11.7</v>
      </c>
    </row>
    <row r="59" spans="2:3" outlineLevel="1">
      <c r="B59" s="31" t="s">
        <v>614</v>
      </c>
      <c r="C59" s="579">
        <v>14.4</v>
      </c>
    </row>
    <row r="60" spans="2:3" outlineLevel="1">
      <c r="B60" s="31" t="s">
        <v>615</v>
      </c>
      <c r="C60" s="579">
        <v>5.0999999999999996</v>
      </c>
    </row>
    <row r="61" spans="2:3" outlineLevel="1">
      <c r="B61" s="31" t="s">
        <v>616</v>
      </c>
      <c r="C61" s="579">
        <v>7.6</v>
      </c>
    </row>
    <row r="62" spans="2:3" outlineLevel="1">
      <c r="B62" s="31" t="s">
        <v>617</v>
      </c>
      <c r="C62" s="579">
        <v>11.1</v>
      </c>
    </row>
    <row r="63" spans="2:3" outlineLevel="1">
      <c r="B63" s="31" t="s">
        <v>618</v>
      </c>
      <c r="C63" s="579">
        <v>6.9</v>
      </c>
    </row>
    <row r="64" spans="2:3" outlineLevel="1">
      <c r="B64" s="31" t="s">
        <v>619</v>
      </c>
      <c r="C64" s="579">
        <v>14.7</v>
      </c>
    </row>
    <row r="65" spans="2:3" outlineLevel="1">
      <c r="B65" s="31" t="s">
        <v>620</v>
      </c>
      <c r="C65" s="579">
        <v>3.4</v>
      </c>
    </row>
    <row r="66" spans="2:3" outlineLevel="1">
      <c r="B66" s="31" t="s">
        <v>621</v>
      </c>
      <c r="C66" s="579">
        <v>13.7</v>
      </c>
    </row>
    <row r="67" spans="2:3" outlineLevel="1">
      <c r="B67" s="31" t="s">
        <v>622</v>
      </c>
      <c r="C67" s="579">
        <v>5.9</v>
      </c>
    </row>
    <row r="68" spans="2:3" outlineLevel="1">
      <c r="B68" s="31" t="s">
        <v>623</v>
      </c>
      <c r="C68" s="579">
        <v>4.8</v>
      </c>
    </row>
    <row r="69" spans="2:3" outlineLevel="1">
      <c r="B69" s="31" t="s">
        <v>624</v>
      </c>
      <c r="C69" s="579">
        <v>10</v>
      </c>
    </row>
    <row r="70" spans="2:3" outlineLevel="1">
      <c r="B70" s="31" t="s">
        <v>625</v>
      </c>
      <c r="C70" s="579">
        <v>8.6</v>
      </c>
    </row>
    <row r="71" spans="2:3" outlineLevel="1">
      <c r="B71" s="31" t="s">
        <v>626</v>
      </c>
      <c r="C71" s="579">
        <v>7.7</v>
      </c>
    </row>
    <row r="72" spans="2:3" outlineLevel="1">
      <c r="B72" s="31" t="s">
        <v>627</v>
      </c>
      <c r="C72" s="579">
        <v>2.6</v>
      </c>
    </row>
    <row r="73" spans="2:3" outlineLevel="1">
      <c r="B73" s="31" t="s">
        <v>628</v>
      </c>
      <c r="C73" s="579">
        <v>9.6</v>
      </c>
    </row>
    <row r="74" spans="2:3" outlineLevel="1">
      <c r="B74" s="31" t="s">
        <v>629</v>
      </c>
      <c r="C74" s="579">
        <v>7.2</v>
      </c>
    </row>
    <row r="75" spans="2:3" outlineLevel="1">
      <c r="B75" s="31" t="s">
        <v>630</v>
      </c>
      <c r="C75" s="579">
        <v>8.4</v>
      </c>
    </row>
    <row r="76" spans="2:3" outlineLevel="1">
      <c r="B76" s="31" t="s">
        <v>631</v>
      </c>
      <c r="C76" s="579">
        <v>7.3</v>
      </c>
    </row>
    <row r="77" spans="2:3" outlineLevel="1">
      <c r="B77" s="31" t="s">
        <v>632</v>
      </c>
      <c r="C77" s="579">
        <v>17.5</v>
      </c>
    </row>
    <row r="78" spans="2:3" outlineLevel="1">
      <c r="B78" s="31" t="s">
        <v>633</v>
      </c>
      <c r="C78" s="579">
        <v>5.8</v>
      </c>
    </row>
    <row r="79" spans="2:3" outlineLevel="1">
      <c r="B79" s="31" t="s">
        <v>634</v>
      </c>
      <c r="C79" s="579">
        <v>54.1</v>
      </c>
    </row>
    <row r="80" spans="2:3" outlineLevel="1">
      <c r="B80" s="31" t="s">
        <v>635</v>
      </c>
      <c r="C80" s="579">
        <v>10</v>
      </c>
    </row>
    <row r="81" spans="2:3" outlineLevel="1">
      <c r="B81" s="31" t="s">
        <v>636</v>
      </c>
      <c r="C81" s="579">
        <v>12.5</v>
      </c>
    </row>
    <row r="82" spans="2:3" outlineLevel="1">
      <c r="B82" s="31" t="s">
        <v>637</v>
      </c>
      <c r="C82" s="579">
        <v>15.6</v>
      </c>
    </row>
    <row r="83" spans="2:3" outlineLevel="1">
      <c r="B83" s="31" t="s">
        <v>638</v>
      </c>
      <c r="C83" s="579">
        <v>10.3</v>
      </c>
    </row>
    <row r="84" spans="2:3" outlineLevel="1">
      <c r="B84" s="31" t="s">
        <v>639</v>
      </c>
      <c r="C84" s="579">
        <v>3.8</v>
      </c>
    </row>
    <row r="85" spans="2:3" outlineLevel="1">
      <c r="B85" s="31" t="s">
        <v>640</v>
      </c>
      <c r="C85" s="579">
        <v>5.4</v>
      </c>
    </row>
    <row r="86" spans="2:3" outlineLevel="1">
      <c r="B86" s="31" t="s">
        <v>641</v>
      </c>
      <c r="C86" s="579">
        <v>22.4</v>
      </c>
    </row>
    <row r="87" spans="2:3" outlineLevel="1">
      <c r="B87" s="31" t="s">
        <v>642</v>
      </c>
      <c r="C87" s="579">
        <v>10.3</v>
      </c>
    </row>
    <row r="88" spans="2:3" outlineLevel="1">
      <c r="B88" s="31" t="s">
        <v>643</v>
      </c>
      <c r="C88" s="579">
        <v>3.6</v>
      </c>
    </row>
    <row r="89" spans="2:3" outlineLevel="1">
      <c r="B89" s="31" t="s">
        <v>644</v>
      </c>
      <c r="C89" s="579">
        <v>10.8</v>
      </c>
    </row>
    <row r="90" spans="2:3" outlineLevel="1">
      <c r="B90" s="31" t="s">
        <v>645</v>
      </c>
      <c r="C90" s="579">
        <v>10.6</v>
      </c>
    </row>
    <row r="91" spans="2:3" outlineLevel="1">
      <c r="B91" s="31" t="s">
        <v>646</v>
      </c>
      <c r="C91" s="579">
        <v>10.7</v>
      </c>
    </row>
    <row r="92" spans="2:3" outlineLevel="1">
      <c r="B92" s="31" t="s">
        <v>647</v>
      </c>
      <c r="C92" s="579">
        <v>8</v>
      </c>
    </row>
    <row r="93" spans="2:3" outlineLevel="1">
      <c r="B93" s="31" t="s">
        <v>648</v>
      </c>
      <c r="C93" s="579">
        <v>7.6</v>
      </c>
    </row>
    <row r="94" spans="2:3" outlineLevel="1">
      <c r="B94" s="31" t="s">
        <v>649</v>
      </c>
      <c r="C94" s="579">
        <v>5.5</v>
      </c>
    </row>
    <row r="95" spans="2:3" outlineLevel="1">
      <c r="B95" s="31" t="s">
        <v>650</v>
      </c>
      <c r="C95" s="579">
        <v>7.1</v>
      </c>
    </row>
    <row r="96" spans="2:3" outlineLevel="1">
      <c r="B96" s="31" t="s">
        <v>651</v>
      </c>
      <c r="C96" s="579">
        <v>12.7</v>
      </c>
    </row>
    <row r="97" spans="2:3" outlineLevel="1">
      <c r="B97" s="31" t="s">
        <v>652</v>
      </c>
      <c r="C97" s="579">
        <v>2.4</v>
      </c>
    </row>
    <row r="98" spans="2:3" outlineLevel="1">
      <c r="B98" s="31" t="s">
        <v>653</v>
      </c>
      <c r="C98" s="579">
        <v>11.2</v>
      </c>
    </row>
    <row r="99" spans="2:3" outlineLevel="1">
      <c r="B99" s="31" t="s">
        <v>654</v>
      </c>
      <c r="C99" s="579">
        <v>12.1</v>
      </c>
    </row>
    <row r="100" spans="2:3" outlineLevel="1">
      <c r="B100" s="31" t="s">
        <v>655</v>
      </c>
      <c r="C100" s="579">
        <v>13.9</v>
      </c>
    </row>
    <row r="101" spans="2:3" outlineLevel="1">
      <c r="B101" s="31" t="s">
        <v>656</v>
      </c>
      <c r="C101" s="579">
        <v>10.4</v>
      </c>
    </row>
    <row r="102" spans="2:3" outlineLevel="1">
      <c r="B102" s="31" t="s">
        <v>657</v>
      </c>
      <c r="C102" s="579">
        <v>34.700000000000003</v>
      </c>
    </row>
    <row r="103" spans="2:3" outlineLevel="1">
      <c r="B103" s="31" t="s">
        <v>658</v>
      </c>
      <c r="C103" s="579">
        <v>7.4</v>
      </c>
    </row>
    <row r="104" spans="2:3" outlineLevel="1">
      <c r="B104" s="31" t="s">
        <v>659</v>
      </c>
      <c r="C104" s="579">
        <v>6.1</v>
      </c>
    </row>
    <row r="105" spans="2:3" outlineLevel="1">
      <c r="B105" s="31" t="s">
        <v>660</v>
      </c>
      <c r="C105" s="579">
        <v>13.1</v>
      </c>
    </row>
    <row r="106" spans="2:3" outlineLevel="1">
      <c r="B106" s="31" t="s">
        <v>661</v>
      </c>
      <c r="C106" s="579">
        <v>12.5</v>
      </c>
    </row>
    <row r="107" spans="2:3" outlineLevel="1">
      <c r="B107" s="31" t="s">
        <v>662</v>
      </c>
      <c r="C107" s="579">
        <v>2.7</v>
      </c>
    </row>
    <row r="108" spans="2:3" outlineLevel="1">
      <c r="B108" s="31" t="s">
        <v>663</v>
      </c>
      <c r="C108" s="579">
        <v>32.6</v>
      </c>
    </row>
    <row r="109" spans="2:3" outlineLevel="1">
      <c r="B109" s="31" t="s">
        <v>664</v>
      </c>
      <c r="C109" s="579">
        <v>7.6</v>
      </c>
    </row>
    <row r="110" spans="2:3" outlineLevel="1">
      <c r="B110" s="31" t="s">
        <v>665</v>
      </c>
      <c r="C110" s="579">
        <v>8.1999999999999993</v>
      </c>
    </row>
    <row r="111" spans="2:3" outlineLevel="1">
      <c r="B111" s="31" t="s">
        <v>666</v>
      </c>
      <c r="C111" s="579">
        <v>15.6</v>
      </c>
    </row>
    <row r="112" spans="2:3" outlineLevel="1">
      <c r="B112" s="31" t="s">
        <v>667</v>
      </c>
      <c r="C112" s="579">
        <v>4.5</v>
      </c>
    </row>
    <row r="113" spans="2:3" outlineLevel="1">
      <c r="B113" s="31" t="s">
        <v>668</v>
      </c>
      <c r="C113" s="579">
        <v>25</v>
      </c>
    </row>
    <row r="114" spans="2:3" outlineLevel="1">
      <c r="B114" s="31" t="s">
        <v>669</v>
      </c>
      <c r="C114" s="579">
        <v>8.6999999999999993</v>
      </c>
    </row>
    <row r="115" spans="2:3" outlineLevel="1">
      <c r="B115" s="31" t="s">
        <v>670</v>
      </c>
      <c r="C115" s="579">
        <v>9.6999999999999993</v>
      </c>
    </row>
    <row r="116" spans="2:3" outlineLevel="1">
      <c r="B116" s="31" t="s">
        <v>671</v>
      </c>
      <c r="C116" s="579">
        <v>17.100000000000001</v>
      </c>
    </row>
    <row r="117" spans="2:3" outlineLevel="1">
      <c r="B117" s="31" t="s">
        <v>672</v>
      </c>
      <c r="C117" s="579">
        <v>6.9</v>
      </c>
    </row>
    <row r="118" spans="2:3" outlineLevel="1">
      <c r="B118" s="31" t="s">
        <v>673</v>
      </c>
      <c r="C118" s="579">
        <v>9.3000000000000007</v>
      </c>
    </row>
    <row r="119" spans="2:3" outlineLevel="1">
      <c r="B119" s="31" t="s">
        <v>674</v>
      </c>
      <c r="C119" s="579">
        <v>8.8000000000000007</v>
      </c>
    </row>
    <row r="120" spans="2:3" outlineLevel="1">
      <c r="B120" s="31" t="s">
        <v>675</v>
      </c>
      <c r="C120" s="579">
        <v>4.8</v>
      </c>
    </row>
    <row r="121" spans="2:3" outlineLevel="1">
      <c r="B121" s="31" t="s">
        <v>676</v>
      </c>
      <c r="C121" s="579">
        <v>4.0999999999999996</v>
      </c>
    </row>
    <row r="122" spans="2:3" outlineLevel="1">
      <c r="B122" s="31" t="s">
        <v>677</v>
      </c>
      <c r="C122" s="579">
        <v>8.4</v>
      </c>
    </row>
    <row r="123" spans="2:3" outlineLevel="1">
      <c r="B123" s="31" t="s">
        <v>678</v>
      </c>
      <c r="C123" s="579">
        <v>15.8</v>
      </c>
    </row>
    <row r="124" spans="2:3" outlineLevel="1">
      <c r="B124" s="31" t="s">
        <v>679</v>
      </c>
      <c r="C124" s="579">
        <v>16.5</v>
      </c>
    </row>
    <row r="125" spans="2:3" outlineLevel="1">
      <c r="B125" s="31" t="s">
        <v>680</v>
      </c>
      <c r="C125" s="579">
        <v>11.3</v>
      </c>
    </row>
    <row r="126" spans="2:3" outlineLevel="1">
      <c r="B126" s="31" t="s">
        <v>681</v>
      </c>
      <c r="C126" s="579">
        <v>12.4</v>
      </c>
    </row>
    <row r="127" spans="2:3" outlineLevel="1"/>
    <row r="129" spans="2:5" s="274" customFormat="1" ht="15" customHeight="1">
      <c r="B129" s="161" t="s">
        <v>682</v>
      </c>
    </row>
    <row r="130" spans="2:5" outlineLevel="1"/>
    <row r="131" spans="2:5" outlineLevel="1">
      <c r="B131" t="s">
        <v>683</v>
      </c>
    </row>
    <row r="132" spans="2:5" outlineLevel="1">
      <c r="B132" t="s">
        <v>684</v>
      </c>
    </row>
    <row r="133" spans="2:5" ht="14.45" customHeight="1" outlineLevel="1">
      <c r="B133" t="s">
        <v>685</v>
      </c>
    </row>
    <row r="134" spans="2:5" ht="14.45" customHeight="1" outlineLevel="1"/>
    <row r="135" spans="2:5" ht="16.5" outlineLevel="1">
      <c r="B135" s="284" t="s">
        <v>686</v>
      </c>
      <c r="C135" s="609" t="s">
        <v>687</v>
      </c>
      <c r="D135" s="609" t="s">
        <v>688</v>
      </c>
      <c r="E135" s="284" t="s">
        <v>689</v>
      </c>
    </row>
    <row r="136" spans="2:5" outlineLevel="1">
      <c r="B136" s="31" t="s">
        <v>690</v>
      </c>
      <c r="C136" s="579">
        <v>0</v>
      </c>
      <c r="D136" s="579">
        <v>0</v>
      </c>
      <c r="E136" s="31" t="s">
        <v>691</v>
      </c>
    </row>
    <row r="137" spans="2:5" outlineLevel="1">
      <c r="B137" s="31" t="s">
        <v>692</v>
      </c>
      <c r="C137" s="579">
        <v>0</v>
      </c>
      <c r="D137" s="579">
        <v>0</v>
      </c>
      <c r="E137" s="31" t="s">
        <v>691</v>
      </c>
    </row>
    <row r="138" spans="2:5" outlineLevel="1">
      <c r="B138" s="31" t="s">
        <v>693</v>
      </c>
      <c r="C138" s="579">
        <v>0</v>
      </c>
      <c r="D138" s="579">
        <v>0</v>
      </c>
      <c r="E138" s="31" t="s">
        <v>694</v>
      </c>
    </row>
    <row r="139" spans="2:5" outlineLevel="1">
      <c r="B139" s="31" t="s">
        <v>695</v>
      </c>
      <c r="C139" s="579">
        <v>0</v>
      </c>
      <c r="D139" s="579">
        <v>0</v>
      </c>
      <c r="E139" s="31" t="s">
        <v>696</v>
      </c>
    </row>
    <row r="140" spans="2:5" outlineLevel="1">
      <c r="B140" s="31" t="s">
        <v>697</v>
      </c>
      <c r="C140" s="579">
        <v>0</v>
      </c>
      <c r="D140" s="579">
        <v>0</v>
      </c>
      <c r="E140" s="31" t="s">
        <v>694</v>
      </c>
    </row>
    <row r="141" spans="2:5" outlineLevel="1">
      <c r="B141" s="31" t="s">
        <v>698</v>
      </c>
      <c r="C141" s="579">
        <v>0</v>
      </c>
      <c r="D141" s="579">
        <v>0</v>
      </c>
      <c r="E141" s="31" t="s">
        <v>699</v>
      </c>
    </row>
    <row r="142" spans="2:5" outlineLevel="1">
      <c r="B142" s="31" t="s">
        <v>700</v>
      </c>
      <c r="C142" s="579">
        <v>471.6</v>
      </c>
      <c r="D142" s="579">
        <v>131</v>
      </c>
      <c r="E142" s="31" t="s">
        <v>701</v>
      </c>
    </row>
    <row r="143" spans="2:5" outlineLevel="1">
      <c r="B143" s="31" t="s">
        <v>702</v>
      </c>
      <c r="C143" s="579">
        <v>153.4</v>
      </c>
      <c r="D143" s="579">
        <v>42.6</v>
      </c>
      <c r="E143" s="31" t="s">
        <v>703</v>
      </c>
    </row>
    <row r="144" spans="2:5" outlineLevel="1">
      <c r="B144" s="31" t="s">
        <v>704</v>
      </c>
      <c r="C144" s="579">
        <v>811.1</v>
      </c>
      <c r="D144" s="579">
        <v>225.3</v>
      </c>
      <c r="E144" s="31" t="s">
        <v>705</v>
      </c>
    </row>
    <row r="145" spans="2:7" outlineLevel="1">
      <c r="B145" s="31" t="s">
        <v>706</v>
      </c>
      <c r="C145" s="579">
        <v>1009.8</v>
      </c>
      <c r="D145" s="579">
        <v>280.5</v>
      </c>
      <c r="E145" s="31" t="s">
        <v>707</v>
      </c>
    </row>
    <row r="146" spans="2:7" outlineLevel="1">
      <c r="B146" s="31" t="s">
        <v>708</v>
      </c>
      <c r="C146" s="579">
        <v>247</v>
      </c>
      <c r="D146" s="579">
        <v>68.599999999999994</v>
      </c>
      <c r="E146" s="31" t="s">
        <v>709</v>
      </c>
    </row>
    <row r="147" spans="2:7" outlineLevel="1">
      <c r="B147" s="31" t="s">
        <v>710</v>
      </c>
      <c r="C147" s="579">
        <v>4.43</v>
      </c>
      <c r="D147" s="579">
        <v>1.23</v>
      </c>
      <c r="E147" s="31" t="s">
        <v>711</v>
      </c>
    </row>
    <row r="148" spans="2:7" outlineLevel="1"/>
    <row r="150" spans="2:7" s="274" customFormat="1">
      <c r="B150" s="161" t="s">
        <v>712</v>
      </c>
    </row>
    <row r="151" spans="2:7" outlineLevel="1"/>
    <row r="152" spans="2:7" outlineLevel="1">
      <c r="B152" t="s">
        <v>713</v>
      </c>
    </row>
    <row r="153" spans="2:7" outlineLevel="1">
      <c r="B153" t="s">
        <v>714</v>
      </c>
    </row>
    <row r="154" spans="2:7" outlineLevel="1">
      <c r="B154" t="s">
        <v>715</v>
      </c>
    </row>
    <row r="155" spans="2:7" outlineLevel="1">
      <c r="B155" t="s">
        <v>716</v>
      </c>
    </row>
    <row r="156" spans="2:7" outlineLevel="1">
      <c r="B156" t="s">
        <v>717</v>
      </c>
    </row>
    <row r="157" spans="2:7" outlineLevel="1">
      <c r="B157" t="s">
        <v>718</v>
      </c>
    </row>
    <row r="158" spans="2:7" outlineLevel="1">
      <c r="B158" t="s">
        <v>719</v>
      </c>
    </row>
    <row r="159" spans="2:7" outlineLevel="1"/>
    <row r="160" spans="2:7" ht="30.95" outlineLevel="1">
      <c r="B160" s="284" t="s">
        <v>720</v>
      </c>
      <c r="C160" s="608" t="s">
        <v>721</v>
      </c>
      <c r="D160" s="608" t="s">
        <v>722</v>
      </c>
      <c r="E160" s="608" t="s">
        <v>723</v>
      </c>
      <c r="F160" s="608" t="s">
        <v>724</v>
      </c>
      <c r="G160" s="608" t="s">
        <v>725</v>
      </c>
    </row>
    <row r="161" spans="2:7" outlineLevel="1">
      <c r="B161" s="331">
        <f>Units!U86</f>
        <v>2025</v>
      </c>
      <c r="C161" s="579">
        <f>IF(Initial_questions!$E$17=Units!$AB$84,D161,F161)</f>
        <v>184.26352549619571</v>
      </c>
      <c r="D161" s="579">
        <v>130.91551280016185</v>
      </c>
      <c r="E161" s="579">
        <v>36.365420222267176</v>
      </c>
      <c r="F161" s="579">
        <v>184.26352549619571</v>
      </c>
      <c r="G161" s="579">
        <v>51.184312637832143</v>
      </c>
    </row>
    <row r="162" spans="2:7" outlineLevel="1">
      <c r="B162" s="331">
        <f>Units!U87</f>
        <v>2026</v>
      </c>
      <c r="C162" s="579">
        <f>IF(Initial_questions!$E$17=Units!$AB$84,D162,F162)</f>
        <v>172.31381078150903</v>
      </c>
      <c r="D162" s="579">
        <v>44.596428692009525</v>
      </c>
      <c r="E162" s="579">
        <v>12.387896858891533</v>
      </c>
      <c r="F162" s="579">
        <v>172.31381078150903</v>
      </c>
      <c r="G162" s="579">
        <v>47.864947439308061</v>
      </c>
    </row>
    <row r="163" spans="2:7" outlineLevel="1">
      <c r="B163" s="331">
        <f>Units!U88</f>
        <v>2027</v>
      </c>
      <c r="C163" s="579">
        <f>IF(Initial_questions!$E$17=Units!$AB$84,D163,F163)</f>
        <v>160.36409606682236</v>
      </c>
      <c r="D163" s="579">
        <v>34.64134942052128</v>
      </c>
      <c r="E163" s="579">
        <v>9.6225970612559113</v>
      </c>
      <c r="F163" s="579">
        <v>160.36409606682236</v>
      </c>
      <c r="G163" s="579">
        <v>44.545582240783986</v>
      </c>
    </row>
    <row r="164" spans="2:7" outlineLevel="1">
      <c r="B164" s="331">
        <f>Units!U89</f>
        <v>2028</v>
      </c>
      <c r="C164" s="579">
        <f>IF(Initial_questions!$E$17=Units!$AB$84,D164,F164)</f>
        <v>148.41438135213571</v>
      </c>
      <c r="D164" s="579">
        <v>41.36329206991234</v>
      </c>
      <c r="E164" s="579">
        <v>11.489803352753427</v>
      </c>
      <c r="F164" s="579">
        <v>148.41438135213571</v>
      </c>
      <c r="G164" s="579">
        <v>41.226217042259918</v>
      </c>
    </row>
    <row r="165" spans="2:7" outlineLevel="1">
      <c r="B165" s="331">
        <f>Units!U90</f>
        <v>2029</v>
      </c>
      <c r="C165" s="579">
        <f>IF(Initial_questions!$E$17=Units!$AB$84,D165,F165)</f>
        <v>136.464666637449</v>
      </c>
      <c r="D165" s="579">
        <v>30.342470382140757</v>
      </c>
      <c r="E165" s="579">
        <v>8.4284639950390989</v>
      </c>
      <c r="F165" s="579">
        <v>136.464666637449</v>
      </c>
      <c r="G165" s="579">
        <v>37.906851843735829</v>
      </c>
    </row>
    <row r="166" spans="2:7" outlineLevel="1">
      <c r="B166" s="331">
        <f>Units!U91</f>
        <v>2030</v>
      </c>
      <c r="C166" s="579">
        <f>IF(Initial_questions!$E$17=Units!$AB$84,D166,F166)</f>
        <v>124.51495192276234</v>
      </c>
      <c r="D166" s="579">
        <v>15.676618162847149</v>
      </c>
      <c r="E166" s="579">
        <v>4.3546161563464301</v>
      </c>
      <c r="F166" s="579">
        <v>124.51495192276234</v>
      </c>
      <c r="G166" s="579">
        <v>34.587486645211762</v>
      </c>
    </row>
    <row r="167" spans="2:7" outlineLevel="1">
      <c r="B167" s="331">
        <f>Units!U92</f>
        <v>2031</v>
      </c>
      <c r="C167" s="579">
        <f>IF(Initial_questions!$E$17=Units!$AB$84,D167,F167)</f>
        <v>112.56523720807567</v>
      </c>
      <c r="D167" s="579">
        <v>12.317293197671358</v>
      </c>
      <c r="E167" s="579">
        <v>3.4214703326864884</v>
      </c>
      <c r="F167" s="579">
        <v>112.56523720807567</v>
      </c>
      <c r="G167" s="579">
        <v>31.268121446687687</v>
      </c>
    </row>
    <row r="168" spans="2:7" outlineLevel="1">
      <c r="B168" s="331">
        <f>Units!U93</f>
        <v>2032</v>
      </c>
      <c r="C168" s="579">
        <f>IF(Initial_questions!$E$17=Units!$AB$84,D168,F168)</f>
        <v>100.61552249338899</v>
      </c>
      <c r="D168" s="579">
        <v>7.5152329566302098</v>
      </c>
      <c r="E168" s="579">
        <v>2.0875647101750583</v>
      </c>
      <c r="F168" s="579">
        <v>100.61552249338899</v>
      </c>
      <c r="G168" s="579">
        <v>27.948756248163608</v>
      </c>
    </row>
    <row r="169" spans="2:7" outlineLevel="1">
      <c r="B169" s="331">
        <f>Units!U94</f>
        <v>2033</v>
      </c>
      <c r="C169" s="579">
        <f>IF(Initial_questions!$E$17=Units!$AB$84,D169,F169)</f>
        <v>88.665807778702316</v>
      </c>
      <c r="D169" s="579">
        <v>7.0841453737567921</v>
      </c>
      <c r="E169" s="579">
        <v>1.9678181593768866</v>
      </c>
      <c r="F169" s="579">
        <v>88.665807778702316</v>
      </c>
      <c r="G169" s="579">
        <v>24.62939104963953</v>
      </c>
    </row>
    <row r="170" spans="2:7" outlineLevel="1">
      <c r="B170" s="331">
        <f>Units!U95</f>
        <v>2034</v>
      </c>
      <c r="C170" s="579">
        <f>IF(Initial_questions!$E$17=Units!$AB$84,D170,F170)</f>
        <v>76.716093064015638</v>
      </c>
      <c r="D170" s="579">
        <v>6.7965231803390669</v>
      </c>
      <c r="E170" s="579">
        <v>1.8879231056497408</v>
      </c>
      <c r="F170" s="579">
        <v>76.716093064015638</v>
      </c>
      <c r="G170" s="579">
        <v>21.310025851115455</v>
      </c>
    </row>
    <row r="171" spans="2:7" outlineLevel="1">
      <c r="B171" s="331">
        <f>Units!U96</f>
        <v>2035</v>
      </c>
      <c r="C171" s="579">
        <f>IF(Initial_questions!$E$17=Units!$AB$84,D171,F171)</f>
        <v>64.76637834932896</v>
      </c>
      <c r="D171" s="579">
        <v>6.1824312561330617</v>
      </c>
      <c r="E171" s="579">
        <v>1.7173420155925172</v>
      </c>
      <c r="F171" s="579">
        <v>64.76637834932896</v>
      </c>
      <c r="G171" s="579">
        <v>17.990660652591377</v>
      </c>
    </row>
    <row r="172" spans="2:7" outlineLevel="1">
      <c r="B172" s="331">
        <f>Units!U97</f>
        <v>2036</v>
      </c>
      <c r="C172" s="579">
        <f>IF(Initial_questions!$E$17=Units!$AB$84,D172,F172)</f>
        <v>52.816663634642282</v>
      </c>
      <c r="D172" s="579">
        <v>5.5854543403887229</v>
      </c>
      <c r="E172" s="579">
        <v>1.551515094552423</v>
      </c>
      <c r="F172" s="579">
        <v>52.816663634642282</v>
      </c>
      <c r="G172" s="579">
        <v>14.6712954540673</v>
      </c>
    </row>
    <row r="173" spans="2:7" outlineLevel="1">
      <c r="B173" s="331">
        <f>Units!U98</f>
        <v>2037</v>
      </c>
      <c r="C173" s="579">
        <f>IF(Initial_questions!$E$17=Units!$AB$84,D173,F173)</f>
        <v>40.866948919955632</v>
      </c>
      <c r="D173" s="579">
        <v>4.6465188452685906</v>
      </c>
      <c r="E173" s="579">
        <v>1.290699679241275</v>
      </c>
      <c r="F173" s="579">
        <v>40.866948919955632</v>
      </c>
      <c r="G173" s="579">
        <v>11.35193025554323</v>
      </c>
    </row>
    <row r="174" spans="2:7" outlineLevel="1">
      <c r="B174" s="331">
        <f>Units!U99</f>
        <v>2038</v>
      </c>
      <c r="C174" s="579">
        <f>IF(Initial_questions!$E$17=Units!$AB$84,D174,F174)</f>
        <v>28.917234205268954</v>
      </c>
      <c r="D174" s="579">
        <v>4.6555333272126864</v>
      </c>
      <c r="E174" s="579">
        <v>1.2932037020035241</v>
      </c>
      <c r="F174" s="579">
        <v>28.917234205268954</v>
      </c>
      <c r="G174" s="579">
        <v>8.0325650570191538</v>
      </c>
    </row>
    <row r="175" spans="2:7" outlineLevel="1">
      <c r="B175" s="331">
        <f>Units!U100</f>
        <v>2039</v>
      </c>
      <c r="C175" s="579">
        <f>IF(Initial_questions!$E$17=Units!$AB$84,D175,F175)</f>
        <v>16.967519490582276</v>
      </c>
      <c r="D175" s="579">
        <v>3.8938357508130053</v>
      </c>
      <c r="E175" s="579">
        <v>1.0816210418925014</v>
      </c>
      <c r="F175" s="579">
        <v>16.967519490582276</v>
      </c>
      <c r="G175" s="579">
        <v>4.7131998584950763</v>
      </c>
    </row>
    <row r="176" spans="2:7" outlineLevel="1">
      <c r="B176" s="331">
        <f>Units!U101</f>
        <v>2040</v>
      </c>
      <c r="C176" s="579">
        <f>IF(Initial_questions!$E$17=Units!$AB$84,D176,F176)</f>
        <v>5.0178047758955948</v>
      </c>
      <c r="D176" s="579">
        <v>2.1413728188321235</v>
      </c>
      <c r="E176" s="579">
        <v>0.59482578300892319</v>
      </c>
      <c r="F176" s="579">
        <v>5.0178047758955948</v>
      </c>
      <c r="G176" s="579">
        <v>1.3938346599709985</v>
      </c>
    </row>
    <row r="177" spans="2:7" outlineLevel="1">
      <c r="B177" s="331">
        <f>Units!U102</f>
        <v>2041</v>
      </c>
      <c r="C177" s="579">
        <f>IF(Initial_questions!$E$17=Units!$AB$84,D177,F177)</f>
        <v>0</v>
      </c>
      <c r="D177" s="579">
        <v>2.0938513203849682</v>
      </c>
      <c r="E177" s="579">
        <v>0.58162536677360221</v>
      </c>
      <c r="F177" s="579">
        <v>0</v>
      </c>
      <c r="G177" s="579">
        <v>0</v>
      </c>
    </row>
    <row r="178" spans="2:7" outlineLevel="1">
      <c r="B178" s="331">
        <f>Units!U103</f>
        <v>2042</v>
      </c>
      <c r="C178" s="579">
        <f>IF(Initial_questions!$E$17=Units!$AB$84,D178,F178)</f>
        <v>0</v>
      </c>
      <c r="D178" s="579">
        <v>1.9229204834645484</v>
      </c>
      <c r="E178" s="579">
        <v>0.53414457874015231</v>
      </c>
      <c r="F178" s="579">
        <v>0</v>
      </c>
      <c r="G178" s="579">
        <v>0</v>
      </c>
    </row>
    <row r="179" spans="2:7" outlineLevel="1">
      <c r="B179" s="331">
        <f>Units!U104</f>
        <v>2043</v>
      </c>
      <c r="C179" s="579">
        <f>IF(Initial_questions!$E$17=Units!$AB$84,D179,F179)</f>
        <v>0</v>
      </c>
      <c r="D179" s="579">
        <v>2.0341474648773556</v>
      </c>
      <c r="E179" s="579">
        <v>0.56504096246593216</v>
      </c>
      <c r="F179" s="579">
        <v>0</v>
      </c>
      <c r="G179" s="579">
        <v>0</v>
      </c>
    </row>
    <row r="180" spans="2:7" outlineLevel="1">
      <c r="B180" s="331">
        <f>Units!U105</f>
        <v>2044</v>
      </c>
      <c r="C180" s="579">
        <f>IF(Initial_questions!$E$17=Units!$AB$84,D180,F180)</f>
        <v>0</v>
      </c>
      <c r="D180" s="579">
        <v>2.0759995629268104</v>
      </c>
      <c r="E180" s="579">
        <v>0.57666654525744732</v>
      </c>
      <c r="F180" s="579">
        <v>0</v>
      </c>
      <c r="G180" s="579">
        <v>0</v>
      </c>
    </row>
    <row r="181" spans="2:7" outlineLevel="1">
      <c r="B181" s="331">
        <f>Units!U106</f>
        <v>2045</v>
      </c>
      <c r="C181" s="579">
        <f>IF(Initial_questions!$E$17=Units!$AB$84,D181,F181)</f>
        <v>0</v>
      </c>
      <c r="D181" s="579">
        <v>1.7856504328264191</v>
      </c>
      <c r="E181" s="579">
        <v>0.49601400911844973</v>
      </c>
      <c r="F181" s="579">
        <v>0</v>
      </c>
      <c r="G181" s="579">
        <v>0</v>
      </c>
    </row>
    <row r="182" spans="2:7" outlineLevel="1">
      <c r="B182" s="331">
        <f>Units!U107</f>
        <v>2046</v>
      </c>
      <c r="C182" s="579">
        <f>IF(Initial_questions!$E$17=Units!$AB$84,D182,F182)</f>
        <v>0</v>
      </c>
      <c r="D182" s="579">
        <v>1.6662765605451453</v>
      </c>
      <c r="E182" s="579">
        <v>0.46285460015142921</v>
      </c>
      <c r="F182" s="579">
        <v>0</v>
      </c>
      <c r="G182" s="579">
        <v>0</v>
      </c>
    </row>
    <row r="183" spans="2:7" outlineLevel="1">
      <c r="B183" s="331">
        <f>Units!U108</f>
        <v>2047</v>
      </c>
      <c r="C183" s="579">
        <f>IF(Initial_questions!$E$17=Units!$AB$84,D183,F183)</f>
        <v>0</v>
      </c>
      <c r="D183" s="579">
        <v>1.4906832560572241</v>
      </c>
      <c r="E183" s="579">
        <v>0.41407868223811778</v>
      </c>
      <c r="F183" s="579">
        <v>0</v>
      </c>
      <c r="G183" s="579">
        <v>0</v>
      </c>
    </row>
    <row r="184" spans="2:7" outlineLevel="1">
      <c r="B184" s="331">
        <f>Units!U109</f>
        <v>2048</v>
      </c>
      <c r="C184" s="579">
        <f>IF(Initial_questions!$E$17=Units!$AB$84,D184,F184)</f>
        <v>0</v>
      </c>
      <c r="D184" s="579">
        <v>1.5026280092453803</v>
      </c>
      <c r="E184" s="579">
        <v>0.41739666923482788</v>
      </c>
      <c r="F184" s="579">
        <v>0</v>
      </c>
      <c r="G184" s="579">
        <v>0</v>
      </c>
    </row>
    <row r="185" spans="2:7" outlineLevel="1">
      <c r="B185" s="331">
        <f>Units!U110</f>
        <v>2049</v>
      </c>
      <c r="C185" s="579">
        <f>IF(Initial_questions!$E$17=Units!$AB$84,D185,F185)</f>
        <v>0</v>
      </c>
      <c r="D185" s="579">
        <v>1.3593081344128628</v>
      </c>
      <c r="E185" s="579">
        <v>0.37758559289246191</v>
      </c>
      <c r="F185" s="579">
        <v>0</v>
      </c>
      <c r="G185" s="579">
        <v>0</v>
      </c>
    </row>
    <row r="186" spans="2:7" outlineLevel="1">
      <c r="B186" s="331">
        <f>Units!U111</f>
        <v>2050</v>
      </c>
      <c r="C186" s="579">
        <f>IF(Initial_questions!$E$17=Units!$AB$84,D186,F186)</f>
        <v>0</v>
      </c>
      <c r="D186" s="579">
        <v>1.3354820006381081</v>
      </c>
      <c r="E186" s="579">
        <v>0.37096722239947444</v>
      </c>
      <c r="F186" s="579">
        <v>0</v>
      </c>
      <c r="G186" s="579">
        <v>0</v>
      </c>
    </row>
    <row r="189" spans="2:7" s="274" customFormat="1" ht="15" customHeight="1">
      <c r="B189" s="161" t="s">
        <v>726</v>
      </c>
    </row>
    <row r="190" spans="2:7" outlineLevel="1"/>
    <row r="191" spans="2:7" outlineLevel="1">
      <c r="B191" t="s">
        <v>727</v>
      </c>
    </row>
    <row r="192" spans="2:7" outlineLevel="1">
      <c r="B192" t="s">
        <v>728</v>
      </c>
    </row>
    <row r="193" spans="2:5" outlineLevel="1">
      <c r="B193" t="s">
        <v>729</v>
      </c>
    </row>
    <row r="194" spans="2:5" outlineLevel="1"/>
    <row r="195" spans="2:5" ht="29.1" outlineLevel="1">
      <c r="B195" s="284" t="s">
        <v>730</v>
      </c>
      <c r="C195" s="612" t="s">
        <v>731</v>
      </c>
      <c r="D195" s="609" t="s">
        <v>732</v>
      </c>
      <c r="E195" s="284" t="s">
        <v>689</v>
      </c>
    </row>
    <row r="196" spans="2:5" outlineLevel="1">
      <c r="B196" s="31" t="s">
        <v>733</v>
      </c>
      <c r="C196" s="613">
        <v>0.04</v>
      </c>
      <c r="D196" s="582">
        <v>2.8E-5</v>
      </c>
      <c r="E196" s="31" t="s">
        <v>734</v>
      </c>
    </row>
    <row r="197" spans="2:5" outlineLevel="1">
      <c r="B197" s="31" t="s">
        <v>735</v>
      </c>
      <c r="C197" s="613">
        <v>0.11</v>
      </c>
      <c r="D197" s="582">
        <v>8.2999999999999998E-5</v>
      </c>
      <c r="E197" t="s">
        <v>736</v>
      </c>
    </row>
    <row r="198" spans="2:5" outlineLevel="1">
      <c r="B198" s="31" t="s">
        <v>737</v>
      </c>
      <c r="C198" s="613">
        <v>0.2</v>
      </c>
      <c r="D198" s="581">
        <v>1.3999999999999999E-4</v>
      </c>
      <c r="E198" s="31" t="s">
        <v>734</v>
      </c>
    </row>
    <row r="199" spans="2:5" outlineLevel="1">
      <c r="B199" s="31" t="s">
        <v>738</v>
      </c>
      <c r="C199" s="613">
        <v>0.25</v>
      </c>
      <c r="D199" s="581">
        <v>1.7000000000000001E-4</v>
      </c>
      <c r="E199" s="31" t="s">
        <v>734</v>
      </c>
    </row>
    <row r="200" spans="2:5" outlineLevel="1">
      <c r="B200" s="31" t="s">
        <v>739</v>
      </c>
      <c r="C200" s="613">
        <v>0.04</v>
      </c>
      <c r="D200" s="582">
        <v>2.8E-5</v>
      </c>
      <c r="E200" s="31" t="s">
        <v>734</v>
      </c>
    </row>
    <row r="201" spans="2:5" outlineLevel="1">
      <c r="B201" s="31" t="s">
        <v>740</v>
      </c>
      <c r="C201" s="613">
        <v>5.0000000000000001E-3</v>
      </c>
      <c r="D201" s="582">
        <v>3.4999999999999999E-6</v>
      </c>
      <c r="E201" s="31" t="s">
        <v>734</v>
      </c>
    </row>
    <row r="202" spans="2:5" outlineLevel="1">
      <c r="B202" s="31" t="s">
        <v>741</v>
      </c>
      <c r="C202" s="613">
        <v>6.0000000000000001E-3</v>
      </c>
      <c r="D202" s="582">
        <v>4.1999999999999996E-6</v>
      </c>
      <c r="E202" t="s">
        <v>736</v>
      </c>
    </row>
    <row r="203" spans="2:5" outlineLevel="1">
      <c r="B203" s="31" t="s">
        <v>742</v>
      </c>
      <c r="C203" s="613">
        <v>0.3</v>
      </c>
      <c r="D203" s="581">
        <v>2.1000000000000001E-4</v>
      </c>
      <c r="E203" s="31" t="s">
        <v>736</v>
      </c>
    </row>
    <row r="204" spans="2:5" outlineLevel="1">
      <c r="B204" s="31" t="s">
        <v>743</v>
      </c>
      <c r="C204" s="613">
        <v>0.3</v>
      </c>
      <c r="D204" s="581">
        <v>4.1999999999999998E-5</v>
      </c>
      <c r="E204" s="31" t="s">
        <v>744</v>
      </c>
    </row>
    <row r="205" spans="2:5" outlineLevel="1">
      <c r="B205" s="31" t="s">
        <v>745</v>
      </c>
      <c r="C205" s="614" t="s">
        <v>746</v>
      </c>
      <c r="D205" s="580">
        <v>7.4999999999999997E-2</v>
      </c>
      <c r="E205" t="s">
        <v>736</v>
      </c>
    </row>
    <row r="206" spans="2:5" outlineLevel="1">
      <c r="B206" s="31" t="s">
        <v>747</v>
      </c>
      <c r="C206" s="613">
        <v>0</v>
      </c>
      <c r="D206" s="615">
        <v>0</v>
      </c>
      <c r="E206" s="31" t="s">
        <v>748</v>
      </c>
    </row>
    <row r="207" spans="2:5" outlineLevel="1">
      <c r="B207" s="31" t="s">
        <v>749</v>
      </c>
      <c r="C207" s="613">
        <v>0.3</v>
      </c>
      <c r="D207" s="581">
        <v>2.1000000000000001E-4</v>
      </c>
      <c r="E207" s="31" t="s">
        <v>750</v>
      </c>
    </row>
    <row r="208" spans="2:5" outlineLevel="1">
      <c r="B208" s="31" t="s">
        <v>751</v>
      </c>
      <c r="C208" s="613">
        <v>0.3</v>
      </c>
      <c r="D208" s="581">
        <v>2.1000000000000001E-4</v>
      </c>
      <c r="E208" s="31" t="s">
        <v>752</v>
      </c>
    </row>
    <row r="209" spans="2:7" outlineLevel="1">
      <c r="B209" s="31" t="s">
        <v>753</v>
      </c>
      <c r="C209" s="613">
        <v>0.3</v>
      </c>
      <c r="D209" s="581">
        <v>2.1000000000000001E-4</v>
      </c>
      <c r="E209" s="31" t="s">
        <v>752</v>
      </c>
    </row>
    <row r="210" spans="2:7" outlineLevel="1">
      <c r="B210" s="31" t="s">
        <v>754</v>
      </c>
      <c r="C210" s="613">
        <v>0.3</v>
      </c>
      <c r="D210" s="581">
        <v>2.1000000000000001E-4</v>
      </c>
      <c r="E210" s="31" t="s">
        <v>752</v>
      </c>
    </row>
    <row r="211" spans="2:7" outlineLevel="1">
      <c r="B211" s="31" t="s">
        <v>755</v>
      </c>
      <c r="C211" s="614" t="s">
        <v>746</v>
      </c>
      <c r="D211" s="607">
        <v>8.3000000000000001E-3</v>
      </c>
      <c r="E211" s="31" t="s">
        <v>752</v>
      </c>
      <c r="G211" s="617"/>
    </row>
    <row r="212" spans="2:7" outlineLevel="1">
      <c r="B212" s="31" t="s">
        <v>756</v>
      </c>
      <c r="C212" s="614" t="s">
        <v>757</v>
      </c>
      <c r="D212" s="607">
        <v>3.0999999999999999E-3</v>
      </c>
      <c r="E212" s="31" t="s">
        <v>736</v>
      </c>
      <c r="G212" s="617"/>
    </row>
    <row r="213" spans="2:7" outlineLevel="1"/>
    <row r="215" spans="2:7" s="274" customFormat="1" ht="15" customHeight="1">
      <c r="B215" s="161" t="s">
        <v>758</v>
      </c>
    </row>
    <row r="216" spans="2:7" outlineLevel="1">
      <c r="B216" s="606"/>
    </row>
    <row r="217" spans="2:7" outlineLevel="1">
      <c r="B217" s="284" t="s">
        <v>730</v>
      </c>
      <c r="C217" s="284" t="s">
        <v>759</v>
      </c>
      <c r="D217" s="284" t="s">
        <v>689</v>
      </c>
    </row>
    <row r="218" spans="2:7" outlineLevel="1">
      <c r="B218" s="31" t="s">
        <v>733</v>
      </c>
      <c r="C218" s="580">
        <v>0.71</v>
      </c>
      <c r="D218" s="31" t="s">
        <v>760</v>
      </c>
    </row>
    <row r="219" spans="2:7" outlineLevel="1">
      <c r="B219" s="31" t="s">
        <v>735</v>
      </c>
      <c r="C219" s="580">
        <v>0.44400000000000001</v>
      </c>
      <c r="D219" s="31" t="s">
        <v>760</v>
      </c>
    </row>
    <row r="220" spans="2:7" outlineLevel="1">
      <c r="B220" s="31" t="s">
        <v>737</v>
      </c>
      <c r="C220" s="580">
        <v>0.621</v>
      </c>
      <c r="D220" s="31" t="s">
        <v>760</v>
      </c>
    </row>
    <row r="221" spans="2:7" outlineLevel="1">
      <c r="B221" s="31" t="s">
        <v>738</v>
      </c>
      <c r="C221" s="580">
        <v>0.57699999999999996</v>
      </c>
      <c r="D221" s="31" t="s">
        <v>760</v>
      </c>
    </row>
    <row r="222" spans="2:7" outlineLevel="1">
      <c r="B222" s="31" t="s">
        <v>741</v>
      </c>
      <c r="C222" s="580">
        <v>0.45700000000000002</v>
      </c>
      <c r="D222" s="31" t="s">
        <v>761</v>
      </c>
    </row>
    <row r="223" spans="2:7" outlineLevel="1">
      <c r="B223" s="31" t="s">
        <v>742</v>
      </c>
      <c r="C223" s="580">
        <v>0.34699999999999998</v>
      </c>
      <c r="D223" s="31" t="s">
        <v>761</v>
      </c>
    </row>
    <row r="224" spans="2:7" outlineLevel="1">
      <c r="B224" s="31" t="s">
        <v>743</v>
      </c>
      <c r="C224" s="580">
        <v>0.34699999999999998</v>
      </c>
      <c r="D224" s="31" t="s">
        <v>761</v>
      </c>
    </row>
    <row r="225" spans="2:4" outlineLevel="1">
      <c r="B225" s="31" t="s">
        <v>745</v>
      </c>
      <c r="C225" s="580">
        <v>0.77200000000000002</v>
      </c>
      <c r="D225" s="31" t="s">
        <v>762</v>
      </c>
    </row>
    <row r="226" spans="2:4" outlineLevel="1">
      <c r="B226" s="31" t="s">
        <v>747</v>
      </c>
      <c r="C226" s="580">
        <v>0.629</v>
      </c>
      <c r="D226" s="31" t="s">
        <v>761</v>
      </c>
    </row>
    <row r="227" spans="2:4" outlineLevel="1">
      <c r="B227" s="31" t="s">
        <v>749</v>
      </c>
      <c r="C227" s="580">
        <v>0.629</v>
      </c>
      <c r="D227" s="31" t="s">
        <v>761</v>
      </c>
    </row>
    <row r="228" spans="2:4" outlineLevel="1">
      <c r="B228" s="31" t="s">
        <v>751</v>
      </c>
      <c r="C228" s="580">
        <v>0.44</v>
      </c>
      <c r="D228" s="31" t="s">
        <v>752</v>
      </c>
    </row>
    <row r="229" spans="2:4" outlineLevel="1">
      <c r="B229" s="31" t="s">
        <v>753</v>
      </c>
      <c r="C229" s="580">
        <v>0.16300000000000001</v>
      </c>
      <c r="D229" s="31" t="s">
        <v>761</v>
      </c>
    </row>
    <row r="230" spans="2:4" outlineLevel="1">
      <c r="B230" s="31" t="s">
        <v>754</v>
      </c>
      <c r="C230" s="580">
        <v>0.254</v>
      </c>
      <c r="D230" s="31" t="s">
        <v>752</v>
      </c>
    </row>
    <row r="231" spans="2:4" outlineLevel="1">
      <c r="B231" s="31" t="s">
        <v>755</v>
      </c>
      <c r="C231" s="580">
        <v>0.81899999999999995</v>
      </c>
      <c r="D231" s="31" t="s">
        <v>762</v>
      </c>
    </row>
    <row r="232" spans="2:4" outlineLevel="1">
      <c r="B232" s="31" t="s">
        <v>756</v>
      </c>
      <c r="C232" s="580">
        <v>0.72399999999999998</v>
      </c>
      <c r="D232" s="31" t="s">
        <v>736</v>
      </c>
    </row>
    <row r="233" spans="2:4" outlineLevel="1">
      <c r="B233" s="606"/>
    </row>
    <row r="235" spans="2:4" s="274" customFormat="1">
      <c r="B235" s="161" t="s">
        <v>763</v>
      </c>
    </row>
    <row r="236" spans="2:4" outlineLevel="1"/>
    <row r="237" spans="2:4" outlineLevel="1">
      <c r="B237" t="s">
        <v>764</v>
      </c>
    </row>
    <row r="238" spans="2:4" outlineLevel="1">
      <c r="B238" t="s">
        <v>765</v>
      </c>
    </row>
    <row r="239" spans="2:4" outlineLevel="1">
      <c r="B239" t="s">
        <v>766</v>
      </c>
    </row>
    <row r="240" spans="2:4" outlineLevel="1">
      <c r="B240" t="s">
        <v>767</v>
      </c>
    </row>
    <row r="241" spans="2:6" outlineLevel="1">
      <c r="B241" t="s">
        <v>768</v>
      </c>
    </row>
    <row r="242" spans="2:6" outlineLevel="1"/>
    <row r="243" spans="2:6" outlineLevel="1">
      <c r="B243" s="284" t="s">
        <v>720</v>
      </c>
      <c r="C243" s="583" t="s">
        <v>769</v>
      </c>
      <c r="D243" s="583" t="s">
        <v>770</v>
      </c>
      <c r="E243" s="583" t="s">
        <v>771</v>
      </c>
      <c r="F243" s="583" t="s">
        <v>772</v>
      </c>
    </row>
    <row r="244" spans="2:6" outlineLevel="1">
      <c r="B244" s="31">
        <v>2025</v>
      </c>
      <c r="C244" s="624">
        <v>2.0151933198345771E-2</v>
      </c>
      <c r="D244" s="624">
        <v>5.9650919571042647E-2</v>
      </c>
      <c r="E244" s="624">
        <v>7.9000000000000001E-2</v>
      </c>
      <c r="F244" s="624">
        <v>0.08</v>
      </c>
    </row>
    <row r="245" spans="2:6" outlineLevel="1">
      <c r="B245" s="31">
        <v>2026</v>
      </c>
      <c r="C245" s="624">
        <v>1.9961378482733369E-2</v>
      </c>
      <c r="D245" s="624">
        <v>5.9506844997882467E-2</v>
      </c>
      <c r="E245" s="624">
        <v>7.8E-2</v>
      </c>
      <c r="F245" s="624">
        <v>0.08</v>
      </c>
    </row>
    <row r="246" spans="2:6" outlineLevel="1">
      <c r="B246" s="31">
        <v>2027</v>
      </c>
      <c r="C246" s="624">
        <v>1.9802506832158565E-2</v>
      </c>
      <c r="D246" s="624">
        <v>5.936021536798413E-2</v>
      </c>
      <c r="E246" s="624">
        <v>7.8E-2</v>
      </c>
      <c r="F246" s="624">
        <v>0.08</v>
      </c>
    </row>
    <row r="247" spans="2:6" outlineLevel="1">
      <c r="B247" s="31">
        <v>2028</v>
      </c>
      <c r="C247" s="624">
        <v>1.9564262534996182E-2</v>
      </c>
      <c r="D247" s="624">
        <v>5.8796265098144784E-2</v>
      </c>
      <c r="E247" s="624">
        <v>7.6999999999999999E-2</v>
      </c>
      <c r="F247" s="624">
        <v>0.08</v>
      </c>
    </row>
    <row r="248" spans="2:6" outlineLevel="1">
      <c r="B248" s="31">
        <v>2029</v>
      </c>
      <c r="C248" s="624">
        <v>1.9462167438467879E-2</v>
      </c>
      <c r="D248" s="624">
        <v>5.8674969138451577E-2</v>
      </c>
      <c r="E248" s="624">
        <v>7.6999999999999999E-2</v>
      </c>
      <c r="F248" s="624">
        <v>0.08</v>
      </c>
    </row>
    <row r="249" spans="2:6" outlineLevel="1">
      <c r="B249" s="31">
        <v>2030</v>
      </c>
      <c r="C249" s="624">
        <v>1.9447286284796417E-2</v>
      </c>
      <c r="D249" s="624">
        <v>5.8649920271360255E-2</v>
      </c>
      <c r="E249" s="624">
        <v>7.6999999999999999E-2</v>
      </c>
      <c r="F249" s="624">
        <v>0.08</v>
      </c>
    </row>
    <row r="250" spans="2:6" outlineLevel="1">
      <c r="B250" s="31">
        <v>2031</v>
      </c>
      <c r="C250" s="624">
        <v>1.9410605702981872E-2</v>
      </c>
      <c r="D250" s="624">
        <v>5.8477025800473495E-2</v>
      </c>
      <c r="E250" s="624">
        <v>7.6999999999999999E-2</v>
      </c>
      <c r="F250" s="624">
        <v>7.6999999999999999E-2</v>
      </c>
    </row>
    <row r="251" spans="2:6" outlineLevel="1">
      <c r="B251" s="31">
        <v>2032</v>
      </c>
      <c r="C251" s="624">
        <v>1.9426618959177449E-2</v>
      </c>
      <c r="D251" s="624">
        <v>5.8458888385717299E-2</v>
      </c>
      <c r="E251" s="624">
        <v>7.6999999999999999E-2</v>
      </c>
      <c r="F251" s="624">
        <v>7.6999999999999999E-2</v>
      </c>
    </row>
    <row r="252" spans="2:6" outlineLevel="1">
      <c r="B252" s="31">
        <v>2033</v>
      </c>
      <c r="C252" s="624">
        <v>1.9464735744142151E-2</v>
      </c>
      <c r="D252" s="624">
        <v>5.8379044593957326E-2</v>
      </c>
      <c r="E252" s="624">
        <v>7.6999999999999999E-2</v>
      </c>
      <c r="F252" s="624">
        <v>7.6999999999999999E-2</v>
      </c>
    </row>
    <row r="253" spans="2:6" outlineLevel="1">
      <c r="B253" s="31">
        <v>2034</v>
      </c>
      <c r="C253" s="624">
        <v>1.9520665835708367E-2</v>
      </c>
      <c r="D253" s="624">
        <v>5.8369568859894146E-2</v>
      </c>
      <c r="E253" s="624">
        <v>7.6999999999999999E-2</v>
      </c>
      <c r="F253" s="624">
        <v>7.6999999999999999E-2</v>
      </c>
    </row>
    <row r="254" spans="2:6" outlineLevel="1">
      <c r="B254" s="31">
        <v>2035</v>
      </c>
      <c r="C254" s="624">
        <v>1.9561575093096334E-2</v>
      </c>
      <c r="D254" s="624">
        <v>5.8058339946740652E-2</v>
      </c>
      <c r="E254" s="624">
        <v>7.5999999999999998E-2</v>
      </c>
      <c r="F254" s="624">
        <v>7.6999999999999999E-2</v>
      </c>
    </row>
    <row r="255" spans="2:6" outlineLevel="1">
      <c r="B255" s="31">
        <v>2036</v>
      </c>
      <c r="C255" s="624">
        <v>1.9511339281264018E-2</v>
      </c>
      <c r="D255" s="624">
        <v>5.7644178819923841E-2</v>
      </c>
      <c r="E255" s="624">
        <v>7.5999999999999998E-2</v>
      </c>
      <c r="F255" s="624">
        <v>7.4999999999999997E-2</v>
      </c>
    </row>
    <row r="256" spans="2:6" outlineLevel="1">
      <c r="B256" s="31">
        <v>2037</v>
      </c>
      <c r="C256" s="624">
        <v>1.9449759042308286E-2</v>
      </c>
      <c r="D256" s="624">
        <v>5.7183919601509432E-2</v>
      </c>
      <c r="E256" s="624">
        <v>7.5999999999999998E-2</v>
      </c>
      <c r="F256" s="624">
        <v>7.4999999999999997E-2</v>
      </c>
    </row>
    <row r="257" spans="2:6" outlineLevel="1">
      <c r="B257" s="31">
        <v>2038</v>
      </c>
      <c r="C257" s="624">
        <v>1.9359172528152651E-2</v>
      </c>
      <c r="D257" s="624">
        <v>5.6722837147058926E-2</v>
      </c>
      <c r="E257" s="624">
        <v>7.4999999999999997E-2</v>
      </c>
      <c r="F257" s="624">
        <v>7.4999999999999997E-2</v>
      </c>
    </row>
    <row r="258" spans="2:6" outlineLevel="1">
      <c r="B258" s="31">
        <v>2039</v>
      </c>
      <c r="C258" s="624">
        <v>1.931156092749927E-2</v>
      </c>
      <c r="D258" s="624">
        <v>5.6504924338582889E-2</v>
      </c>
      <c r="E258" s="624">
        <v>7.4999999999999997E-2</v>
      </c>
      <c r="F258" s="624">
        <v>7.4999999999999997E-2</v>
      </c>
    </row>
    <row r="259" spans="2:6" ht="15" customHeight="1" outlineLevel="1">
      <c r="B259" s="31">
        <v>2040</v>
      </c>
      <c r="C259" s="624">
        <v>1.9047616007717299E-2</v>
      </c>
      <c r="D259" s="624">
        <v>5.5740013735258873E-2</v>
      </c>
      <c r="E259" s="624">
        <v>7.3999999999999996E-2</v>
      </c>
      <c r="F259" s="624">
        <v>7.4999999999999997E-2</v>
      </c>
    </row>
    <row r="260" spans="2:6" outlineLevel="1">
      <c r="B260" s="31">
        <v>2041</v>
      </c>
      <c r="C260" s="624">
        <v>1.9007708134209392E-2</v>
      </c>
      <c r="D260" s="624">
        <v>5.5623733171537203E-2</v>
      </c>
      <c r="E260" s="624">
        <v>7.3999999999999996E-2</v>
      </c>
      <c r="F260" s="624">
        <v>7.4999999999999997E-2</v>
      </c>
    </row>
    <row r="261" spans="2:6" outlineLevel="1">
      <c r="B261" s="31">
        <v>2042</v>
      </c>
      <c r="C261" s="624">
        <v>1.8890678540122718E-2</v>
      </c>
      <c r="D261" s="624">
        <v>5.5300120380085888E-2</v>
      </c>
      <c r="E261" s="624">
        <v>7.2999999999999995E-2</v>
      </c>
      <c r="F261" s="624">
        <v>7.4999999999999997E-2</v>
      </c>
    </row>
    <row r="262" spans="2:6" outlineLevel="1">
      <c r="B262" s="31">
        <v>2043</v>
      </c>
      <c r="C262" s="624">
        <v>1.8728420008598024E-2</v>
      </c>
      <c r="D262" s="624">
        <v>5.487421492108828E-2</v>
      </c>
      <c r="E262" s="624">
        <v>7.2999999999999995E-2</v>
      </c>
      <c r="F262" s="624">
        <v>7.4999999999999997E-2</v>
      </c>
    </row>
    <row r="263" spans="2:6" outlineLevel="1">
      <c r="B263" s="31">
        <v>2044</v>
      </c>
      <c r="C263" s="624">
        <v>1.8652266554201852E-2</v>
      </c>
      <c r="D263" s="624">
        <v>5.472291327724961E-2</v>
      </c>
      <c r="E263" s="624">
        <v>7.1999999999999995E-2</v>
      </c>
      <c r="F263" s="624">
        <v>7.4999999999999997E-2</v>
      </c>
    </row>
    <row r="264" spans="2:6" outlineLevel="1">
      <c r="B264" s="31">
        <v>2045</v>
      </c>
      <c r="C264" s="624">
        <v>1.841295224179882E-2</v>
      </c>
      <c r="D264" s="624">
        <v>5.4032436252760663E-2</v>
      </c>
      <c r="E264" s="624">
        <v>7.0999999999999994E-2</v>
      </c>
      <c r="F264" s="624">
        <v>7.4999999999999997E-2</v>
      </c>
    </row>
    <row r="265" spans="2:6" outlineLevel="1">
      <c r="B265" s="31">
        <v>2046</v>
      </c>
      <c r="C265" s="624">
        <v>1.8233814323480795E-2</v>
      </c>
      <c r="D265" s="624">
        <v>5.3412253151778978E-2</v>
      </c>
      <c r="E265" s="624">
        <v>7.0999999999999994E-2</v>
      </c>
      <c r="F265" s="624">
        <v>7.4999999999999997E-2</v>
      </c>
    </row>
    <row r="266" spans="2:6" outlineLevel="1">
      <c r="B266" s="31">
        <v>2047</v>
      </c>
      <c r="C266" s="624">
        <v>1.8167285639631495E-2</v>
      </c>
      <c r="D266" s="624">
        <v>5.306317180008209E-2</v>
      </c>
      <c r="E266" s="624">
        <v>7.0000000000000007E-2</v>
      </c>
      <c r="F266" s="624">
        <v>7.4999999999999997E-2</v>
      </c>
    </row>
    <row r="267" spans="2:6" outlineLevel="1">
      <c r="B267" s="31">
        <v>2048</v>
      </c>
      <c r="C267" s="624">
        <v>1.8124197941056446E-2</v>
      </c>
      <c r="D267" s="624">
        <v>5.2743356839025132E-2</v>
      </c>
      <c r="E267" s="624">
        <v>7.0000000000000007E-2</v>
      </c>
      <c r="F267" s="624">
        <v>7.4999999999999997E-2</v>
      </c>
    </row>
    <row r="268" spans="2:6" outlineLevel="1">
      <c r="B268" s="31">
        <v>2049</v>
      </c>
      <c r="C268" s="624">
        <v>1.8067571443861712E-2</v>
      </c>
      <c r="D268" s="624">
        <v>5.242011716280693E-2</v>
      </c>
      <c r="E268" s="624">
        <v>7.0000000000000007E-2</v>
      </c>
      <c r="F268" s="624">
        <v>7.4999999999999997E-2</v>
      </c>
    </row>
    <row r="269" spans="2:6" outlineLevel="1">
      <c r="B269" s="31">
        <v>2050</v>
      </c>
      <c r="C269" s="624">
        <v>1.8127751080154787E-2</v>
      </c>
      <c r="D269" s="624">
        <v>5.2489225211675102E-2</v>
      </c>
      <c r="E269" s="624">
        <v>7.0000000000000007E-2</v>
      </c>
      <c r="F269" s="624">
        <v>7.4999999999999997E-2</v>
      </c>
    </row>
    <row r="270" spans="2:6" outlineLevel="1"/>
    <row r="272" spans="2:6" s="274" customFormat="1">
      <c r="B272" s="161" t="s">
        <v>773</v>
      </c>
    </row>
    <row r="273" spans="2:4" outlineLevel="1"/>
    <row r="274" spans="2:4" outlineLevel="1">
      <c r="B274" t="s">
        <v>774</v>
      </c>
    </row>
    <row r="275" spans="2:4" outlineLevel="1">
      <c r="B275" t="s">
        <v>775</v>
      </c>
    </row>
    <row r="276" spans="2:4" outlineLevel="1"/>
    <row r="277" spans="2:4" ht="16.5" outlineLevel="1">
      <c r="B277" s="284" t="s">
        <v>776</v>
      </c>
      <c r="C277" s="609" t="s">
        <v>602</v>
      </c>
      <c r="D277" s="583" t="s">
        <v>689</v>
      </c>
    </row>
    <row r="278" spans="2:4" outlineLevel="1">
      <c r="B278" s="31" t="s">
        <v>777</v>
      </c>
      <c r="C278" s="616">
        <v>17.5</v>
      </c>
      <c r="D278" s="31" t="s">
        <v>778</v>
      </c>
    </row>
    <row r="279" spans="2:4" outlineLevel="1">
      <c r="B279" s="31" t="s">
        <v>779</v>
      </c>
      <c r="C279" s="616">
        <v>18.3</v>
      </c>
      <c r="D279" s="31" t="s">
        <v>778</v>
      </c>
    </row>
    <row r="280" spans="2:4" outlineLevel="1">
      <c r="B280" s="31" t="s">
        <v>780</v>
      </c>
      <c r="C280" s="616">
        <v>6.16</v>
      </c>
      <c r="D280" s="31" t="s">
        <v>781</v>
      </c>
    </row>
    <row r="281" spans="2:4" outlineLevel="1">
      <c r="B281" s="31" t="s">
        <v>782</v>
      </c>
      <c r="C281" s="616">
        <v>6.91</v>
      </c>
      <c r="D281" s="31" t="s">
        <v>783</v>
      </c>
    </row>
    <row r="282" spans="2:4" outlineLevel="1">
      <c r="B282" s="31" t="s">
        <v>784</v>
      </c>
      <c r="C282" s="616">
        <v>8.5299999999999994</v>
      </c>
      <c r="D282" s="31" t="s">
        <v>783</v>
      </c>
    </row>
    <row r="283" spans="2:4" outlineLevel="1">
      <c r="B283" s="31" t="s">
        <v>785</v>
      </c>
      <c r="C283" s="584">
        <v>17.5</v>
      </c>
      <c r="D283" s="31" t="s">
        <v>778</v>
      </c>
    </row>
    <row r="284" spans="2:4" outlineLevel="1">
      <c r="B284" s="31" t="s">
        <v>786</v>
      </c>
      <c r="C284" s="584">
        <v>17.5</v>
      </c>
      <c r="D284" s="31" t="s">
        <v>778</v>
      </c>
    </row>
    <row r="285" spans="2:4" outlineLevel="1">
      <c r="B285" s="31" t="s">
        <v>787</v>
      </c>
      <c r="C285" s="616">
        <v>28.2</v>
      </c>
      <c r="D285" s="31" t="s">
        <v>788</v>
      </c>
    </row>
    <row r="286" spans="2:4" outlineLevel="1">
      <c r="B286" s="31" t="s">
        <v>789</v>
      </c>
      <c r="C286" s="616">
        <v>37.6</v>
      </c>
      <c r="D286" s="31" t="s">
        <v>778</v>
      </c>
    </row>
    <row r="287" spans="2:4" outlineLevel="1">
      <c r="B287" s="31" t="s">
        <v>790</v>
      </c>
      <c r="C287" s="616">
        <v>28.9</v>
      </c>
      <c r="D287" s="31" t="s">
        <v>778</v>
      </c>
    </row>
    <row r="288" spans="2:4" outlineLevel="1">
      <c r="B288" s="31" t="s">
        <v>791</v>
      </c>
      <c r="C288" s="616">
        <v>11.9</v>
      </c>
      <c r="D288" s="31" t="s">
        <v>778</v>
      </c>
    </row>
    <row r="289" spans="2:4" outlineLevel="1">
      <c r="B289" s="31" t="s">
        <v>792</v>
      </c>
      <c r="C289" s="616">
        <v>16.399999999999999</v>
      </c>
      <c r="D289" s="31" t="s">
        <v>778</v>
      </c>
    </row>
    <row r="290" spans="2:4" outlineLevel="1">
      <c r="B290" s="31" t="s">
        <v>793</v>
      </c>
      <c r="C290" s="616">
        <v>146.19999999999999</v>
      </c>
      <c r="D290" s="31" t="s">
        <v>794</v>
      </c>
    </row>
    <row r="291" spans="2:4" outlineLevel="1">
      <c r="B291" s="31" t="s">
        <v>795</v>
      </c>
      <c r="C291" s="616">
        <v>125.2</v>
      </c>
      <c r="D291" s="31" t="s">
        <v>794</v>
      </c>
    </row>
    <row r="292" spans="2:4" outlineLevel="1">
      <c r="B292" s="31" t="s">
        <v>796</v>
      </c>
      <c r="C292" s="616">
        <v>32.6</v>
      </c>
      <c r="D292" s="31" t="s">
        <v>794</v>
      </c>
    </row>
    <row r="293" spans="2:4" outlineLevel="1">
      <c r="B293" s="31" t="s">
        <v>797</v>
      </c>
      <c r="C293" s="616">
        <v>11.6</v>
      </c>
      <c r="D293" s="31" t="s">
        <v>794</v>
      </c>
    </row>
    <row r="294" spans="2:4" outlineLevel="1">
      <c r="B294" s="31" t="s">
        <v>798</v>
      </c>
      <c r="C294" s="616">
        <v>73.5</v>
      </c>
      <c r="D294" s="31" t="s">
        <v>794</v>
      </c>
    </row>
    <row r="295" spans="2:4" outlineLevel="1">
      <c r="B295" s="31" t="s">
        <v>799</v>
      </c>
      <c r="C295" s="616">
        <v>52.5</v>
      </c>
      <c r="D295" s="31" t="s">
        <v>794</v>
      </c>
    </row>
    <row r="296" spans="2:4" outlineLevel="1">
      <c r="B296" s="31" t="s">
        <v>800</v>
      </c>
      <c r="C296" s="616">
        <v>50.9</v>
      </c>
      <c r="D296" s="31" t="s">
        <v>794</v>
      </c>
    </row>
    <row r="297" spans="2:4" outlineLevel="1">
      <c r="B297" s="31" t="s">
        <v>801</v>
      </c>
      <c r="C297" s="616">
        <v>29.9</v>
      </c>
      <c r="D297" s="31" t="s">
        <v>794</v>
      </c>
    </row>
    <row r="298" spans="2:4" outlineLevel="1">
      <c r="B298" s="31" t="s">
        <v>802</v>
      </c>
      <c r="C298" s="616">
        <v>70.7</v>
      </c>
      <c r="D298" s="31" t="s">
        <v>794</v>
      </c>
    </row>
    <row r="299" spans="2:4" outlineLevel="1">
      <c r="B299" s="31" t="s">
        <v>803</v>
      </c>
      <c r="C299" s="616">
        <v>49.7</v>
      </c>
      <c r="D299" s="31" t="s">
        <v>794</v>
      </c>
    </row>
    <row r="300" spans="2:4" outlineLevel="1">
      <c r="B300" s="31" t="s">
        <v>804</v>
      </c>
      <c r="C300" s="616">
        <v>35</v>
      </c>
      <c r="D300" s="31" t="s">
        <v>794</v>
      </c>
    </row>
    <row r="301" spans="2:4" outlineLevel="1">
      <c r="B301" s="31" t="s">
        <v>805</v>
      </c>
      <c r="C301" s="616">
        <v>14</v>
      </c>
      <c r="D301" s="31" t="s">
        <v>794</v>
      </c>
    </row>
    <row r="302" spans="2:4" outlineLevel="1">
      <c r="B302" s="31" t="s">
        <v>806</v>
      </c>
      <c r="C302" s="616">
        <v>20.5</v>
      </c>
      <c r="D302" s="31" t="s">
        <v>807</v>
      </c>
    </row>
    <row r="303" spans="2:4" outlineLevel="1">
      <c r="B303" s="31" t="s">
        <v>808</v>
      </c>
      <c r="C303" s="616">
        <v>147.732202</v>
      </c>
      <c r="D303" s="31" t="s">
        <v>809</v>
      </c>
    </row>
    <row r="304" spans="2:4" outlineLevel="1">
      <c r="B304" s="31" t="s">
        <v>810</v>
      </c>
      <c r="C304" s="616">
        <v>126.73220200000002</v>
      </c>
      <c r="D304" s="31" t="s">
        <v>809</v>
      </c>
    </row>
    <row r="305" spans="2:4" outlineLevel="1">
      <c r="B305" s="31" t="s">
        <v>811</v>
      </c>
      <c r="C305" s="616">
        <v>34.132201999999999</v>
      </c>
      <c r="D305" s="31" t="s">
        <v>809</v>
      </c>
    </row>
    <row r="306" spans="2:4" outlineLevel="1">
      <c r="B306" s="31" t="s">
        <v>812</v>
      </c>
      <c r="C306" s="616">
        <v>13.132201999999999</v>
      </c>
      <c r="D306" s="31" t="s">
        <v>809</v>
      </c>
    </row>
    <row r="307" spans="2:4" outlineLevel="1">
      <c r="B307" s="31" t="s">
        <v>813</v>
      </c>
      <c r="C307" s="616">
        <v>75.032202000000012</v>
      </c>
      <c r="D307" s="31" t="s">
        <v>809</v>
      </c>
    </row>
    <row r="308" spans="2:4" outlineLevel="1">
      <c r="B308" s="31" t="s">
        <v>814</v>
      </c>
      <c r="C308" s="616">
        <v>54.032201999999998</v>
      </c>
      <c r="D308" s="31" t="s">
        <v>809</v>
      </c>
    </row>
    <row r="309" spans="2:4" outlineLevel="1">
      <c r="B309" s="31" t="s">
        <v>815</v>
      </c>
      <c r="C309" s="616">
        <v>52.432202000000004</v>
      </c>
      <c r="D309" s="31" t="s">
        <v>809</v>
      </c>
    </row>
    <row r="310" spans="2:4" outlineLevel="1">
      <c r="B310" s="31" t="s">
        <v>816</v>
      </c>
      <c r="C310" s="616">
        <v>31.432202</v>
      </c>
      <c r="D310" s="31" t="s">
        <v>809</v>
      </c>
    </row>
    <row r="311" spans="2:4" outlineLevel="1">
      <c r="B311" s="31" t="s">
        <v>817</v>
      </c>
      <c r="C311" s="616">
        <v>72.232202000000001</v>
      </c>
      <c r="D311" s="31" t="s">
        <v>809</v>
      </c>
    </row>
    <row r="312" spans="2:4" outlineLevel="1">
      <c r="B312" s="31" t="s">
        <v>818</v>
      </c>
      <c r="C312" s="616">
        <v>51.232201999999994</v>
      </c>
      <c r="D312" s="31" t="s">
        <v>809</v>
      </c>
    </row>
    <row r="313" spans="2:4" outlineLevel="1">
      <c r="B313" s="31" t="s">
        <v>819</v>
      </c>
      <c r="C313" s="616">
        <v>36.532201999999998</v>
      </c>
      <c r="D313" s="31" t="s">
        <v>809</v>
      </c>
    </row>
    <row r="314" spans="2:4" outlineLevel="1">
      <c r="B314" s="31" t="s">
        <v>820</v>
      </c>
      <c r="C314" s="616">
        <v>15.532202</v>
      </c>
      <c r="D314" s="31" t="s">
        <v>809</v>
      </c>
    </row>
    <row r="315" spans="2:4" outlineLevel="1">
      <c r="B315" s="31" t="s">
        <v>821</v>
      </c>
      <c r="C315" s="616">
        <v>22.037684474226797</v>
      </c>
      <c r="D315" s="31" t="s">
        <v>822</v>
      </c>
    </row>
    <row r="317" spans="2:4" s="274" customFormat="1">
      <c r="B317" s="161" t="s">
        <v>823</v>
      </c>
    </row>
    <row r="318" spans="2:4" outlineLevel="1"/>
    <row r="319" spans="2:4" outlineLevel="1">
      <c r="B319" t="s">
        <v>824</v>
      </c>
    </row>
    <row r="320" spans="2:4" outlineLevel="1">
      <c r="B320" t="s">
        <v>825</v>
      </c>
    </row>
    <row r="321" spans="2:4" ht="16.5" outlineLevel="1">
      <c r="B321" t="s">
        <v>826</v>
      </c>
    </row>
    <row r="322" spans="2:4" outlineLevel="1">
      <c r="B322" t="s">
        <v>827</v>
      </c>
    </row>
    <row r="323" spans="2:4" outlineLevel="1"/>
    <row r="324" spans="2:4" ht="16.5" outlineLevel="1">
      <c r="B324" s="284" t="s">
        <v>828</v>
      </c>
      <c r="C324" s="284" t="s">
        <v>829</v>
      </c>
      <c r="D324" s="583" t="s">
        <v>689</v>
      </c>
    </row>
    <row r="325" spans="2:4" outlineLevel="1">
      <c r="B325" s="31" t="s">
        <v>830</v>
      </c>
      <c r="C325" s="631">
        <v>0.19</v>
      </c>
      <c r="D325" s="31" t="s">
        <v>778</v>
      </c>
    </row>
    <row r="326" spans="2:4" outlineLevel="1">
      <c r="B326" s="31" t="s">
        <v>831</v>
      </c>
      <c r="C326" s="631">
        <v>0.94</v>
      </c>
      <c r="D326" s="31" t="s">
        <v>832</v>
      </c>
    </row>
    <row r="327" spans="2:4" outlineLevel="1">
      <c r="B327" s="31" t="s">
        <v>833</v>
      </c>
      <c r="C327" s="630">
        <v>32.073930000000004</v>
      </c>
      <c r="D327" s="31" t="s">
        <v>834</v>
      </c>
    </row>
    <row r="328" spans="2:4" outlineLevel="1">
      <c r="B328" s="31" t="s">
        <v>835</v>
      </c>
      <c r="C328" s="630">
        <v>0</v>
      </c>
      <c r="D328" s="31" t="s">
        <v>836</v>
      </c>
    </row>
    <row r="329" spans="2:4" outlineLevel="1">
      <c r="B329" s="31" t="s">
        <v>837</v>
      </c>
      <c r="C329" s="630">
        <v>14.546000000000001</v>
      </c>
      <c r="D329" s="31" t="s">
        <v>788</v>
      </c>
    </row>
    <row r="330" spans="2:4" outlineLevel="1">
      <c r="B330" s="31" t="s">
        <v>838</v>
      </c>
      <c r="C330" s="630">
        <v>33.775812000000002</v>
      </c>
      <c r="D330" s="31" t="s">
        <v>839</v>
      </c>
    </row>
    <row r="331" spans="2:4" outlineLevel="1">
      <c r="B331" s="31" t="s">
        <v>840</v>
      </c>
      <c r="C331" s="630">
        <v>0</v>
      </c>
      <c r="D331" s="31" t="s">
        <v>836</v>
      </c>
    </row>
    <row r="332" spans="2:4" outlineLevel="1">
      <c r="B332" s="31" t="s">
        <v>841</v>
      </c>
      <c r="C332" s="625">
        <v>533</v>
      </c>
      <c r="D332" s="31" t="s">
        <v>842</v>
      </c>
    </row>
    <row r="333" spans="2:4" outlineLevel="1">
      <c r="B333" s="31" t="s">
        <v>843</v>
      </c>
      <c r="C333" s="625">
        <v>420</v>
      </c>
      <c r="D333" s="31" t="s">
        <v>842</v>
      </c>
    </row>
    <row r="334" spans="2:4" outlineLevel="1">
      <c r="B334" s="31" t="s">
        <v>844</v>
      </c>
      <c r="C334" s="625">
        <v>1193</v>
      </c>
      <c r="D334" s="31" t="s">
        <v>842</v>
      </c>
    </row>
    <row r="335" spans="2:4" ht="16.5" outlineLevel="1">
      <c r="B335" s="31" t="s">
        <v>845</v>
      </c>
      <c r="C335" s="630">
        <v>39.1</v>
      </c>
      <c r="D335" s="31" t="s">
        <v>846</v>
      </c>
    </row>
    <row r="336" spans="2:4" ht="16.5" outlineLevel="1">
      <c r="B336" s="31" t="s">
        <v>847</v>
      </c>
      <c r="C336" s="625">
        <v>1258</v>
      </c>
      <c r="D336" s="31" t="s">
        <v>842</v>
      </c>
    </row>
    <row r="337" spans="2:4" outlineLevel="1">
      <c r="B337" s="31" t="s">
        <v>848</v>
      </c>
      <c r="C337" s="625">
        <v>740</v>
      </c>
      <c r="D337" s="31" t="s">
        <v>849</v>
      </c>
    </row>
    <row r="338" spans="2:4" ht="16.5" outlineLevel="1">
      <c r="B338" s="31" t="s">
        <v>850</v>
      </c>
      <c r="C338" s="625">
        <v>2445</v>
      </c>
      <c r="D338" s="31" t="s">
        <v>842</v>
      </c>
    </row>
    <row r="339" spans="2:4" ht="16.5" outlineLevel="1">
      <c r="B339" s="31" t="s">
        <v>851</v>
      </c>
      <c r="C339" s="625">
        <v>440</v>
      </c>
      <c r="D339" s="31" t="s">
        <v>852</v>
      </c>
    </row>
    <row r="340" spans="2:4" outlineLevel="1">
      <c r="B340" s="31" t="s">
        <v>853</v>
      </c>
      <c r="C340" s="630">
        <v>13.4</v>
      </c>
      <c r="D340" s="31" t="s">
        <v>842</v>
      </c>
    </row>
    <row r="341" spans="2:4" outlineLevel="1">
      <c r="B341" s="31" t="s">
        <v>854</v>
      </c>
      <c r="C341" s="625">
        <v>1069</v>
      </c>
      <c r="D341" s="31" t="s">
        <v>842</v>
      </c>
    </row>
    <row r="342" spans="2:4" ht="16.5" outlineLevel="1">
      <c r="B342" s="31" t="s">
        <v>855</v>
      </c>
      <c r="C342" s="625">
        <v>218</v>
      </c>
      <c r="D342" s="31" t="s">
        <v>842</v>
      </c>
    </row>
    <row r="343" spans="2:4" ht="16.5" outlineLevel="1">
      <c r="B343" s="31" t="s">
        <v>856</v>
      </c>
      <c r="C343" s="625">
        <v>3155</v>
      </c>
      <c r="D343" s="31" t="s">
        <v>842</v>
      </c>
    </row>
    <row r="344" spans="2:4" ht="16.5" outlineLevel="1">
      <c r="B344" s="31" t="s">
        <v>857</v>
      </c>
      <c r="C344" s="625">
        <v>495.31</v>
      </c>
      <c r="D344" s="31" t="s">
        <v>858</v>
      </c>
    </row>
    <row r="345" spans="2:4" outlineLevel="1">
      <c r="B345" s="31" t="s">
        <v>859</v>
      </c>
      <c r="C345" s="625">
        <v>947</v>
      </c>
      <c r="D345" s="31" t="s">
        <v>842</v>
      </c>
    </row>
    <row r="346" spans="2:4" outlineLevel="1">
      <c r="B346" s="31" t="s">
        <v>860</v>
      </c>
      <c r="C346" s="625">
        <v>723</v>
      </c>
      <c r="D346" s="31" t="s">
        <v>842</v>
      </c>
    </row>
    <row r="347" spans="2:4" outlineLevel="1">
      <c r="B347" s="31" t="s">
        <v>861</v>
      </c>
      <c r="C347" s="625">
        <v>3400</v>
      </c>
      <c r="D347" s="31" t="s">
        <v>862</v>
      </c>
    </row>
    <row r="348" spans="2:4" ht="16.5" outlineLevel="1">
      <c r="B348" s="31" t="s">
        <v>863</v>
      </c>
      <c r="C348" s="625">
        <v>2351</v>
      </c>
      <c r="D348" s="31" t="s">
        <v>842</v>
      </c>
    </row>
    <row r="349" spans="2:4" ht="16.5" outlineLevel="1">
      <c r="B349" s="31" t="s">
        <v>864</v>
      </c>
      <c r="C349" s="625">
        <v>1852</v>
      </c>
      <c r="D349" s="31" t="s">
        <v>842</v>
      </c>
    </row>
    <row r="350" spans="2:4" outlineLevel="1">
      <c r="B350" s="31" t="s">
        <v>865</v>
      </c>
      <c r="C350" s="625">
        <v>9500</v>
      </c>
      <c r="D350" s="31" t="s">
        <v>866</v>
      </c>
    </row>
    <row r="351" spans="2:4" outlineLevel="1">
      <c r="B351" s="31" t="s">
        <v>867</v>
      </c>
      <c r="C351" s="625">
        <v>1000</v>
      </c>
      <c r="D351" s="31" t="s">
        <v>868</v>
      </c>
    </row>
    <row r="352" spans="2:4" outlineLevel="1">
      <c r="B352" s="31" t="s">
        <v>869</v>
      </c>
      <c r="C352" s="625">
        <v>3275</v>
      </c>
      <c r="D352" s="31" t="s">
        <v>870</v>
      </c>
    </row>
    <row r="353" spans="2:5" outlineLevel="1">
      <c r="B353" s="31" t="s">
        <v>871</v>
      </c>
      <c r="C353" s="625">
        <v>1406</v>
      </c>
      <c r="D353" s="31" t="s">
        <v>872</v>
      </c>
    </row>
    <row r="354" spans="2:5" outlineLevel="1">
      <c r="B354" s="31" t="s">
        <v>873</v>
      </c>
      <c r="C354" s="625">
        <v>1274</v>
      </c>
      <c r="D354" s="31" t="s">
        <v>872</v>
      </c>
    </row>
    <row r="355" spans="2:5" outlineLevel="1"/>
    <row r="357" spans="2:5" s="274" customFormat="1" ht="16.5">
      <c r="B357" s="161" t="s">
        <v>874</v>
      </c>
    </row>
    <row r="358" spans="2:5" outlineLevel="1"/>
    <row r="359" spans="2:5" outlineLevel="1">
      <c r="B359" t="s">
        <v>875</v>
      </c>
    </row>
    <row r="360" spans="2:5" outlineLevel="1">
      <c r="B360" t="s">
        <v>876</v>
      </c>
    </row>
    <row r="361" spans="2:5" ht="16.5" outlineLevel="1">
      <c r="B361" t="s">
        <v>877</v>
      </c>
    </row>
    <row r="362" spans="2:5" outlineLevel="1"/>
    <row r="363" spans="2:5" ht="16.5" outlineLevel="1">
      <c r="B363" s="284" t="s">
        <v>567</v>
      </c>
      <c r="C363" s="609" t="s">
        <v>878</v>
      </c>
      <c r="D363" s="609" t="s">
        <v>879</v>
      </c>
      <c r="E363" s="583" t="s">
        <v>689</v>
      </c>
    </row>
    <row r="364" spans="2:5" outlineLevel="1">
      <c r="B364" s="31" t="s">
        <v>777</v>
      </c>
      <c r="C364" s="616">
        <v>73.5</v>
      </c>
      <c r="D364" s="627">
        <v>864</v>
      </c>
      <c r="E364" s="31" t="s">
        <v>778</v>
      </c>
    </row>
    <row r="365" spans="2:5" outlineLevel="1">
      <c r="B365" s="31" t="s">
        <v>779</v>
      </c>
      <c r="C365" s="616">
        <v>70.2</v>
      </c>
      <c r="D365" s="627">
        <v>856</v>
      </c>
      <c r="E365" s="31" t="s">
        <v>778</v>
      </c>
    </row>
    <row r="366" spans="2:5" outlineLevel="1">
      <c r="B366" s="31" t="s">
        <v>880</v>
      </c>
      <c r="C366" s="616">
        <v>56.8</v>
      </c>
      <c r="D366" s="627">
        <v>709</v>
      </c>
      <c r="E366" s="31" t="s">
        <v>778</v>
      </c>
    </row>
    <row r="367" spans="2:5" outlineLevel="1">
      <c r="B367" s="31" t="s">
        <v>785</v>
      </c>
      <c r="C367" s="616">
        <v>75.3</v>
      </c>
      <c r="D367" s="627">
        <v>875</v>
      </c>
      <c r="E367" s="31" t="s">
        <v>778</v>
      </c>
    </row>
    <row r="368" spans="2:5" outlineLevel="1">
      <c r="B368" s="31" t="s">
        <v>786</v>
      </c>
      <c r="C368" s="616">
        <v>78.900000000000006</v>
      </c>
      <c r="D368" s="627">
        <v>878</v>
      </c>
      <c r="E368" s="31" t="s">
        <v>778</v>
      </c>
    </row>
    <row r="369" spans="2:5" outlineLevel="1">
      <c r="B369" s="31" t="s">
        <v>787</v>
      </c>
      <c r="C369" s="616">
        <v>68.900000000000006</v>
      </c>
      <c r="D369" s="627">
        <v>374</v>
      </c>
      <c r="E369" s="31" t="s">
        <v>778</v>
      </c>
    </row>
    <row r="370" spans="2:5" outlineLevel="1">
      <c r="B370" s="31" t="s">
        <v>789</v>
      </c>
      <c r="C370" s="616">
        <v>0</v>
      </c>
      <c r="D370" s="627">
        <v>0</v>
      </c>
      <c r="E370" s="31" t="s">
        <v>778</v>
      </c>
    </row>
    <row r="371" spans="2:5" outlineLevel="1">
      <c r="B371" s="31" t="s">
        <v>790</v>
      </c>
      <c r="C371" s="616">
        <v>0</v>
      </c>
      <c r="D371" s="627">
        <v>0</v>
      </c>
      <c r="E371" s="31" t="s">
        <v>778</v>
      </c>
    </row>
    <row r="372" spans="2:5" outlineLevel="1">
      <c r="B372" s="31" t="s">
        <v>791</v>
      </c>
      <c r="C372" s="616">
        <v>0</v>
      </c>
      <c r="D372" s="627">
        <v>0</v>
      </c>
      <c r="E372" s="31" t="s">
        <v>778</v>
      </c>
    </row>
    <row r="373" spans="2:5" outlineLevel="1">
      <c r="B373" s="31" t="s">
        <v>792</v>
      </c>
      <c r="C373" s="616">
        <v>0</v>
      </c>
      <c r="D373" s="627">
        <v>0</v>
      </c>
      <c r="E373" s="31" t="s">
        <v>778</v>
      </c>
    </row>
    <row r="374" spans="2:5" outlineLevel="1">
      <c r="B374" s="31" t="s">
        <v>397</v>
      </c>
      <c r="C374" s="616">
        <v>0</v>
      </c>
      <c r="D374" s="627">
        <v>0</v>
      </c>
      <c r="E374" s="31" t="s">
        <v>778</v>
      </c>
    </row>
    <row r="375" spans="2:5" outlineLevel="1"/>
    <row r="377" spans="2:5" s="161" customFormat="1">
      <c r="B377" s="161" t="s">
        <v>881</v>
      </c>
    </row>
    <row r="378" spans="2:5" outlineLevel="1"/>
    <row r="379" spans="2:5" outlineLevel="1">
      <c r="B379" s="28" t="s">
        <v>882</v>
      </c>
      <c r="C379" s="28" t="s">
        <v>506</v>
      </c>
      <c r="D379" s="290" t="s">
        <v>883</v>
      </c>
    </row>
    <row r="380" spans="2:5" outlineLevel="1">
      <c r="B380" t="s">
        <v>884</v>
      </c>
      <c r="C380" t="s">
        <v>315</v>
      </c>
      <c r="D380" s="122">
        <f>IF(OR(Initial_questions!$E$112=Units!$F$85,Initial_questions!$E$114=Units!$F$85), 3, Output_pressure)</f>
        <v>0</v>
      </c>
      <c r="E380" t="s">
        <v>885</v>
      </c>
    </row>
    <row r="381" spans="2:5" outlineLevel="1">
      <c r="B381" t="s">
        <v>886</v>
      </c>
      <c r="C381" t="s">
        <v>887</v>
      </c>
      <c r="D381">
        <f>Output_temperature</f>
        <v>0</v>
      </c>
    </row>
    <row r="382" spans="2:5" outlineLevel="1">
      <c r="B382" t="s">
        <v>888</v>
      </c>
      <c r="C382" t="s">
        <v>315</v>
      </c>
      <c r="D382" s="122">
        <f>IF(AND(Output_pressure&gt;3, OR(Initial_questions!$E$112=Units!$F$85,Initial_questions!$E$114=Units!$F$85)), Output_pressure, 3)</f>
        <v>3</v>
      </c>
      <c r="E382" t="s">
        <v>889</v>
      </c>
    </row>
    <row r="383" spans="2:5" ht="16.5" outlineLevel="1">
      <c r="B383" t="s">
        <v>890</v>
      </c>
      <c r="C383" t="s">
        <v>891</v>
      </c>
      <c r="D383" s="135" t="str">
        <f>IFERROR(VLOOKUP(25*ROUND(MIN(MAX(D381,0),125)/25,0),B394:F399,5,FALSE), "Yet to provide pressure")</f>
        <v>Yet to provide pressure</v>
      </c>
      <c r="E383" s="135" t="s">
        <v>892</v>
      </c>
    </row>
    <row r="384" spans="2:5" outlineLevel="1">
      <c r="B384" t="s">
        <v>893</v>
      </c>
      <c r="D384">
        <v>1.41</v>
      </c>
    </row>
    <row r="385" spans="2:6" outlineLevel="1">
      <c r="B385" s="118" t="s">
        <v>894</v>
      </c>
      <c r="C385" s="118" t="s">
        <v>895</v>
      </c>
      <c r="D385" s="135" t="str">
        <f>IFERROR(MAX(0,((D384/(D384-1))*D380*D383*((D382/D380)^(((D384-1)/D384))-1))), "Yet to provide pressure")</f>
        <v>Yet to provide pressure</v>
      </c>
      <c r="E385" s="90"/>
    </row>
    <row r="386" spans="2:6" outlineLevel="1">
      <c r="B386" t="s">
        <v>896</v>
      </c>
      <c r="C386" t="s">
        <v>897</v>
      </c>
      <c r="D386" s="450">
        <v>0.7</v>
      </c>
    </row>
    <row r="387" spans="2:6" outlineLevel="1">
      <c r="B387" s="119" t="s">
        <v>898</v>
      </c>
      <c r="C387" s="119" t="s">
        <v>899</v>
      </c>
      <c r="D387" s="136" t="str">
        <f>IFERROR(D385/(3.6*D386), "Yet to provide pressure")</f>
        <v>Yet to provide pressure</v>
      </c>
    </row>
    <row r="388" spans="2:6" ht="16.5" outlineLevel="1">
      <c r="B388" t="s">
        <v>900</v>
      </c>
      <c r="C388" t="s">
        <v>901</v>
      </c>
      <c r="D388" s="321" t="str">
        <f>IF(Initial_questions!$E$89="", 0, Initial_questions!$E$89)</f>
        <v>Yet to provide electricity source</v>
      </c>
    </row>
    <row r="389" spans="2:6" ht="16.5" outlineLevel="1">
      <c r="B389" s="28" t="s">
        <v>902</v>
      </c>
      <c r="C389" s="28" t="s">
        <v>903</v>
      </c>
      <c r="D389" s="123" t="str">
        <f>IFERROR(D387*D388/120, "Yet to provide pressure or electricity source")</f>
        <v>Yet to provide pressure or electricity source</v>
      </c>
    </row>
    <row r="390" spans="2:6" outlineLevel="1">
      <c r="D390" s="90"/>
    </row>
    <row r="391" spans="2:6" outlineLevel="1">
      <c r="B391" s="28" t="s">
        <v>904</v>
      </c>
      <c r="C391" s="28"/>
      <c r="D391" s="89"/>
    </row>
    <row r="392" spans="2:6" outlineLevel="1">
      <c r="D392" s="77"/>
    </row>
    <row r="393" spans="2:6" ht="16.5" outlineLevel="1">
      <c r="B393" s="284" t="s">
        <v>905</v>
      </c>
      <c r="C393" s="284" t="s">
        <v>906</v>
      </c>
      <c r="D393" s="284" t="s">
        <v>907</v>
      </c>
      <c r="E393" s="284" t="s">
        <v>908</v>
      </c>
      <c r="F393" s="284" t="s">
        <v>890</v>
      </c>
    </row>
    <row r="394" spans="2:6" outlineLevel="1">
      <c r="B394" s="644">
        <v>0</v>
      </c>
      <c r="C394" s="645">
        <v>1.1651</v>
      </c>
      <c r="D394" s="645">
        <v>-0.93500000000000005</v>
      </c>
      <c r="E394" s="645">
        <v>0.99980000000000002</v>
      </c>
      <c r="F394" s="645" t="e">
        <f t="shared" ref="F394:F399" si="0">C394*$D$380^(D394)</f>
        <v>#DIV/0!</v>
      </c>
    </row>
    <row r="395" spans="2:6" outlineLevel="1">
      <c r="B395" s="644">
        <v>25</v>
      </c>
      <c r="C395" s="645">
        <v>1.2690999999999999</v>
      </c>
      <c r="D395" s="645">
        <v>-0.93899999999999995</v>
      </c>
      <c r="E395" s="645">
        <v>0.99980000000000002</v>
      </c>
      <c r="F395" s="645" t="e">
        <f t="shared" si="0"/>
        <v>#DIV/0!</v>
      </c>
    </row>
    <row r="396" spans="2:6" outlineLevel="1">
      <c r="B396" s="644">
        <v>50</v>
      </c>
      <c r="C396" s="645">
        <v>1.373</v>
      </c>
      <c r="D396" s="645">
        <v>-0.94299999999999995</v>
      </c>
      <c r="E396" s="645">
        <v>0.99980000000000002</v>
      </c>
      <c r="F396" s="645" t="e">
        <f t="shared" si="0"/>
        <v>#DIV/0!</v>
      </c>
    </row>
    <row r="397" spans="2:6" outlineLevel="1">
      <c r="B397" s="644">
        <v>75</v>
      </c>
      <c r="C397" s="645">
        <v>1.4766999999999999</v>
      </c>
      <c r="D397" s="645">
        <v>-0.94599999999999995</v>
      </c>
      <c r="E397" s="645">
        <v>0.99990000000000001</v>
      </c>
      <c r="F397" s="645" t="e">
        <f t="shared" si="0"/>
        <v>#DIV/0!</v>
      </c>
    </row>
    <row r="398" spans="2:6" outlineLevel="1">
      <c r="B398" s="644">
        <v>100</v>
      </c>
      <c r="C398" s="645">
        <v>1.5804</v>
      </c>
      <c r="D398" s="645">
        <v>-0.94899999999999995</v>
      </c>
      <c r="E398" s="645">
        <v>0.99990000000000001</v>
      </c>
      <c r="F398" s="645" t="e">
        <f t="shared" si="0"/>
        <v>#DIV/0!</v>
      </c>
    </row>
    <row r="399" spans="2:6" outlineLevel="1">
      <c r="B399" s="644">
        <v>125</v>
      </c>
      <c r="C399" s="645">
        <v>1.6839</v>
      </c>
      <c r="D399" s="645">
        <v>-0.95199999999999996</v>
      </c>
      <c r="E399" s="645">
        <v>0.99990000000000001</v>
      </c>
      <c r="F399" s="645" t="e">
        <f t="shared" si="0"/>
        <v>#DIV/0!</v>
      </c>
    </row>
    <row r="400" spans="2:6" outlineLevel="1">
      <c r="D400" s="77"/>
    </row>
    <row r="401" spans="2:5">
      <c r="D401" s="77"/>
    </row>
    <row r="402" spans="2:5" s="161" customFormat="1">
      <c r="B402" s="161" t="s">
        <v>909</v>
      </c>
      <c r="D402" s="187"/>
    </row>
    <row r="403" spans="2:5" outlineLevel="1">
      <c r="D403" s="77"/>
    </row>
    <row r="404" spans="2:5" outlineLevel="1">
      <c r="B404" s="28" t="s">
        <v>882</v>
      </c>
      <c r="C404" s="28" t="s">
        <v>506</v>
      </c>
      <c r="D404" s="291" t="s">
        <v>883</v>
      </c>
    </row>
    <row r="405" spans="2:5" ht="16.5" outlineLevel="1">
      <c r="B405" s="118" t="s">
        <v>910</v>
      </c>
      <c r="C405" s="118" t="s">
        <v>911</v>
      </c>
      <c r="D405" s="120">
        <f>IF(Output_purity&lt;99.9%, 17.3/(29204*0.453592), IF(AND(Output_purity&gt;99.9%, OR(Initial_questions!$E$112=Units!$F$85,Initial_questions!$E$114=Units!$F$85)), 17.3/(29204*0.453592), 0))</f>
        <v>1.3059855659902531E-3</v>
      </c>
      <c r="E405" t="s">
        <v>912</v>
      </c>
    </row>
    <row r="406" spans="2:5" ht="16.5" outlineLevel="1">
      <c r="B406" t="s">
        <v>900</v>
      </c>
      <c r="C406" t="s">
        <v>901</v>
      </c>
      <c r="D406" s="321" t="str">
        <f>$D$388</f>
        <v>Yet to provide electricity source</v>
      </c>
    </row>
    <row r="407" spans="2:5" ht="16.5" outlineLevel="1">
      <c r="B407" s="28" t="s">
        <v>913</v>
      </c>
      <c r="C407" s="28" t="s">
        <v>903</v>
      </c>
      <c r="D407" s="121" t="str">
        <f>IFERROR(D405*D406/120, "Yet to provide electricity source")</f>
        <v>Yet to provide electricity source</v>
      </c>
    </row>
    <row r="408" spans="2:5" outlineLevel="1">
      <c r="D408" s="77"/>
    </row>
  </sheetData>
  <customSheetViews>
    <customSheetView guid="{F03309BC-D3FA-4CF2-833B-D6D9A95FE1FB}" showGridLines="0">
      <selection activeCell="B120" sqref="B120"/>
      <pageMargins left="0" right="0" top="0" bottom="0" header="0" footer="0"/>
      <pageSetup paperSize="9" orientation="portrait" r:id="rId1"/>
    </customSheetView>
    <customSheetView guid="{EECBF9DF-6D77-4263-85DA-71E40216BADD}" showGridLines="0">
      <selection activeCell="B120" sqref="B120"/>
      <pageMargins left="0" right="0" top="0" bottom="0" header="0" footer="0"/>
      <pageSetup paperSize="9" orientation="portrait" r:id="rId2"/>
    </customSheetView>
    <customSheetView guid="{1C16EB38-F785-4168-9938-104594734038}" showGridLines="0">
      <selection activeCell="B214" sqref="B214"/>
      <pageMargins left="0" right="0" top="0" bottom="0" header="0" footer="0"/>
      <pageSetup paperSize="9" orientation="portrait" r:id="rId3"/>
    </customSheetView>
    <customSheetView guid="{0E935136-9A80-44B6-88D5-61E64D742049}" showGridLines="0">
      <selection activeCell="B120" sqref="B120"/>
      <pageMargins left="0" right="0" top="0" bottom="0" header="0" footer="0"/>
      <pageSetup paperSize="9" orientation="portrait" r:id="rId4"/>
    </customSheetView>
    <customSheetView guid="{E6EFD927-84B2-4D06-BB59-59D9DF522DA2}" showGridLines="0">
      <selection activeCell="B214" sqref="B214"/>
      <pageMargins left="0" right="0" top="0" bottom="0" header="0" footer="0"/>
      <pageSetup paperSize="9" orientation="portrait" r:id="rId5"/>
    </customSheetView>
    <customSheetView guid="{3F0A4FBA-5323-448F-A023-B3E14C54064C}" topLeftCell="A104">
      <selection activeCell="B120" sqref="B120"/>
      <pageMargins left="0" right="0" top="0" bottom="0" header="0" footer="0"/>
      <pageSetup paperSize="9" orientation="portrait" r:id="rId6"/>
    </customSheetView>
    <customSheetView guid="{D97B1299-69D0-4EE0-B673-CCF74742F96B}" topLeftCell="A104">
      <selection activeCell="B120" sqref="B120"/>
      <pageMargins left="0" right="0" top="0" bottom="0" header="0" footer="0"/>
      <pageSetup paperSize="9" orientation="portrait" r:id="rId7"/>
    </customSheetView>
    <customSheetView guid="{F468A2FD-7987-4A9D-8BAE-1AACE523607F}" topLeftCell="A104">
      <selection activeCell="B120" sqref="B120"/>
      <pageMargins left="0" right="0" top="0" bottom="0" header="0" footer="0"/>
      <pageSetup paperSize="9" orientation="portrait" r:id="rId8"/>
    </customSheetView>
    <customSheetView guid="{2D920366-22B2-4182-A65D-0EDBE614FB37}" showGridLines="0">
      <pageMargins left="0" right="0" top="0" bottom="0" header="0" footer="0"/>
      <pageSetup paperSize="9" orientation="portrait" r:id="rId9"/>
    </customSheetView>
  </customSheetViews>
  <phoneticPr fontId="89" type="noConversion"/>
  <dataValidations count="1">
    <dataValidation type="custom" allowBlank="1" showInputMessage="1" showErrorMessage="1" error="Please do not change these values" sqref="D405:D407 B394:F399 D380:D389" xr:uid="{1CB40847-4927-492B-871E-A5C6F226D270}">
      <formula1>"Please do not change these values"</formula1>
    </dataValidation>
  </dataValidations>
  <hyperlinks>
    <hyperlink ref="D350" r:id="rId10" display="https://www.sciencedirect.com/science/article/pii/S0301479722019296" xr:uid="{D1279F9A-F208-4560-895F-7E0898FB12B5}"/>
  </hyperlinks>
  <pageMargins left="0" right="0" top="0" bottom="0" header="0" footer="0"/>
  <pageSetup paperSize="9" orientation="portrait" r:id="rId11"/>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C7E8FA"/>
  </sheetPr>
  <dimension ref="B1:BD56"/>
  <sheetViews>
    <sheetView showGridLines="0" zoomScaleNormal="100" workbookViewId="0"/>
  </sheetViews>
  <sheetFormatPr defaultColWidth="10" defaultRowHeight="15" customHeight="1"/>
  <cols>
    <col min="1" max="1" width="7.85546875" customWidth="1"/>
    <col min="2" max="2" width="63.140625" customWidth="1"/>
    <col min="3" max="3" width="7.85546875" customWidth="1"/>
    <col min="4" max="4" width="33.140625" customWidth="1"/>
    <col min="5" max="37" width="7.85546875" customWidth="1"/>
  </cols>
  <sheetData>
    <row r="1" spans="2:56" ht="15" customHeight="1">
      <c r="C1" s="46"/>
      <c r="D1" s="46"/>
      <c r="E1" s="46"/>
      <c r="F1" s="46"/>
      <c r="G1" s="46"/>
      <c r="H1" s="46"/>
      <c r="I1" s="46"/>
      <c r="J1" s="46"/>
      <c r="K1" s="46"/>
      <c r="L1" s="46"/>
      <c r="M1" s="46"/>
      <c r="N1" s="46"/>
      <c r="O1" s="46"/>
      <c r="P1" s="46"/>
      <c r="Q1" s="46"/>
      <c r="R1" s="46"/>
      <c r="S1" s="46"/>
      <c r="T1" s="46"/>
      <c r="U1" s="46"/>
      <c r="V1" s="46"/>
      <c r="W1" s="46"/>
      <c r="X1" s="46"/>
      <c r="Y1" s="46"/>
      <c r="Z1" s="46"/>
      <c r="AA1" s="47"/>
      <c r="AB1" s="46"/>
      <c r="AC1" s="47"/>
      <c r="AD1" s="46"/>
      <c r="AE1" s="47"/>
      <c r="AF1" s="46"/>
      <c r="AG1" s="47"/>
      <c r="AH1" s="46"/>
      <c r="AI1" s="47"/>
      <c r="AJ1" s="46"/>
      <c r="AK1" s="47"/>
      <c r="AL1" s="46"/>
      <c r="AM1" s="47"/>
      <c r="AN1" s="46"/>
      <c r="AO1" s="47"/>
      <c r="AP1" s="46"/>
      <c r="AQ1" s="47"/>
      <c r="AR1" s="46"/>
      <c r="AS1" s="47"/>
      <c r="AT1" s="46"/>
      <c r="AU1" s="47"/>
      <c r="AV1" s="46"/>
      <c r="AW1" s="47"/>
      <c r="AX1" s="46"/>
      <c r="AY1" s="47"/>
      <c r="AZ1" s="46"/>
      <c r="BA1" s="47"/>
      <c r="BB1" s="46"/>
      <c r="BC1" s="47"/>
      <c r="BD1" s="46"/>
    </row>
    <row r="2" spans="2:56" s="274" customFormat="1" ht="15" customHeight="1">
      <c r="B2" s="279" t="s">
        <v>914</v>
      </c>
      <c r="C2" s="279"/>
      <c r="D2" s="279"/>
      <c r="E2" s="279"/>
      <c r="F2" s="280"/>
      <c r="G2" s="280"/>
      <c r="H2" s="280"/>
      <c r="I2" s="280"/>
      <c r="J2" s="280"/>
      <c r="K2" s="280"/>
      <c r="L2" s="280"/>
      <c r="M2" s="280"/>
      <c r="N2" s="280"/>
      <c r="O2" s="280"/>
      <c r="P2" s="280"/>
      <c r="Q2" s="280"/>
      <c r="R2" s="280"/>
      <c r="S2" s="280"/>
      <c r="T2" s="280"/>
      <c r="U2" s="280"/>
      <c r="V2" s="280"/>
      <c r="W2" s="280"/>
      <c r="X2" s="280"/>
      <c r="Y2" s="280"/>
      <c r="Z2" s="280"/>
      <c r="AA2" s="281"/>
      <c r="AB2" s="280"/>
      <c r="AC2" s="281"/>
      <c r="AD2" s="280"/>
      <c r="AE2" s="281"/>
      <c r="AF2" s="280"/>
      <c r="AG2" s="281"/>
      <c r="AH2" s="280"/>
      <c r="AI2" s="281"/>
      <c r="AJ2" s="280"/>
      <c r="AK2" s="281"/>
      <c r="AL2" s="280"/>
      <c r="AM2" s="281"/>
      <c r="AN2" s="280"/>
      <c r="AO2" s="281"/>
      <c r="AP2" s="280"/>
      <c r="AQ2" s="281"/>
      <c r="AR2" s="280"/>
      <c r="AS2" s="281"/>
      <c r="AT2" s="280"/>
      <c r="AU2" s="281"/>
      <c r="AV2" s="280"/>
      <c r="AW2" s="281"/>
      <c r="AX2" s="280"/>
      <c r="AY2" s="281"/>
      <c r="AZ2" s="280"/>
      <c r="BA2" s="281"/>
      <c r="BB2" s="280"/>
      <c r="BC2" s="281"/>
      <c r="BD2" s="280"/>
    </row>
    <row r="3" spans="2:56" ht="15" customHeight="1">
      <c r="B3" s="48"/>
      <c r="C3" s="48"/>
      <c r="D3" s="48"/>
      <c r="E3" s="48"/>
      <c r="F3" s="46"/>
      <c r="G3" s="46"/>
      <c r="H3" s="46"/>
      <c r="I3" s="46"/>
      <c r="J3" s="46"/>
      <c r="K3" s="46"/>
      <c r="L3" s="46"/>
      <c r="M3" s="46"/>
      <c r="N3" s="46"/>
      <c r="O3" s="46"/>
      <c r="P3" s="46"/>
      <c r="Q3" s="46"/>
      <c r="R3" s="46"/>
      <c r="S3" s="46"/>
      <c r="T3" s="46"/>
      <c r="U3" s="46"/>
      <c r="V3" s="46"/>
      <c r="W3" s="46"/>
      <c r="X3" s="46"/>
      <c r="Y3" s="46"/>
      <c r="Z3" s="46"/>
      <c r="AA3" s="47"/>
      <c r="AB3" s="46"/>
      <c r="AC3" s="47"/>
      <c r="AD3" s="46"/>
      <c r="AE3" s="47"/>
      <c r="AF3" s="46"/>
      <c r="AG3" s="47"/>
      <c r="AH3" s="46"/>
      <c r="AI3" s="47"/>
      <c r="AJ3" s="46"/>
      <c r="AK3" s="47"/>
      <c r="AL3" s="46"/>
      <c r="AM3" s="47"/>
      <c r="AN3" s="46"/>
      <c r="AO3" s="47"/>
      <c r="AP3" s="46"/>
      <c r="AQ3" s="47"/>
      <c r="AR3" s="46"/>
      <c r="AS3" s="47"/>
      <c r="AT3" s="46"/>
      <c r="AU3" s="47"/>
      <c r="AV3" s="46"/>
      <c r="AW3" s="47"/>
      <c r="AX3" s="46"/>
      <c r="AY3" s="47"/>
      <c r="AZ3" s="46"/>
      <c r="BA3" s="47"/>
      <c r="BB3" s="46"/>
      <c r="BC3" s="47"/>
      <c r="BD3" s="46"/>
    </row>
    <row r="4" spans="2:56" ht="15" customHeight="1">
      <c r="B4" s="49" t="s">
        <v>915</v>
      </c>
      <c r="C4" s="48"/>
      <c r="D4" s="45" t="s">
        <v>916</v>
      </c>
      <c r="E4" s="48"/>
      <c r="F4" s="46"/>
      <c r="G4" s="46"/>
      <c r="H4" s="46"/>
      <c r="I4" s="46"/>
      <c r="J4" s="46"/>
      <c r="K4" s="46"/>
      <c r="L4" s="46"/>
      <c r="M4" s="46"/>
      <c r="N4" s="46"/>
      <c r="O4" s="46"/>
      <c r="P4" s="46"/>
      <c r="Q4" s="46"/>
      <c r="R4" s="46"/>
      <c r="S4" s="46"/>
      <c r="T4" s="46"/>
      <c r="U4" s="46"/>
      <c r="V4" s="46"/>
      <c r="W4" s="46"/>
      <c r="X4" s="46"/>
      <c r="Y4" s="46"/>
      <c r="Z4" s="46"/>
      <c r="AA4" s="47"/>
      <c r="AB4" s="46"/>
      <c r="AC4" s="47"/>
      <c r="AD4" s="46"/>
      <c r="AE4" s="47"/>
      <c r="AF4" s="46"/>
      <c r="AG4" s="47"/>
      <c r="AH4" s="46"/>
      <c r="AI4" s="47"/>
      <c r="AJ4" s="46"/>
      <c r="AK4" s="47"/>
      <c r="AL4" s="46"/>
      <c r="AM4" s="47"/>
      <c r="AN4" s="46"/>
      <c r="AO4" s="47"/>
      <c r="AP4" s="46"/>
      <c r="AQ4" s="47"/>
      <c r="AR4" s="46"/>
      <c r="AS4" s="47"/>
      <c r="AT4" s="46"/>
      <c r="AU4" s="47"/>
      <c r="AV4" s="46"/>
      <c r="AW4" s="47"/>
      <c r="AX4" s="46"/>
      <c r="AY4" s="47"/>
      <c r="AZ4" s="46"/>
      <c r="BA4" s="47"/>
      <c r="BB4" s="46"/>
      <c r="BC4" s="47"/>
      <c r="BD4" s="46"/>
    </row>
    <row r="5" spans="2:56" ht="15" customHeight="1">
      <c r="B5" s="49" t="s">
        <v>917</v>
      </c>
      <c r="C5" s="48"/>
      <c r="D5" s="45" t="s">
        <v>916</v>
      </c>
      <c r="E5" s="48"/>
      <c r="F5" s="46"/>
      <c r="G5" s="46"/>
      <c r="H5" s="46"/>
      <c r="I5" s="46"/>
      <c r="J5" s="46"/>
      <c r="K5" s="46"/>
      <c r="L5" s="46"/>
      <c r="M5" s="46"/>
      <c r="N5" s="46"/>
      <c r="O5" s="46"/>
      <c r="P5" s="46"/>
      <c r="Q5" s="46"/>
      <c r="R5" s="46"/>
      <c r="S5" s="46"/>
      <c r="T5" s="46"/>
      <c r="U5" s="46"/>
      <c r="V5" s="46"/>
      <c r="W5" s="46"/>
      <c r="X5" s="46"/>
      <c r="Y5" s="46"/>
      <c r="Z5" s="46"/>
      <c r="AA5" s="47"/>
      <c r="AB5" s="46"/>
      <c r="AC5" s="47"/>
      <c r="AD5" s="46"/>
      <c r="AE5" s="47"/>
      <c r="AF5" s="46"/>
      <c r="AG5" s="47"/>
      <c r="AH5" s="46"/>
      <c r="AI5" s="47"/>
      <c r="AJ5" s="46"/>
      <c r="AK5" s="47"/>
      <c r="AL5" s="46"/>
      <c r="AM5" s="47"/>
      <c r="AN5" s="46"/>
      <c r="AO5" s="47"/>
      <c r="AP5" s="46"/>
      <c r="AQ5" s="47"/>
      <c r="AR5" s="46"/>
      <c r="AS5" s="47"/>
      <c r="AT5" s="46"/>
      <c r="AU5" s="47"/>
      <c r="AV5" s="46"/>
      <c r="AW5" s="47"/>
      <c r="AX5" s="46"/>
      <c r="AY5" s="47"/>
      <c r="AZ5" s="46"/>
      <c r="BA5" s="47"/>
      <c r="BB5" s="46"/>
      <c r="BC5" s="47"/>
      <c r="BD5" s="46"/>
    </row>
    <row r="6" spans="2:56" ht="15" customHeight="1">
      <c r="B6" s="48"/>
      <c r="C6" s="48"/>
      <c r="D6" s="48"/>
      <c r="E6" s="48"/>
      <c r="F6" s="46"/>
      <c r="G6" s="46"/>
      <c r="H6" s="46"/>
      <c r="I6" s="46"/>
      <c r="J6" s="46"/>
      <c r="K6" s="46"/>
      <c r="L6" s="46"/>
      <c r="M6" s="46"/>
      <c r="N6" s="46"/>
      <c r="O6" s="46"/>
      <c r="P6" s="46"/>
      <c r="Q6" s="46"/>
      <c r="R6" s="46"/>
      <c r="S6" s="46"/>
      <c r="T6" s="46"/>
      <c r="U6" s="46"/>
      <c r="V6" s="46"/>
      <c r="W6" s="46"/>
      <c r="X6" s="46"/>
      <c r="Y6" s="46"/>
      <c r="Z6" s="46"/>
      <c r="AA6" s="47"/>
      <c r="AB6" s="46"/>
      <c r="AC6" s="47"/>
      <c r="AD6" s="46"/>
      <c r="AE6" s="47"/>
      <c r="AF6" s="46"/>
      <c r="AG6" s="47"/>
      <c r="AH6" s="46"/>
      <c r="AI6" s="47"/>
      <c r="AJ6" s="46"/>
      <c r="AK6" s="47"/>
      <c r="AL6" s="46"/>
      <c r="AM6" s="47"/>
      <c r="AN6" s="46"/>
      <c r="AO6" s="47"/>
      <c r="AP6" s="46"/>
      <c r="AQ6" s="47"/>
      <c r="AR6" s="46"/>
      <c r="AS6" s="47"/>
      <c r="AT6" s="46"/>
      <c r="AU6" s="47"/>
      <c r="AV6" s="46"/>
      <c r="AW6" s="47"/>
      <c r="AX6" s="46"/>
      <c r="AY6" s="47"/>
      <c r="AZ6" s="46"/>
      <c r="BA6" s="47"/>
      <c r="BB6" s="46"/>
      <c r="BC6" s="47"/>
      <c r="BD6" s="46"/>
    </row>
    <row r="7" spans="2:56" ht="15" customHeight="1">
      <c r="B7" s="50" t="s">
        <v>918</v>
      </c>
      <c r="D7" s="29" t="s">
        <v>919</v>
      </c>
      <c r="E7" s="49"/>
      <c r="F7" s="46"/>
      <c r="G7" s="46"/>
      <c r="H7" s="46"/>
      <c r="I7" s="46"/>
      <c r="J7" s="46"/>
      <c r="K7" s="46"/>
      <c r="L7" s="46"/>
      <c r="M7" s="46"/>
      <c r="N7" s="46"/>
      <c r="O7" s="46"/>
      <c r="P7" s="46"/>
      <c r="Q7" s="46"/>
      <c r="R7" s="46"/>
      <c r="S7" s="46"/>
      <c r="T7" s="46"/>
      <c r="U7" s="46"/>
      <c r="V7" s="46"/>
      <c r="W7" s="46"/>
      <c r="X7" s="46"/>
      <c r="Y7" s="46"/>
      <c r="Z7" s="46"/>
      <c r="AA7" s="47"/>
      <c r="AB7" s="46"/>
      <c r="AC7" s="47"/>
      <c r="AD7" s="46"/>
      <c r="AE7" s="47"/>
      <c r="AF7" s="46"/>
      <c r="AG7" s="47"/>
      <c r="AH7" s="46"/>
      <c r="AI7" s="47"/>
      <c r="AJ7" s="46"/>
      <c r="AK7" s="47"/>
      <c r="AL7" s="46"/>
      <c r="AM7" s="47"/>
      <c r="AN7" s="46"/>
      <c r="AO7" s="47"/>
      <c r="AP7" s="46"/>
      <c r="AQ7" s="47"/>
      <c r="AR7" s="46"/>
      <c r="AS7" s="47"/>
      <c r="AT7" s="46"/>
      <c r="AU7" s="47"/>
      <c r="AV7" s="46"/>
      <c r="AW7" s="47"/>
      <c r="AX7" s="46"/>
      <c r="AY7" s="47"/>
      <c r="AZ7" s="46"/>
      <c r="BA7" s="47"/>
      <c r="BB7" s="46"/>
      <c r="BC7" s="47"/>
      <c r="BD7" s="46"/>
    </row>
    <row r="8" spans="2:56" ht="15" customHeight="1">
      <c r="B8" s="49" t="s">
        <v>920</v>
      </c>
      <c r="D8" s="29" t="s">
        <v>921</v>
      </c>
      <c r="E8" s="49"/>
      <c r="F8" s="46"/>
      <c r="G8" s="46"/>
      <c r="H8" s="46"/>
      <c r="I8" s="46"/>
      <c r="J8" s="46"/>
      <c r="K8" s="46"/>
      <c r="L8" s="46"/>
      <c r="M8" s="46"/>
      <c r="N8" s="46"/>
      <c r="O8" s="46"/>
      <c r="P8" s="46"/>
      <c r="Q8" s="46"/>
      <c r="R8" s="46"/>
      <c r="S8" s="46"/>
      <c r="T8" s="46"/>
      <c r="U8" s="46"/>
      <c r="V8" s="46"/>
      <c r="W8" s="46"/>
      <c r="X8" s="46"/>
      <c r="Y8" s="46"/>
      <c r="Z8" s="46"/>
      <c r="AA8" s="47"/>
      <c r="AB8" s="46"/>
      <c r="AC8" s="47"/>
      <c r="AD8" s="46"/>
      <c r="AE8" s="47"/>
      <c r="AF8" s="46"/>
      <c r="AG8" s="47"/>
      <c r="AH8" s="46"/>
      <c r="AI8" s="47"/>
      <c r="AJ8" s="46"/>
      <c r="AK8" s="47"/>
      <c r="AL8" s="46"/>
      <c r="AM8" s="47"/>
      <c r="AN8" s="46"/>
      <c r="AO8" s="47"/>
      <c r="AP8" s="46"/>
      <c r="AQ8" s="47"/>
      <c r="AR8" s="46"/>
      <c r="AS8" s="47"/>
      <c r="AT8" s="46"/>
      <c r="AU8" s="47"/>
      <c r="AV8" s="46"/>
      <c r="AW8" s="47"/>
      <c r="AX8" s="46"/>
      <c r="AY8" s="47"/>
      <c r="AZ8" s="46"/>
      <c r="BA8" s="47"/>
      <c r="BB8" s="46"/>
      <c r="BC8" s="47"/>
      <c r="BD8" s="46"/>
    </row>
    <row r="9" spans="2:56" ht="15" customHeight="1">
      <c r="B9" t="s">
        <v>922</v>
      </c>
      <c r="D9" s="29" t="s">
        <v>923</v>
      </c>
      <c r="E9" s="49"/>
      <c r="F9" s="46"/>
      <c r="G9" s="46"/>
      <c r="H9" s="46"/>
      <c r="I9" s="46"/>
      <c r="J9" s="46"/>
      <c r="K9" s="46"/>
      <c r="L9" s="46"/>
      <c r="M9" s="46"/>
      <c r="N9" s="46"/>
      <c r="O9" s="46"/>
      <c r="P9" s="46"/>
      <c r="Q9" s="46"/>
      <c r="R9" s="46"/>
      <c r="S9" s="46"/>
      <c r="T9" s="46"/>
      <c r="U9" s="46"/>
      <c r="V9" s="46"/>
      <c r="W9" s="46"/>
      <c r="X9" s="46"/>
      <c r="Y9" s="46"/>
      <c r="Z9" s="46"/>
      <c r="AA9" s="47"/>
      <c r="AB9" s="46"/>
      <c r="AC9" s="47"/>
      <c r="AD9" s="46"/>
      <c r="AE9" s="47"/>
      <c r="AF9" s="46"/>
      <c r="AG9" s="47"/>
      <c r="AH9" s="46"/>
      <c r="AI9" s="47"/>
      <c r="AJ9" s="46"/>
      <c r="AK9" s="47"/>
      <c r="AL9" s="46"/>
      <c r="AM9" s="47"/>
      <c r="AN9" s="46"/>
      <c r="AO9" s="47"/>
      <c r="AP9" s="46"/>
      <c r="AQ9" s="47"/>
      <c r="AR9" s="46"/>
      <c r="AS9" s="47"/>
      <c r="AT9" s="46"/>
      <c r="AU9" s="47"/>
      <c r="AV9" s="46"/>
      <c r="AW9" s="47"/>
      <c r="AX9" s="46"/>
      <c r="AY9" s="47"/>
      <c r="AZ9" s="46"/>
      <c r="BA9" s="47"/>
      <c r="BB9" s="46"/>
      <c r="BC9" s="47"/>
      <c r="BD9" s="46"/>
    </row>
    <row r="10" spans="2:56" ht="15" customHeight="1">
      <c r="B10" t="s">
        <v>924</v>
      </c>
      <c r="D10" s="29" t="s">
        <v>925</v>
      </c>
      <c r="E10" s="49"/>
      <c r="F10" s="46"/>
      <c r="G10" s="46"/>
      <c r="H10" s="46"/>
      <c r="I10" s="46"/>
      <c r="J10" s="46"/>
      <c r="K10" s="46"/>
      <c r="L10" s="46"/>
      <c r="M10" s="46"/>
      <c r="N10" s="46"/>
      <c r="O10" s="46"/>
      <c r="P10" s="46"/>
      <c r="Q10" s="46"/>
      <c r="R10" s="46"/>
      <c r="S10" s="46"/>
      <c r="T10" s="46"/>
      <c r="U10" s="46"/>
      <c r="V10" s="46"/>
      <c r="W10" s="46"/>
      <c r="X10" s="46"/>
      <c r="Y10" s="46"/>
      <c r="Z10" s="46"/>
      <c r="AA10" s="47"/>
      <c r="AB10" s="46"/>
      <c r="AC10" s="47"/>
      <c r="AD10" s="46"/>
      <c r="AE10" s="47"/>
      <c r="AF10" s="46"/>
      <c r="AG10" s="47"/>
      <c r="AH10" s="46"/>
      <c r="AI10" s="47"/>
      <c r="AJ10" s="46"/>
      <c r="AK10" s="47"/>
      <c r="AL10" s="46"/>
      <c r="AM10" s="47"/>
      <c r="AN10" s="46"/>
      <c r="AO10" s="47"/>
      <c r="AP10" s="46"/>
      <c r="AQ10" s="47"/>
      <c r="AR10" s="46"/>
      <c r="AS10" s="47"/>
      <c r="AT10" s="46"/>
      <c r="AU10" s="47"/>
      <c r="AV10" s="46"/>
      <c r="AW10" s="47"/>
      <c r="AX10" s="46"/>
      <c r="AY10" s="47"/>
      <c r="AZ10" s="46"/>
      <c r="BA10" s="47"/>
      <c r="BB10" s="46"/>
      <c r="BC10" s="47"/>
      <c r="BD10" s="46"/>
    </row>
    <row r="11" spans="2:56" ht="15" customHeight="1">
      <c r="D11" s="29"/>
      <c r="E11" s="49"/>
      <c r="F11" s="46"/>
      <c r="G11" s="46"/>
      <c r="H11" s="46"/>
      <c r="I11" s="46"/>
      <c r="J11" s="46"/>
      <c r="K11" s="46"/>
      <c r="L11" s="46"/>
      <c r="M11" s="46"/>
      <c r="N11" s="46"/>
      <c r="O11" s="46"/>
      <c r="P11" s="46"/>
      <c r="Q11" s="46"/>
      <c r="R11" s="46"/>
      <c r="S11" s="46"/>
      <c r="T11" s="46"/>
      <c r="U11" s="46"/>
      <c r="V11" s="46"/>
      <c r="W11" s="46"/>
      <c r="X11" s="46"/>
      <c r="Y11" s="46"/>
      <c r="Z11" s="46"/>
      <c r="AA11" s="47"/>
      <c r="AB11" s="46"/>
      <c r="AC11" s="47"/>
      <c r="AD11" s="46"/>
      <c r="AE11" s="47"/>
      <c r="AF11" s="46"/>
      <c r="AG11" s="47"/>
      <c r="AH11" s="46"/>
      <c r="AI11" s="47"/>
      <c r="AJ11" s="46"/>
      <c r="AK11" s="47"/>
      <c r="AL11" s="46"/>
      <c r="AM11" s="47"/>
      <c r="AN11" s="46"/>
      <c r="AO11" s="47"/>
      <c r="AP11" s="46"/>
      <c r="AQ11" s="47"/>
      <c r="AR11" s="46"/>
      <c r="AS11" s="47"/>
      <c r="AT11" s="46"/>
      <c r="AU11" s="47"/>
      <c r="AV11" s="46"/>
      <c r="AW11" s="47"/>
      <c r="AX11" s="46"/>
      <c r="AY11" s="47"/>
      <c r="AZ11" s="46"/>
      <c r="BA11" s="47"/>
      <c r="BB11" s="46"/>
      <c r="BC11" s="47"/>
      <c r="BD11" s="46"/>
    </row>
    <row r="12" spans="2:56" ht="15" customHeight="1">
      <c r="B12" s="442" t="s">
        <v>926</v>
      </c>
      <c r="D12" s="29"/>
      <c r="E12" s="49"/>
      <c r="F12" s="46"/>
      <c r="G12" s="46"/>
      <c r="H12" s="46"/>
      <c r="I12" s="46"/>
      <c r="J12" s="46"/>
      <c r="K12" s="46"/>
      <c r="L12" s="46"/>
      <c r="M12" s="46"/>
      <c r="N12" s="46"/>
      <c r="O12" s="46"/>
      <c r="P12" s="46"/>
      <c r="Q12" s="46"/>
      <c r="R12" s="46"/>
      <c r="S12" s="46"/>
      <c r="T12" s="46"/>
      <c r="U12" s="46"/>
      <c r="V12" s="46"/>
      <c r="W12" s="46"/>
      <c r="X12" s="46"/>
      <c r="Y12" s="46"/>
      <c r="Z12" s="46"/>
      <c r="AA12" s="47"/>
      <c r="AB12" s="46"/>
      <c r="AC12" s="47"/>
      <c r="AD12" s="46"/>
      <c r="AE12" s="47"/>
      <c r="AF12" s="46"/>
      <c r="AG12" s="47"/>
      <c r="AH12" s="46"/>
      <c r="AI12" s="47"/>
      <c r="AJ12" s="46"/>
      <c r="AK12" s="47"/>
      <c r="AL12" s="46"/>
      <c r="AM12" s="47"/>
      <c r="AN12" s="46"/>
      <c r="AO12" s="47"/>
      <c r="AP12" s="46"/>
      <c r="AQ12" s="47"/>
      <c r="AR12" s="46"/>
      <c r="AS12" s="47"/>
      <c r="AT12" s="46"/>
      <c r="AU12" s="47"/>
      <c r="AV12" s="46"/>
      <c r="AW12" s="47"/>
      <c r="AX12" s="46"/>
      <c r="AY12" s="47"/>
      <c r="AZ12" s="46"/>
      <c r="BA12" s="47"/>
      <c r="BB12" s="46"/>
      <c r="BC12" s="47"/>
      <c r="BD12" s="46"/>
    </row>
    <row r="13" spans="2:56" ht="15" customHeight="1">
      <c r="B13" t="s">
        <v>927</v>
      </c>
      <c r="D13" s="45" t="s">
        <v>928</v>
      </c>
      <c r="E13" s="49"/>
      <c r="F13" s="46"/>
      <c r="G13" s="46"/>
      <c r="H13" s="46"/>
      <c r="I13" s="46"/>
      <c r="J13" s="46"/>
      <c r="K13" s="46"/>
      <c r="L13" s="46"/>
      <c r="M13" s="46"/>
      <c r="N13" s="46"/>
      <c r="O13" s="46"/>
      <c r="P13" s="46"/>
      <c r="Q13" s="46"/>
      <c r="R13" s="46"/>
      <c r="S13" s="46"/>
      <c r="T13" s="46"/>
      <c r="U13" s="46"/>
      <c r="V13" s="46"/>
      <c r="W13" s="46"/>
      <c r="X13" s="46"/>
      <c r="Y13" s="46"/>
      <c r="Z13" s="46"/>
      <c r="AA13" s="47"/>
      <c r="AB13" s="46"/>
      <c r="AC13" s="47"/>
      <c r="AD13" s="46"/>
      <c r="AE13" s="47"/>
      <c r="AF13" s="46"/>
      <c r="AG13" s="47"/>
      <c r="AH13" s="46"/>
      <c r="AI13" s="47"/>
      <c r="AJ13" s="46"/>
      <c r="AK13" s="47"/>
      <c r="AL13" s="46"/>
      <c r="AM13" s="47"/>
      <c r="AN13" s="46"/>
      <c r="AO13" s="47"/>
      <c r="AP13" s="46"/>
      <c r="AQ13" s="47"/>
      <c r="AR13" s="46"/>
      <c r="AS13" s="47"/>
      <c r="AT13" s="46"/>
      <c r="AU13" s="47"/>
      <c r="AV13" s="46"/>
      <c r="AW13" s="47"/>
      <c r="AX13" s="46"/>
      <c r="AY13" s="47"/>
      <c r="AZ13" s="46"/>
      <c r="BA13" s="47"/>
      <c r="BB13" s="46"/>
      <c r="BC13" s="47"/>
      <c r="BD13" s="46"/>
    </row>
    <row r="14" spans="2:56" ht="15" customHeight="1">
      <c r="B14" t="s">
        <v>929</v>
      </c>
      <c r="D14" s="45" t="s">
        <v>930</v>
      </c>
      <c r="E14" s="49"/>
      <c r="F14" s="46"/>
      <c r="G14" s="46"/>
      <c r="H14" s="46"/>
      <c r="I14" s="46"/>
      <c r="J14" s="46"/>
      <c r="K14" s="46"/>
      <c r="L14" s="46"/>
      <c r="M14" s="46"/>
      <c r="N14" s="46"/>
      <c r="O14" s="46"/>
      <c r="P14" s="46"/>
      <c r="Q14" s="46"/>
      <c r="R14" s="46"/>
      <c r="S14" s="46"/>
      <c r="T14" s="46"/>
      <c r="U14" s="46"/>
      <c r="V14" s="46"/>
      <c r="W14" s="46"/>
      <c r="X14" s="46"/>
      <c r="Y14" s="46"/>
      <c r="Z14" s="46"/>
      <c r="AA14" s="47"/>
      <c r="AB14" s="46"/>
      <c r="AC14" s="47"/>
      <c r="AD14" s="46"/>
      <c r="AE14" s="47"/>
      <c r="AF14" s="46"/>
      <c r="AG14" s="47"/>
      <c r="AH14" s="46"/>
      <c r="AI14" s="47"/>
      <c r="AJ14" s="46"/>
      <c r="AK14" s="47"/>
      <c r="AL14" s="46"/>
      <c r="AM14" s="47"/>
      <c r="AN14" s="46"/>
      <c r="AO14" s="47"/>
      <c r="AP14" s="46"/>
      <c r="AQ14" s="47"/>
      <c r="AR14" s="46"/>
      <c r="AS14" s="47"/>
      <c r="AT14" s="46"/>
      <c r="AU14" s="47"/>
      <c r="AV14" s="46"/>
      <c r="AW14" s="47"/>
      <c r="AX14" s="46"/>
      <c r="AY14" s="47"/>
      <c r="AZ14" s="46"/>
      <c r="BA14" s="47"/>
      <c r="BB14" s="46"/>
      <c r="BC14" s="47"/>
      <c r="BD14" s="46"/>
    </row>
    <row r="15" spans="2:56" ht="15" customHeight="1">
      <c r="B15" s="50" t="s">
        <v>931</v>
      </c>
      <c r="D15" s="29" t="s">
        <v>932</v>
      </c>
      <c r="E15" s="49"/>
      <c r="F15" s="46"/>
      <c r="G15" s="46"/>
      <c r="H15" s="46"/>
      <c r="I15" s="46"/>
      <c r="J15" s="46"/>
      <c r="K15" s="46"/>
      <c r="L15" s="46"/>
      <c r="M15" s="46"/>
      <c r="N15" s="46"/>
      <c r="O15" s="46"/>
      <c r="P15" s="46"/>
      <c r="Q15" s="46"/>
      <c r="R15" s="46"/>
      <c r="S15" s="46"/>
      <c r="T15" s="46"/>
      <c r="U15" s="46"/>
      <c r="V15" s="46"/>
      <c r="W15" s="46"/>
      <c r="X15" s="46"/>
      <c r="Y15" s="46"/>
      <c r="Z15" s="46"/>
      <c r="AA15" s="47"/>
      <c r="AB15" s="46"/>
      <c r="AC15" s="47"/>
      <c r="AD15" s="46"/>
      <c r="AE15" s="47"/>
      <c r="AF15" s="46"/>
      <c r="AG15" s="47"/>
      <c r="AH15" s="46"/>
      <c r="AI15" s="47"/>
      <c r="AJ15" s="46"/>
      <c r="AK15" s="47"/>
      <c r="AL15" s="46"/>
      <c r="AM15" s="47"/>
      <c r="AN15" s="46"/>
      <c r="AO15" s="47"/>
      <c r="AP15" s="46"/>
      <c r="AQ15" s="47"/>
      <c r="AR15" s="46"/>
      <c r="AS15" s="47"/>
      <c r="AT15" s="46"/>
      <c r="AU15" s="47"/>
      <c r="AV15" s="46"/>
      <c r="AW15" s="47"/>
      <c r="AX15" s="46"/>
      <c r="AY15" s="47"/>
      <c r="AZ15" s="46"/>
      <c r="BA15" s="47"/>
      <c r="BB15" s="46"/>
      <c r="BC15" s="47"/>
      <c r="BD15" s="46"/>
    </row>
    <row r="16" spans="2:56" ht="15" customHeight="1">
      <c r="B16" s="50" t="s">
        <v>933</v>
      </c>
      <c r="D16" s="29" t="s">
        <v>934</v>
      </c>
      <c r="E16" s="49"/>
      <c r="F16" s="46"/>
      <c r="G16" s="46"/>
      <c r="H16" s="46"/>
      <c r="I16" s="46"/>
      <c r="J16" s="46"/>
      <c r="K16" s="46"/>
      <c r="L16" s="46"/>
      <c r="M16" s="46"/>
      <c r="N16" s="46"/>
      <c r="O16" s="46"/>
      <c r="P16" s="46"/>
      <c r="Q16" s="46"/>
      <c r="R16" s="46"/>
      <c r="S16" s="46"/>
      <c r="T16" s="46"/>
      <c r="U16" s="46"/>
      <c r="V16" s="46"/>
      <c r="W16" s="46"/>
      <c r="X16" s="46"/>
      <c r="Y16" s="46"/>
      <c r="Z16" s="46"/>
      <c r="AA16" s="47"/>
      <c r="AB16" s="46"/>
      <c r="AC16" s="47"/>
      <c r="AD16" s="46"/>
      <c r="AE16" s="47"/>
      <c r="AF16" s="46"/>
      <c r="AG16" s="47"/>
      <c r="AH16" s="46"/>
      <c r="AI16" s="47"/>
      <c r="AJ16" s="46"/>
      <c r="AK16" s="47"/>
      <c r="AL16" s="46"/>
      <c r="AM16" s="47"/>
      <c r="AN16" s="46"/>
      <c r="AO16" s="47"/>
      <c r="AP16" s="46"/>
      <c r="AQ16" s="47"/>
      <c r="AR16" s="46"/>
      <c r="AS16" s="47"/>
      <c r="AT16" s="46"/>
      <c r="AU16" s="47"/>
      <c r="AV16" s="46"/>
      <c r="AW16" s="47"/>
      <c r="AX16" s="46"/>
      <c r="AY16" s="47"/>
      <c r="AZ16" s="46"/>
      <c r="BA16" s="47"/>
      <c r="BB16" s="46"/>
      <c r="BC16" s="47"/>
      <c r="BD16" s="46"/>
    </row>
    <row r="17" spans="2:56" ht="15" customHeight="1">
      <c r="B17" s="50" t="s">
        <v>935</v>
      </c>
      <c r="D17" s="29" t="s">
        <v>936</v>
      </c>
      <c r="E17" s="49"/>
      <c r="F17" s="46"/>
      <c r="G17" s="46"/>
      <c r="H17" s="46"/>
      <c r="I17" s="46"/>
      <c r="J17" s="46"/>
      <c r="K17" s="46"/>
      <c r="L17" s="46"/>
      <c r="M17" s="46"/>
      <c r="N17" s="46"/>
      <c r="O17" s="46"/>
      <c r="P17" s="46"/>
      <c r="Q17" s="46"/>
      <c r="R17" s="46"/>
      <c r="S17" s="46"/>
      <c r="T17" s="46"/>
      <c r="U17" s="46"/>
      <c r="V17" s="46"/>
      <c r="W17" s="46"/>
      <c r="X17" s="46"/>
      <c r="Y17" s="46"/>
      <c r="Z17" s="46"/>
      <c r="AA17" s="47"/>
      <c r="AB17" s="46"/>
      <c r="AC17" s="47"/>
      <c r="AD17" s="46"/>
      <c r="AE17" s="47"/>
      <c r="AF17" s="46"/>
      <c r="AG17" s="47"/>
      <c r="AH17" s="46"/>
      <c r="AI17" s="47"/>
      <c r="AJ17" s="46"/>
      <c r="AK17" s="47"/>
      <c r="AL17" s="46"/>
      <c r="AM17" s="47"/>
      <c r="AN17" s="46"/>
      <c r="AO17" s="47"/>
      <c r="AP17" s="46"/>
      <c r="AQ17" s="47"/>
      <c r="AR17" s="46"/>
      <c r="AS17" s="47"/>
      <c r="AT17" s="46"/>
      <c r="AU17" s="47"/>
      <c r="AV17" s="46"/>
      <c r="AW17" s="47"/>
      <c r="AX17" s="46"/>
      <c r="AY17" s="47"/>
      <c r="AZ17" s="46"/>
      <c r="BA17" s="47"/>
      <c r="BB17" s="46"/>
      <c r="BC17" s="47"/>
      <c r="BD17" s="46"/>
    </row>
    <row r="18" spans="2:56" ht="15" customHeight="1">
      <c r="B18" s="50" t="s">
        <v>937</v>
      </c>
      <c r="D18" s="29" t="s">
        <v>938</v>
      </c>
      <c r="E18" s="49"/>
      <c r="F18" s="46"/>
      <c r="G18" s="46"/>
      <c r="H18" s="46"/>
      <c r="I18" s="46"/>
      <c r="J18" s="46"/>
      <c r="K18" s="46"/>
      <c r="L18" s="46"/>
      <c r="M18" s="46"/>
      <c r="N18" s="46"/>
      <c r="O18" s="46"/>
      <c r="P18" s="46"/>
      <c r="Q18" s="46"/>
      <c r="R18" s="46"/>
      <c r="S18" s="46"/>
      <c r="T18" s="46"/>
      <c r="U18" s="46"/>
      <c r="V18" s="46"/>
      <c r="W18" s="46"/>
      <c r="X18" s="46"/>
      <c r="Y18" s="46"/>
      <c r="Z18" s="46"/>
      <c r="AA18" s="47"/>
      <c r="AB18" s="46"/>
      <c r="AC18" s="47"/>
      <c r="AD18" s="46"/>
      <c r="AE18" s="47"/>
      <c r="AF18" s="46"/>
      <c r="AG18" s="47"/>
      <c r="AH18" s="46"/>
      <c r="AI18" s="47"/>
      <c r="AJ18" s="46"/>
      <c r="AK18" s="47"/>
      <c r="AL18" s="46"/>
      <c r="AM18" s="47"/>
      <c r="AN18" s="46"/>
      <c r="AO18" s="47"/>
      <c r="AP18" s="46"/>
      <c r="AQ18" s="47"/>
      <c r="AR18" s="46"/>
      <c r="AS18" s="47"/>
      <c r="AT18" s="46"/>
      <c r="AU18" s="47"/>
      <c r="AV18" s="46"/>
      <c r="AW18" s="47"/>
      <c r="AX18" s="46"/>
      <c r="AY18" s="47"/>
      <c r="AZ18" s="46"/>
      <c r="BA18" s="47"/>
      <c r="BB18" s="46"/>
      <c r="BC18" s="47"/>
      <c r="BD18" s="46"/>
    </row>
    <row r="19" spans="2:56" ht="15" customHeight="1">
      <c r="B19" s="50" t="s">
        <v>939</v>
      </c>
      <c r="D19" s="29" t="s">
        <v>940</v>
      </c>
      <c r="E19" s="49"/>
      <c r="F19" s="46"/>
      <c r="G19" s="46"/>
      <c r="H19" s="46"/>
      <c r="I19" s="46"/>
      <c r="J19" s="46"/>
      <c r="K19" s="46"/>
      <c r="L19" s="46"/>
      <c r="M19" s="46"/>
      <c r="N19" s="46"/>
      <c r="O19" s="46"/>
      <c r="P19" s="46"/>
      <c r="Q19" s="46"/>
      <c r="R19" s="46"/>
      <c r="S19" s="46"/>
      <c r="T19" s="46"/>
      <c r="U19" s="46"/>
      <c r="V19" s="46"/>
      <c r="W19" s="46"/>
      <c r="X19" s="46"/>
      <c r="Y19" s="46"/>
      <c r="Z19" s="46"/>
      <c r="AA19" s="47"/>
      <c r="AB19" s="46"/>
      <c r="AC19" s="47"/>
      <c r="AD19" s="46"/>
      <c r="AE19" s="47"/>
      <c r="AF19" s="46"/>
      <c r="AG19" s="47"/>
      <c r="AH19" s="46"/>
      <c r="AI19" s="47"/>
      <c r="AJ19" s="46"/>
      <c r="AK19" s="47"/>
      <c r="AL19" s="46"/>
      <c r="AM19" s="47"/>
      <c r="AN19" s="46"/>
      <c r="AO19" s="47"/>
      <c r="AP19" s="46"/>
      <c r="AQ19" s="47"/>
      <c r="AR19" s="46"/>
      <c r="AS19" s="47"/>
      <c r="AT19" s="46"/>
      <c r="AU19" s="47"/>
      <c r="AV19" s="46"/>
      <c r="AW19" s="47"/>
      <c r="AX19" s="46"/>
      <c r="AY19" s="47"/>
      <c r="AZ19" s="46"/>
      <c r="BA19" s="47"/>
      <c r="BB19" s="46"/>
      <c r="BC19" s="47"/>
      <c r="BD19" s="46"/>
    </row>
    <row r="20" spans="2:56" ht="15" customHeight="1">
      <c r="B20" s="50" t="s">
        <v>941</v>
      </c>
      <c r="D20" s="29" t="s">
        <v>942</v>
      </c>
      <c r="E20" s="49"/>
      <c r="Z20" s="46"/>
      <c r="AA20" s="47"/>
      <c r="AB20" s="46"/>
      <c r="AC20" s="47"/>
      <c r="AD20" s="46"/>
      <c r="AE20" s="47"/>
      <c r="AF20" s="46"/>
      <c r="AG20" s="47"/>
      <c r="AH20" s="46"/>
      <c r="AI20" s="47"/>
      <c r="AJ20" s="46"/>
      <c r="AK20" s="47"/>
      <c r="AL20" s="46"/>
      <c r="AM20" s="47"/>
      <c r="AN20" s="46"/>
      <c r="AO20" s="47"/>
      <c r="AP20" s="46"/>
      <c r="AQ20" s="47"/>
      <c r="AR20" s="46"/>
      <c r="AS20" s="47"/>
      <c r="AT20" s="46"/>
      <c r="AU20" s="47"/>
      <c r="AV20" s="46"/>
      <c r="AW20" s="47"/>
      <c r="AX20" s="46"/>
      <c r="AY20" s="47"/>
      <c r="AZ20" s="46"/>
      <c r="BA20" s="47"/>
      <c r="BB20" s="46"/>
      <c r="BC20" s="47"/>
      <c r="BD20" s="46"/>
    </row>
    <row r="21" spans="2:56" ht="15" customHeight="1">
      <c r="B21" t="s">
        <v>943</v>
      </c>
      <c r="D21" s="623" t="s">
        <v>944</v>
      </c>
      <c r="E21" s="49"/>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s="46"/>
      <c r="BD21" s="46"/>
    </row>
    <row r="22" spans="2:56" ht="15" customHeight="1">
      <c r="B22" t="s">
        <v>945</v>
      </c>
      <c r="C22" s="29"/>
      <c r="D22" s="29" t="s">
        <v>946</v>
      </c>
      <c r="E22" s="49"/>
    </row>
    <row r="23" spans="2:56" s="28" customFormat="1" ht="15" customHeight="1">
      <c r="B23" s="48"/>
      <c r="D23" s="48"/>
      <c r="E23" s="48"/>
    </row>
    <row r="24" spans="2:56" ht="15" customHeight="1">
      <c r="B24" s="49"/>
      <c r="D24" s="49"/>
      <c r="E24" s="49"/>
    </row>
    <row r="25" spans="2:56" ht="15" customHeight="1">
      <c r="B25" s="49"/>
      <c r="D25" s="49"/>
      <c r="E25" s="49"/>
    </row>
    <row r="26" spans="2:56" ht="15" customHeight="1">
      <c r="B26" s="49"/>
      <c r="C26" s="49"/>
    </row>
    <row r="27" spans="2:56" ht="15" customHeight="1">
      <c r="B27" s="49"/>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row>
    <row r="28" spans="2:56" ht="15" customHeight="1">
      <c r="B28" s="49"/>
    </row>
    <row r="29" spans="2:56" ht="15" customHeight="1">
      <c r="B29" s="49"/>
    </row>
    <row r="30" spans="2:56" ht="15" customHeight="1">
      <c r="B30" s="49"/>
    </row>
    <row r="31" spans="2:56" ht="15" customHeight="1">
      <c r="B31" s="49"/>
    </row>
    <row r="32" spans="2:56" ht="15" customHeight="1">
      <c r="B32" s="49"/>
    </row>
    <row r="33" spans="2:2" ht="15" customHeight="1">
      <c r="B33" s="49"/>
    </row>
    <row r="34" spans="2:2" ht="15" customHeight="1">
      <c r="B34" s="49"/>
    </row>
    <row r="35" spans="2:2" ht="15" customHeight="1">
      <c r="B35" s="49"/>
    </row>
    <row r="36" spans="2:2" ht="15" customHeight="1">
      <c r="B36" s="49"/>
    </row>
    <row r="37" spans="2:2" ht="15" customHeight="1">
      <c r="B37" s="49"/>
    </row>
    <row r="38" spans="2:2" ht="15" customHeight="1">
      <c r="B38" s="49"/>
    </row>
    <row r="39" spans="2:2" ht="15" customHeight="1">
      <c r="B39" s="49"/>
    </row>
    <row r="40" spans="2:2" ht="15" customHeight="1">
      <c r="B40" s="49"/>
    </row>
    <row r="41" spans="2:2" ht="15" customHeight="1">
      <c r="B41" s="49"/>
    </row>
    <row r="42" spans="2:2" ht="15" customHeight="1">
      <c r="B42" s="49"/>
    </row>
    <row r="43" spans="2:2" ht="15" customHeight="1">
      <c r="B43" s="49"/>
    </row>
    <row r="44" spans="2:2" ht="15" customHeight="1">
      <c r="B44" s="49"/>
    </row>
    <row r="45" spans="2:2" ht="15" customHeight="1">
      <c r="B45" s="49"/>
    </row>
    <row r="46" spans="2:2" ht="15" customHeight="1">
      <c r="B46" s="49"/>
    </row>
    <row r="47" spans="2:2" ht="15" customHeight="1">
      <c r="B47" s="49"/>
    </row>
    <row r="48" spans="2:2" ht="15" customHeight="1">
      <c r="B48" s="49"/>
    </row>
    <row r="49" spans="2:2" ht="15" customHeight="1">
      <c r="B49" s="49"/>
    </row>
    <row r="50" spans="2:2" ht="15" customHeight="1">
      <c r="B50" s="49"/>
    </row>
    <row r="51" spans="2:2" ht="15" customHeight="1">
      <c r="B51" s="49"/>
    </row>
    <row r="52" spans="2:2" ht="15" customHeight="1">
      <c r="B52" s="49"/>
    </row>
    <row r="53" spans="2:2" ht="15" customHeight="1">
      <c r="B53" s="49"/>
    </row>
    <row r="54" spans="2:2" ht="15" customHeight="1">
      <c r="B54" s="49"/>
    </row>
    <row r="55" spans="2:2" ht="15" customHeight="1">
      <c r="B55" s="49"/>
    </row>
    <row r="56" spans="2:2" ht="15" customHeight="1">
      <c r="B56" s="49"/>
    </row>
  </sheetData>
  <customSheetViews>
    <customSheetView guid="{F03309BC-D3FA-4CF2-833B-D6D9A95FE1FB}" showGridLines="0">
      <selection activeCell="D2" sqref="D2"/>
      <pageMargins left="0" right="0" top="0" bottom="0" header="0" footer="0"/>
      <pageSetup orientation="portrait" r:id="rId1"/>
    </customSheetView>
    <customSheetView guid="{EECBF9DF-6D77-4263-85DA-71E40216BADD}" showGridLines="0">
      <selection activeCell="D1" sqref="D1"/>
      <pageMargins left="0" right="0" top="0" bottom="0" header="0" footer="0"/>
      <pageSetup orientation="portrait" r:id="rId2"/>
    </customSheetView>
    <customSheetView guid="{1C16EB38-F785-4168-9938-104594734038}" showGridLines="0">
      <selection activeCell="D1" sqref="D1"/>
      <pageMargins left="0" right="0" top="0" bottom="0" header="0" footer="0"/>
      <pageSetup orientation="portrait" r:id="rId3"/>
    </customSheetView>
    <customSheetView guid="{0E935136-9A80-44B6-88D5-61E64D742049}" showGridLines="0">
      <selection activeCell="D1" sqref="D1"/>
      <pageMargins left="0" right="0" top="0" bottom="0" header="0" footer="0"/>
      <pageSetup orientation="portrait" r:id="rId4"/>
    </customSheetView>
    <customSheetView guid="{E6EFD927-84B2-4D06-BB59-59D9DF522DA2}" showGridLines="0">
      <selection activeCell="D1" sqref="D1"/>
      <pageMargins left="0" right="0" top="0" bottom="0" header="0" footer="0"/>
      <pageSetup orientation="portrait" r:id="rId5"/>
    </customSheetView>
    <customSheetView guid="{3F0A4FBA-5323-448F-A023-B3E14C54064C}" showGridLines="0">
      <selection activeCell="D2" sqref="D2"/>
      <pageMargins left="0" right="0" top="0" bottom="0" header="0" footer="0"/>
      <pageSetup orientation="portrait" r:id="rId6"/>
    </customSheetView>
    <customSheetView guid="{D97B1299-69D0-4EE0-B673-CCF74742F96B}">
      <selection activeCell="D2" sqref="D2"/>
      <pageMargins left="0" right="0" top="0" bottom="0" header="0" footer="0"/>
      <pageSetup orientation="portrait" r:id="rId7"/>
    </customSheetView>
    <customSheetView guid="{F468A2FD-7987-4A9D-8BAE-1AACE523607F}" showGridLines="0">
      <selection activeCell="D1" sqref="D1"/>
      <pageMargins left="0" right="0" top="0" bottom="0" header="0" footer="0"/>
      <pageSetup orientation="portrait" r:id="rId8"/>
    </customSheetView>
    <customSheetView guid="{2D920366-22B2-4182-A65D-0EDBE614FB37}" showGridLines="0">
      <pageMargins left="0" right="0" top="0" bottom="0" header="0" footer="0"/>
      <pageSetup orientation="portrait" r:id="rId9"/>
    </customSheetView>
  </customSheetViews>
  <hyperlinks>
    <hyperlink ref="D15" r:id="rId10" xr:uid="{66C3743A-E091-4527-A6C8-745852E550D8}"/>
    <hyperlink ref="D13" r:id="rId11" xr:uid="{A83A02C9-BC07-4BE9-A9BA-B495E4797C16}"/>
    <hyperlink ref="D8" r:id="rId12" xr:uid="{8123D12B-FC65-48C7-B51D-D886173EEB0C}"/>
    <hyperlink ref="D7" r:id="rId13" xr:uid="{4628804A-9B53-46BB-90CF-913EF7A4DA82}"/>
    <hyperlink ref="D4" r:id="rId14" xr:uid="{6CC3E734-0235-49F4-9755-6E2442077FE5}"/>
    <hyperlink ref="D5" r:id="rId15" xr:uid="{955FAEAF-F5E3-440F-ACD3-CE4E5EDEA992}"/>
    <hyperlink ref="D17" r:id="rId16" xr:uid="{F4F0DC14-445C-4A93-8664-713903D1D17B}"/>
    <hyperlink ref="D16" r:id="rId17" xr:uid="{3FDB72DD-7680-4A18-9EA9-5865AE8AC3FF}"/>
    <hyperlink ref="D22" r:id="rId18" display="https://eur01.safelinks.protection.outlook.com/?url=https%3A%2F%2Fiea.blob.core.windows.net%2Fassets%2Fdeebef5d-0c34-4539-9d0c-10b13d840027%2FNetZeroby2050-ARoadmapfortheGlobalEnergySector_CORR.pdf&amp;data=05%7C01%7Cvon.chua%40e4tech.com%7C6c43196d55c247d8ecda08da220ab27e%7Cf2fe6bd39c4a485bae69e18820a88130%7C0%7C0%7C637859726588645422%7CUnknown%7CTWFpbGZsb3d8eyJWIjoiMC4wLjAwMDAiLCJQIjoiV2luMzIiLCJBTiI6Ik1haWwiLCJXVCI6Mn0%3D%7C3000%7C%7C%7C&amp;sdata=rpG8wo6ixFZnPOqx8GTUyk7%2BxgrmPnJFOmN9oPewMQs%3D&amp;reserved=0" xr:uid="{44FC9FA0-9B7F-46A3-A23A-F6EB9E3286F6}"/>
    <hyperlink ref="D21" r:id="rId19" display="https://web.archive.org/web/20190605065129/http://www.arb.ca.gov/fuels/lcfs/workgroups/lcfssustain/ISCC_EU_205_GHG_Calculation_and_GHG_Audit_2.3_eng.pdf" xr:uid="{2F6D7928-286C-4993-B304-A74A6915BC8E}"/>
    <hyperlink ref="D10" r:id="rId20" display="https://assets.publishing.service.gov.uk/government/uploads/system/uploads/attachment_data/file/947712/carbon-intensity-data-templates-2021.ods" xr:uid="{76C00A5E-1D15-4C02-8F59-2924936BD48D}"/>
  </hyperlinks>
  <pageMargins left="0" right="0" top="0" bottom="0" header="0" footer="0"/>
  <pageSetup orientation="portrait" r:id="rId21"/>
  <headerFooter>
    <oddHeader>&amp;C&amp;"Aptos"&amp;10&amp;K000000 OFFICIAL&amp;1#_x000D_</oddHeader>
    <oddFooter>&amp;C_x000D_&amp;1#&amp;"Aptos"&amp;10&amp;K000000 OFFICIAL</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D4345-2301-4207-9F68-510B60C05545}">
  <sheetPr codeName="Sheet10">
    <tabColor rgb="FFFF66CC"/>
  </sheetPr>
  <dimension ref="A1:Q84"/>
  <sheetViews>
    <sheetView showGridLines="0" zoomScaleNormal="100" workbookViewId="0">
      <pane xSplit="3" topLeftCell="D1" activePane="topRight" state="frozen"/>
      <selection pane="topRight"/>
    </sheetView>
  </sheetViews>
  <sheetFormatPr defaultColWidth="8.85546875" defaultRowHeight="14.45"/>
  <cols>
    <col min="1" max="1" width="4.5703125" customWidth="1"/>
    <col min="2" max="2" width="32.42578125" customWidth="1"/>
    <col min="3" max="3" width="30.5703125" customWidth="1"/>
    <col min="4" max="4" width="29.5703125" customWidth="1"/>
    <col min="5" max="5" width="15.85546875" customWidth="1"/>
    <col min="6" max="6" width="31.85546875" customWidth="1"/>
    <col min="7" max="7" width="28.5703125" customWidth="1"/>
    <col min="8" max="8" width="30.42578125" customWidth="1"/>
    <col min="9" max="10" width="26.85546875" customWidth="1"/>
    <col min="11" max="11" width="35.140625" customWidth="1"/>
    <col min="12" max="12" width="20.85546875" customWidth="1"/>
    <col min="13" max="13" width="29" customWidth="1"/>
    <col min="15" max="15" width="30.140625" customWidth="1"/>
    <col min="16" max="16" width="28.85546875" customWidth="1"/>
    <col min="17" max="17" width="28.5703125" customWidth="1"/>
  </cols>
  <sheetData>
    <row r="1" spans="1:17" ht="30.95">
      <c r="A1" s="80" t="str">
        <f>IF(AND(Path&lt;&gt;Units!$B$84, Path&lt;&gt;Units!$B$85, Path&lt;&gt;Units!$B$86, Path&lt;&gt;Units!$B$87,Path&lt;&gt;Units!$B$88,Path&lt;&gt;Units!$B$89,Master_Switch="On"),"User should not use this worksheet, but switch to a non-blank GHG summary worksheet","")</f>
        <v>User should not use this worksheet, but switch to a non-blank GHG summary worksheet</v>
      </c>
    </row>
    <row r="3" spans="1:17" s="426" customFormat="1">
      <c r="A3" s="425"/>
      <c r="B3" s="361" t="s">
        <v>947</v>
      </c>
    </row>
    <row r="4" spans="1:17" ht="30.95">
      <c r="A4" s="80"/>
    </row>
    <row r="5" spans="1:17" ht="74.45">
      <c r="B5" s="106" t="s">
        <v>948</v>
      </c>
      <c r="C5" s="106" t="s">
        <v>949</v>
      </c>
      <c r="D5" s="106" t="s">
        <v>950</v>
      </c>
      <c r="E5" s="106" t="s">
        <v>951</v>
      </c>
      <c r="F5" s="106" t="s">
        <v>952</v>
      </c>
      <c r="G5" s="106" t="s">
        <v>953</v>
      </c>
      <c r="H5" s="106" t="s">
        <v>954</v>
      </c>
      <c r="I5" s="106" t="s">
        <v>955</v>
      </c>
      <c r="J5" s="106" t="s">
        <v>956</v>
      </c>
      <c r="K5" s="106" t="s">
        <v>957</v>
      </c>
      <c r="L5" s="106" t="s">
        <v>958</v>
      </c>
      <c r="M5" s="106" t="s">
        <v>959</v>
      </c>
      <c r="O5" s="173" t="s">
        <v>960</v>
      </c>
      <c r="P5" s="173" t="s">
        <v>961</v>
      </c>
      <c r="Q5" s="173" t="s">
        <v>962</v>
      </c>
    </row>
    <row r="6" spans="1:17">
      <c r="B6" s="703" t="s">
        <v>55</v>
      </c>
      <c r="C6" s="93" t="s">
        <v>129</v>
      </c>
      <c r="D6" s="311" t="str">
        <f>IF(Initial_questions!E$114="", IF(Initial_questions!E$112="", "User to enter in Initial Qus", Initial_questions!E$112), Initial_questions!E$114)</f>
        <v>User to enter in Initial Qus</v>
      </c>
      <c r="E6" s="683" t="str">
        <f>Electrolysis!O9</f>
        <v/>
      </c>
      <c r="F6" s="686">
        <v>1</v>
      </c>
      <c r="G6" s="60">
        <f>IF(Electrolysis!$E$107=0,"Pathway not chosen",Electrolysis!V20+Electrolysis!V40)</f>
        <v>0</v>
      </c>
      <c r="H6" s="168">
        <f>G6*$F$6</f>
        <v>0</v>
      </c>
      <c r="I6" s="689" t="str">
        <f>Electrolysis!R9</f>
        <v/>
      </c>
      <c r="J6" s="683" t="str">
        <f>I6</f>
        <v/>
      </c>
      <c r="K6" s="59" t="e">
        <f t="shared" ref="K6:K11" si="0">H6*$J$6</f>
        <v>#VALUE!</v>
      </c>
      <c r="L6" s="168" t="str">
        <f>IF(OR(Path=Units!$B$84, Path=Units!$B$89),'Default data'!$D$41,IF(AND(Path=Units!$B$89,Initial_questions!$E$34&lt;&gt;0),'Default data'!$D$41,"Pathway not chosen"))</f>
        <v>Pathway not chosen</v>
      </c>
      <c r="M6" s="312" t="e">
        <f>IF(Electrolysis!$E$107=0,"Pathway not chosen", IF(D6="Default",L6,K6))</f>
        <v>#VALUE!</v>
      </c>
      <c r="O6" s="163" t="str">
        <f>IF(OR(Path=Units!$B$84, Path=Units!$B$89),'Default data'!E$41,"Pathway not chosen")</f>
        <v>Pathway not chosen</v>
      </c>
      <c r="P6" s="163" t="str">
        <f>IF(OR(Path=Units!$B$84, Path=Units!$B$89),'Default data'!F$41,"Pathway not chosen")</f>
        <v>Pathway not chosen</v>
      </c>
      <c r="Q6" s="163" t="str">
        <f>IF(OR(Path=Units!$B$84, Path=Units!$B$89),'Default data'!G$41,"Pathway not chosen")</f>
        <v>Pathway not chosen</v>
      </c>
    </row>
    <row r="7" spans="1:17">
      <c r="B7" s="704"/>
      <c r="C7" s="93" t="s">
        <v>130</v>
      </c>
      <c r="D7" s="311" t="str">
        <f>IF(Initial_questions!E$115="", IF(Initial_questions!E$112="", "User to enter in Initial Qus", Initial_questions!E$112), Initial_questions!E$115)</f>
        <v>User to enter in Initial Qus</v>
      </c>
      <c r="E7" s="684"/>
      <c r="F7" s="687"/>
      <c r="G7" s="60">
        <f>IF(Electrolysis!$E$107=0,"Pathway not chosen",Electrolysis!V53)</f>
        <v>0</v>
      </c>
      <c r="H7" s="168">
        <f t="shared" ref="H7:H11" si="1">G7*$F$6</f>
        <v>0</v>
      </c>
      <c r="I7" s="690"/>
      <c r="J7" s="684"/>
      <c r="K7" s="59" t="e">
        <f t="shared" si="0"/>
        <v>#VALUE!</v>
      </c>
      <c r="L7" s="168" t="str">
        <f>IF(OR(Path=Units!$B$84, Path=Units!$B$89),'Default data'!$D$57,IF(AND(Path=Units!$B$89,Initial_questions!$E$34&lt;&gt;0),'Default data'!$D$57,"Pathway not chosen"))</f>
        <v>Pathway not chosen</v>
      </c>
      <c r="M7" s="312" t="e">
        <f>IF(Electrolysis!$E$107=0,"Pathway not chosen", IF(D7="Default",L7,K7))</f>
        <v>#VALUE!</v>
      </c>
      <c r="O7" s="163" t="str">
        <f>IF(OR(Path=Units!$B$84, Path=Units!$B$89),'Default data'!E$57,"Pathway not chosen")</f>
        <v>Pathway not chosen</v>
      </c>
      <c r="P7" s="163" t="str">
        <f>IF(OR(Path=Units!$B$84, Path=Units!$B$89),'Default data'!F$57,"Pathway not chosen")</f>
        <v>Pathway not chosen</v>
      </c>
      <c r="Q7" s="163" t="str">
        <f>IF(OR(Path=Units!$B$84, Path=Units!$B$89),'Default data'!G$57,"Pathway not chosen")</f>
        <v>Pathway not chosen</v>
      </c>
    </row>
    <row r="8" spans="1:17" ht="16.5">
      <c r="B8" s="704"/>
      <c r="C8" s="93" t="s">
        <v>963</v>
      </c>
      <c r="D8" s="93" t="s">
        <v>964</v>
      </c>
      <c r="E8" s="684"/>
      <c r="F8" s="687"/>
      <c r="G8" s="60">
        <f>IF(Electrolysis!$E$107=0,"Pathway not chosen",Electrolysis!V66)</f>
        <v>0</v>
      </c>
      <c r="H8" s="168">
        <f t="shared" si="1"/>
        <v>0</v>
      </c>
      <c r="I8" s="690"/>
      <c r="J8" s="684"/>
      <c r="K8" s="59" t="e">
        <f t="shared" si="0"/>
        <v>#VALUE!</v>
      </c>
      <c r="L8" s="56" t="s">
        <v>563</v>
      </c>
      <c r="M8" s="312" t="e">
        <f>IF(Electrolysis!$E$107=0,"Pathway not chosen", IF(D8="Default",L8,K8))</f>
        <v>#VALUE!</v>
      </c>
      <c r="O8" s="163" t="str">
        <f>IF(OR(Path=Units!$B$84, Path=Units!$B$89),'Default data'!E$73,"Pathway not chosen")</f>
        <v>Pathway not chosen</v>
      </c>
      <c r="P8" s="163" t="str">
        <f>IF(OR(Path=Units!$B$84, Path=Units!$B$89),'Default data'!F$73,"Pathway not chosen")</f>
        <v>Pathway not chosen</v>
      </c>
      <c r="Q8" s="163" t="str">
        <f>IF(OR(Path=Units!$B$84, Path=Units!$B$89),'Default data'!G$73,"Pathway not chosen")</f>
        <v>Pathway not chosen</v>
      </c>
    </row>
    <row r="9" spans="1:17" ht="16.5">
      <c r="B9" s="704"/>
      <c r="C9" s="61" t="s">
        <v>965</v>
      </c>
      <c r="D9" s="93" t="s">
        <v>964</v>
      </c>
      <c r="E9" s="684"/>
      <c r="F9" s="687"/>
      <c r="G9" s="60">
        <f>IF(Electrolysis!$E$107=0,"Pathway not chosen",Electrolysis!V74)</f>
        <v>0</v>
      </c>
      <c r="H9" s="168">
        <f t="shared" si="1"/>
        <v>0</v>
      </c>
      <c r="I9" s="690"/>
      <c r="J9" s="684"/>
      <c r="K9" s="59" t="e">
        <f t="shared" si="0"/>
        <v>#VALUE!</v>
      </c>
      <c r="L9" s="56" t="s">
        <v>563</v>
      </c>
      <c r="M9" s="312" t="e">
        <f>IF(Electrolysis!$E$107=0,"Pathway not chosen", IF(D9="Default",L9,K9))</f>
        <v>#VALUE!</v>
      </c>
      <c r="O9" s="163" t="str">
        <f>IF(OR(Path=Units!$B$84, Path=Units!$B$89),'Default data'!E$89,"Pathway not chosen")</f>
        <v>Pathway not chosen</v>
      </c>
      <c r="P9" s="163" t="str">
        <f>IF(OR(Path=Units!$B$84, Path=Units!$B$89),'Default data'!F$89,"Pathway not chosen")</f>
        <v>Pathway not chosen</v>
      </c>
      <c r="Q9" s="163" t="str">
        <f>IF(OR(Path=Units!$B$84, Path=Units!$B$89),'Default data'!G$89,"Pathway not chosen")</f>
        <v>Pathway not chosen</v>
      </c>
    </row>
    <row r="10" spans="1:17" ht="16.5">
      <c r="B10" s="704"/>
      <c r="C10" s="93" t="s">
        <v>966</v>
      </c>
      <c r="D10" s="93" t="s">
        <v>964</v>
      </c>
      <c r="E10" s="684"/>
      <c r="F10" s="687"/>
      <c r="G10" s="60">
        <f>IF(Electrolysis!$E$107=0,"Pathway not chosen",Electrolysis!V83)</f>
        <v>0</v>
      </c>
      <c r="H10" s="168">
        <f t="shared" si="1"/>
        <v>0</v>
      </c>
      <c r="I10" s="690"/>
      <c r="J10" s="684"/>
      <c r="K10" s="59" t="e">
        <f t="shared" si="0"/>
        <v>#VALUE!</v>
      </c>
      <c r="L10" s="56" t="s">
        <v>563</v>
      </c>
      <c r="M10" s="312" t="e">
        <f>IF(Electrolysis!$E$107=0,"Pathway not chosen", IF(D10="Default",L10,K10))</f>
        <v>#VALUE!</v>
      </c>
      <c r="O10" s="163" t="str">
        <f>IF(OR(Path=Units!$B$84, Path=Units!$B$89),'Default data'!E$105,"Pathway not chosen")</f>
        <v>Pathway not chosen</v>
      </c>
      <c r="P10" s="163" t="str">
        <f>IF(OR(Path=Units!$B$84, Path=Units!$B$89),'Default data'!F$105,"Pathway not chosen")</f>
        <v>Pathway not chosen</v>
      </c>
      <c r="Q10" s="163" t="str">
        <f>IF(OR(Path=Units!$B$84, Path=Units!$B$89),'Default data'!G$105,"Pathway not chosen")</f>
        <v>Pathway not chosen</v>
      </c>
    </row>
    <row r="11" spans="1:17" ht="16.5">
      <c r="B11" s="705"/>
      <c r="C11" s="93" t="s">
        <v>967</v>
      </c>
      <c r="D11" s="93" t="s">
        <v>964</v>
      </c>
      <c r="E11" s="685"/>
      <c r="F11" s="688"/>
      <c r="G11" s="60">
        <f>IF(Electrolysis!$E$107=0,"Pathway not chosen",Electrolysis!V91)</f>
        <v>0</v>
      </c>
      <c r="H11" s="168">
        <f t="shared" si="1"/>
        <v>0</v>
      </c>
      <c r="I11" s="691"/>
      <c r="J11" s="685"/>
      <c r="K11" s="59" t="e">
        <f t="shared" si="0"/>
        <v>#VALUE!</v>
      </c>
      <c r="L11" s="56" t="s">
        <v>563</v>
      </c>
      <c r="M11" s="312" t="e">
        <f>IF(Electrolysis!$E$107=0,"Pathway not chosen", IF(D11="Default",L11,K11))</f>
        <v>#VALUE!</v>
      </c>
      <c r="O11" s="163" t="str">
        <f>IF(OR(Path=Units!$B$84, Path=Units!$B$89),'Default data'!E$121,"Pathway not chosen")</f>
        <v>Pathway not chosen</v>
      </c>
      <c r="P11" s="163" t="str">
        <f>IF(OR(Path=Units!$B$84, Path=Units!$B$89),'Default data'!F$121,"Pathway not chosen")</f>
        <v>Pathway not chosen</v>
      </c>
      <c r="Q11" s="163" t="str">
        <f>IF(OR(Path=Units!$B$84, Path=Units!$B$89),'Default data'!G$121,"Pathway not chosen")</f>
        <v>Pathway not chosen</v>
      </c>
    </row>
    <row r="12" spans="1:17" ht="29.1">
      <c r="B12" s="93" t="s">
        <v>968</v>
      </c>
      <c r="C12" s="692" t="s">
        <v>969</v>
      </c>
      <c r="D12" s="541" t="s">
        <v>970</v>
      </c>
      <c r="L12" s="518" t="str">
        <f>'Typical data'!$D$389</f>
        <v>Yet to provide pressure or electricity source</v>
      </c>
      <c r="M12" s="517" t="str">
        <f>IF(Electrolysis!$E$107=0,"Pathway not chosen", L12)</f>
        <v>Yet to provide pressure or electricity source</v>
      </c>
      <c r="O12" s="163" t="s">
        <v>971</v>
      </c>
      <c r="P12" s="163" t="s">
        <v>971</v>
      </c>
      <c r="Q12" s="163" t="s">
        <v>971</v>
      </c>
    </row>
    <row r="13" spans="1:17" ht="29.1">
      <c r="B13" s="93" t="s">
        <v>972</v>
      </c>
      <c r="C13" s="693"/>
      <c r="D13" s="541" t="s">
        <v>973</v>
      </c>
      <c r="L13" s="520" t="str">
        <f>'Typical data'!$D$407</f>
        <v>Yet to provide electricity source</v>
      </c>
      <c r="M13" s="517" t="str">
        <f>IF(Electrolysis!$E$107=0,"Pathway not chosen", L13)</f>
        <v>Yet to provide electricity source</v>
      </c>
      <c r="O13" s="163" t="s">
        <v>971</v>
      </c>
      <c r="P13" s="163" t="s">
        <v>971</v>
      </c>
      <c r="Q13" s="163" t="s">
        <v>971</v>
      </c>
    </row>
    <row r="15" spans="1:17" ht="18.600000000000001">
      <c r="B15" s="97" t="s">
        <v>974</v>
      </c>
      <c r="C15" s="62"/>
      <c r="D15" s="62"/>
      <c r="E15" s="99">
        <f>PRODUCT(E6:E13)</f>
        <v>0</v>
      </c>
      <c r="F15" s="28"/>
      <c r="G15" s="28"/>
      <c r="H15" s="28"/>
      <c r="M15" s="102" t="str">
        <f>IF(COUNTIF(M6:M13,"*")&gt;0,"Pathway not chosen",SUM(M6:M13))</f>
        <v>Pathway not chosen</v>
      </c>
      <c r="N15" s="53"/>
      <c r="O15" s="163" t="str">
        <f>IF(OR(Path=Units!$B$84, Path=Units!$B$89),'Default data'!E$153,"Pathway not chosen")</f>
        <v>Pathway not chosen</v>
      </c>
      <c r="P15" s="163" t="str">
        <f>IF(OR(Path=Units!$B$84, Path=Units!$B$89),'Default data'!F$153,"Pathway not chosen")</f>
        <v>Pathway not chosen</v>
      </c>
      <c r="Q15" s="163" t="str">
        <f>IF(OR(Path=Units!$B$84, Path=Units!$B$89),'Default data'!G$153,"Pathway not chosen")</f>
        <v>Pathway not chosen</v>
      </c>
    </row>
    <row r="16" spans="1:17" ht="18.600000000000001">
      <c r="B16" s="97" t="s">
        <v>975</v>
      </c>
      <c r="C16" s="62"/>
      <c r="D16" s="62"/>
      <c r="M16" s="103">
        <v>20</v>
      </c>
      <c r="O16" s="694" t="s">
        <v>976</v>
      </c>
      <c r="P16" s="695"/>
      <c r="Q16" s="696"/>
    </row>
    <row r="17" spans="1:17">
      <c r="O17" s="697"/>
      <c r="P17" s="698"/>
      <c r="Q17" s="699"/>
    </row>
    <row r="18" spans="1:17">
      <c r="O18" s="700"/>
      <c r="P18" s="701"/>
      <c r="Q18" s="702"/>
    </row>
    <row r="20" spans="1:17" s="428" customFormat="1">
      <c r="A20" s="427"/>
      <c r="B20" s="362" t="s">
        <v>977</v>
      </c>
    </row>
    <row r="21" spans="1:17" ht="30.95">
      <c r="A21" s="80"/>
    </row>
    <row r="22" spans="1:17" ht="61.5">
      <c r="B22" s="106" t="s">
        <v>948</v>
      </c>
      <c r="C22" s="106" t="s">
        <v>949</v>
      </c>
      <c r="D22" s="106" t="s">
        <v>950</v>
      </c>
      <c r="E22" s="106" t="s">
        <v>951</v>
      </c>
      <c r="F22" s="106" t="s">
        <v>952</v>
      </c>
      <c r="G22" s="106" t="s">
        <v>953</v>
      </c>
      <c r="H22" s="106" t="s">
        <v>954</v>
      </c>
      <c r="I22" s="106" t="s">
        <v>955</v>
      </c>
      <c r="J22" s="106" t="s">
        <v>956</v>
      </c>
      <c r="K22" s="106" t="s">
        <v>957</v>
      </c>
      <c r="L22" s="106" t="s">
        <v>958</v>
      </c>
      <c r="M22" s="106" t="s">
        <v>959</v>
      </c>
      <c r="O22" s="173" t="s">
        <v>978</v>
      </c>
      <c r="P22" s="173" t="s">
        <v>979</v>
      </c>
      <c r="Q22" s="173" t="s">
        <v>980</v>
      </c>
    </row>
    <row r="23" spans="1:17">
      <c r="B23" s="703" t="s">
        <v>55</v>
      </c>
      <c r="C23" s="93" t="s">
        <v>129</v>
      </c>
      <c r="D23" s="311" t="str">
        <f>IF(Initial_questions!E$114="", IF(Initial_questions!E$112="", "User to enter in Initial Qus", Initial_questions!E$112), Initial_questions!E$114)</f>
        <v>User to enter in Initial Qus</v>
      </c>
      <c r="E23" s="683" t="str">
        <f>Electrolysis!O9</f>
        <v/>
      </c>
      <c r="F23" s="686">
        <v>1</v>
      </c>
      <c r="G23" s="60">
        <f>IF(Electrolysis!$E$108=0,"Pathway not chosen",Electrolysis!V24+Electrolysis!V40)</f>
        <v>0</v>
      </c>
      <c r="H23" s="168">
        <f>G23*$F$23</f>
        <v>0</v>
      </c>
      <c r="I23" s="689" t="str">
        <f>Electrolysis!R9</f>
        <v/>
      </c>
      <c r="J23" s="683" t="str">
        <f>I23</f>
        <v/>
      </c>
      <c r="K23" s="59" t="e">
        <f t="shared" ref="K23:K28" si="2">H23*$J$23</f>
        <v>#VALUE!</v>
      </c>
      <c r="L23" s="168" t="str">
        <f>IF(OR(Path=Units!$B$85, Path=Units!$B$89),'Default data'!$D$42,IF(AND(Path=Units!$B$89,Initial_questions!$E$35&lt;&gt;0),'Default data'!$D$42,"Pathway not chosen"))</f>
        <v>Pathway not chosen</v>
      </c>
      <c r="M23" s="312" t="e">
        <f>IF(Electrolysis!$E$108=0,"Pathway not chosen", IF(D23="Default",L23,K23))</f>
        <v>#VALUE!</v>
      </c>
      <c r="O23" s="163" t="str">
        <f>IF(OR(Path=Units!$B$85, Path=Units!$B$89),'Default data'!E$42,"Pathway not chosen")</f>
        <v>Pathway not chosen</v>
      </c>
      <c r="P23" s="163" t="str">
        <f>IF(OR(Path=Units!$B$85, Path=Units!$B$89),'Default data'!F$42,"Pathway not chosen")</f>
        <v>Pathway not chosen</v>
      </c>
      <c r="Q23" s="163" t="str">
        <f>IF(OR(Path=Units!$B$85, Path=Units!$B$89),'Default data'!G$42,"Pathway not chosen")</f>
        <v>Pathway not chosen</v>
      </c>
    </row>
    <row r="24" spans="1:17">
      <c r="B24" s="704"/>
      <c r="C24" s="93" t="s">
        <v>130</v>
      </c>
      <c r="D24" s="311" t="str">
        <f>IF(Initial_questions!E$115="", IF(Initial_questions!E$112="", "User to enter in Initial Qus", Initial_questions!E$112), Initial_questions!E$115)</f>
        <v>User to enter in Initial Qus</v>
      </c>
      <c r="E24" s="684"/>
      <c r="F24" s="687"/>
      <c r="G24" s="60">
        <f>IF(Electrolysis!$E$108=0,"Pathway not chosen",Electrolysis!V53)</f>
        <v>0</v>
      </c>
      <c r="H24" s="168">
        <f t="shared" ref="H24:H28" si="3">G24*$F$23</f>
        <v>0</v>
      </c>
      <c r="I24" s="690"/>
      <c r="J24" s="684"/>
      <c r="K24" s="59" t="e">
        <f t="shared" si="2"/>
        <v>#VALUE!</v>
      </c>
      <c r="L24" s="168" t="str">
        <f>IF(OR(Path=Units!$B$85, Path=Units!$B$89),'Default data'!$D$58,IF(AND(Path=Units!$B$89,Initial_questions!$E$35&lt;&gt;0),'Default data'!$D$58,"Pathway not chosen"))</f>
        <v>Pathway not chosen</v>
      </c>
      <c r="M24" s="312" t="e">
        <f>IF(Electrolysis!$E$108=0,"Pathway not chosen", IF(D24="Default",L24,K24))</f>
        <v>#VALUE!</v>
      </c>
      <c r="O24" s="163" t="str">
        <f>IF(OR(Path=Units!$B$85, Path=Units!$B$89),'Default data'!E$58,"Pathway not chosen")</f>
        <v>Pathway not chosen</v>
      </c>
      <c r="P24" s="163" t="str">
        <f>IF(OR(Path=Units!$B$85, Path=Units!$B$89),'Default data'!F$58,"Pathway not chosen")</f>
        <v>Pathway not chosen</v>
      </c>
      <c r="Q24" s="163" t="str">
        <f>IF(OR(Path=Units!$B$85, Path=Units!$B$89),'Default data'!G$58,"Pathway not chosen")</f>
        <v>Pathway not chosen</v>
      </c>
    </row>
    <row r="25" spans="1:17" ht="16.5">
      <c r="B25" s="704"/>
      <c r="C25" s="93" t="s">
        <v>963</v>
      </c>
      <c r="D25" s="93" t="s">
        <v>964</v>
      </c>
      <c r="E25" s="684"/>
      <c r="F25" s="687"/>
      <c r="G25" s="60">
        <f>IF(Electrolysis!$E$108=0,"Pathway not chosen",Electrolysis!V66)</f>
        <v>0</v>
      </c>
      <c r="H25" s="168">
        <f t="shared" si="3"/>
        <v>0</v>
      </c>
      <c r="I25" s="690"/>
      <c r="J25" s="684"/>
      <c r="K25" s="59" t="e">
        <f t="shared" si="2"/>
        <v>#VALUE!</v>
      </c>
      <c r="L25" s="56" t="s">
        <v>563</v>
      </c>
      <c r="M25" s="312" t="e">
        <f>IF(Electrolysis!$E$108=0,"Pathway not chosen", IF(D25="Default",L25,K25))</f>
        <v>#VALUE!</v>
      </c>
      <c r="O25" s="163" t="str">
        <f>IF(OR(Path=Units!$B$85, Path=Units!$B$89),'Default data'!E$74,"Pathway not chosen")</f>
        <v>Pathway not chosen</v>
      </c>
      <c r="P25" s="163" t="str">
        <f>IF(OR(Path=Units!$B$85, Path=Units!$B$89),'Default data'!F$74,"Pathway not chosen")</f>
        <v>Pathway not chosen</v>
      </c>
      <c r="Q25" s="163" t="str">
        <f>IF(OR(Path=Units!$B$85, Path=Units!$B$89),'Default data'!G$74,"Pathway not chosen")</f>
        <v>Pathway not chosen</v>
      </c>
    </row>
    <row r="26" spans="1:17" ht="16.5">
      <c r="B26" s="704"/>
      <c r="C26" s="61" t="s">
        <v>965</v>
      </c>
      <c r="D26" s="93" t="s">
        <v>964</v>
      </c>
      <c r="E26" s="684"/>
      <c r="F26" s="687"/>
      <c r="G26" s="60">
        <f>IF(Electrolysis!$E$108=0,"Pathway not chosen",Electrolysis!V74)</f>
        <v>0</v>
      </c>
      <c r="H26" s="168">
        <f t="shared" si="3"/>
        <v>0</v>
      </c>
      <c r="I26" s="690"/>
      <c r="J26" s="684"/>
      <c r="K26" s="59" t="e">
        <f t="shared" si="2"/>
        <v>#VALUE!</v>
      </c>
      <c r="L26" s="56" t="s">
        <v>563</v>
      </c>
      <c r="M26" s="312" t="e">
        <f>IF(Electrolysis!$E$108=0,"Pathway not chosen", IF(D26="Default",L26,K26))</f>
        <v>#VALUE!</v>
      </c>
      <c r="O26" s="163" t="str">
        <f>IF(OR(Path=Units!$B$85, Path=Units!$B$89),'Default data'!E$90,"Pathway not chosen")</f>
        <v>Pathway not chosen</v>
      </c>
      <c r="P26" s="163" t="str">
        <f>IF(OR(Path=Units!$B$85, Path=Units!$B$89),'Default data'!F$90,"Pathway not chosen")</f>
        <v>Pathway not chosen</v>
      </c>
      <c r="Q26" s="163" t="str">
        <f>IF(OR(Path=Units!$B$85, Path=Units!$B$89),'Default data'!G$90,"Pathway not chosen")</f>
        <v>Pathway not chosen</v>
      </c>
    </row>
    <row r="27" spans="1:17" ht="16.5">
      <c r="B27" s="704"/>
      <c r="C27" s="93" t="s">
        <v>966</v>
      </c>
      <c r="D27" s="93" t="s">
        <v>964</v>
      </c>
      <c r="E27" s="684"/>
      <c r="F27" s="687"/>
      <c r="G27" s="60">
        <f>IF(Electrolysis!$E$108=0,"Pathway not chosen",Electrolysis!V83)</f>
        <v>0</v>
      </c>
      <c r="H27" s="168">
        <f t="shared" si="3"/>
        <v>0</v>
      </c>
      <c r="I27" s="690"/>
      <c r="J27" s="684"/>
      <c r="K27" s="59" t="e">
        <f t="shared" si="2"/>
        <v>#VALUE!</v>
      </c>
      <c r="L27" s="56" t="s">
        <v>563</v>
      </c>
      <c r="M27" s="312" t="e">
        <f>IF(Electrolysis!$E$108=0,"Pathway not chosen", IF(D27="Default",L27,K27))</f>
        <v>#VALUE!</v>
      </c>
      <c r="O27" s="163" t="str">
        <f>IF(OR(Path=Units!$B$85, Path=Units!$B$89),'Default data'!E$106,"Pathway not chosen")</f>
        <v>Pathway not chosen</v>
      </c>
      <c r="P27" s="163" t="str">
        <f>IF(OR(Path=Units!$B$85, Path=Units!$B$89),'Default data'!F$106,"Pathway not chosen")</f>
        <v>Pathway not chosen</v>
      </c>
      <c r="Q27" s="163" t="str">
        <f>IF(OR(Path=Units!$B$85, Path=Units!$B$89),'Default data'!G$106,"Pathway not chosen")</f>
        <v>Pathway not chosen</v>
      </c>
    </row>
    <row r="28" spans="1:17" ht="16.5">
      <c r="B28" s="705"/>
      <c r="C28" s="93" t="s">
        <v>967</v>
      </c>
      <c r="D28" s="93" t="s">
        <v>964</v>
      </c>
      <c r="E28" s="685"/>
      <c r="F28" s="688"/>
      <c r="G28" s="60">
        <f>IF(Electrolysis!$E$108=0,"Pathway not chosen",Electrolysis!V91)</f>
        <v>0</v>
      </c>
      <c r="H28" s="168">
        <f t="shared" si="3"/>
        <v>0</v>
      </c>
      <c r="I28" s="691"/>
      <c r="J28" s="685"/>
      <c r="K28" s="59" t="e">
        <f t="shared" si="2"/>
        <v>#VALUE!</v>
      </c>
      <c r="L28" s="56" t="s">
        <v>563</v>
      </c>
      <c r="M28" s="312" t="e">
        <f>IF(Electrolysis!$E$108=0,"Pathway not chosen", IF(D28="Default",L28,K28))</f>
        <v>#VALUE!</v>
      </c>
      <c r="O28" s="163" t="str">
        <f>IF(OR(Path=Units!$B$85, Path=Units!$B$89),'Default data'!E$122,"Pathway not chosen")</f>
        <v>Pathway not chosen</v>
      </c>
      <c r="P28" s="163" t="str">
        <f>IF(OR(Path=Units!$B$85, Path=Units!$B$89),'Default data'!F$122,"Pathway not chosen")</f>
        <v>Pathway not chosen</v>
      </c>
      <c r="Q28" s="163" t="str">
        <f>IF(OR(Path=Units!$B$85, Path=Units!$B$89),'Default data'!G$122,"Pathway not chosen")</f>
        <v>Pathway not chosen</v>
      </c>
    </row>
    <row r="29" spans="1:17" ht="29.1">
      <c r="B29" s="93" t="s">
        <v>968</v>
      </c>
      <c r="C29" s="692" t="s">
        <v>969</v>
      </c>
      <c r="D29" s="541" t="s">
        <v>970</v>
      </c>
      <c r="L29" s="518" t="str">
        <f>'Typical data'!$D$389</f>
        <v>Yet to provide pressure or electricity source</v>
      </c>
      <c r="M29" s="517" t="str">
        <f>IF(Electrolysis!$E$108=0,"Pathway not chosen", L29)</f>
        <v>Yet to provide pressure or electricity source</v>
      </c>
      <c r="O29" s="163" t="s">
        <v>971</v>
      </c>
      <c r="P29" s="163" t="s">
        <v>971</v>
      </c>
      <c r="Q29" s="163" t="s">
        <v>971</v>
      </c>
    </row>
    <row r="30" spans="1:17" ht="29.1">
      <c r="B30" s="93" t="s">
        <v>972</v>
      </c>
      <c r="C30" s="693"/>
      <c r="D30" s="541" t="s">
        <v>973</v>
      </c>
      <c r="L30" s="520" t="str">
        <f>'Typical data'!$D$407</f>
        <v>Yet to provide electricity source</v>
      </c>
      <c r="M30" s="517" t="str">
        <f>IF(Electrolysis!$E$108=0,"Pathway not chosen", L30)</f>
        <v>Yet to provide electricity source</v>
      </c>
      <c r="O30" s="163" t="s">
        <v>971</v>
      </c>
      <c r="P30" s="163" t="s">
        <v>971</v>
      </c>
      <c r="Q30" s="163" t="s">
        <v>971</v>
      </c>
    </row>
    <row r="32" spans="1:17" ht="18.600000000000001">
      <c r="B32" s="97" t="s">
        <v>974</v>
      </c>
      <c r="C32" s="62"/>
      <c r="D32" s="62"/>
      <c r="E32" s="99">
        <f>PRODUCT(E23:E30)</f>
        <v>0</v>
      </c>
      <c r="F32" s="28"/>
      <c r="G32" s="28"/>
      <c r="H32" s="28"/>
      <c r="M32" s="102" t="str">
        <f>IF(COUNTIF(M23:M30,"*")&gt;0,"Pathway not chosen",SUM(M23:M30))</f>
        <v>Pathway not chosen</v>
      </c>
      <c r="N32" s="53"/>
      <c r="O32" s="163" t="str">
        <f>IF(OR(Path=Units!$B$85, Path=Units!$B$89),'Default data'!E$154,"Pathway not chosen")</f>
        <v>Pathway not chosen</v>
      </c>
      <c r="P32" s="163" t="str">
        <f>IF(OR(Path=Units!$B$85, Path=Units!$B$89),'Default data'!F$154,"Pathway not chosen")</f>
        <v>Pathway not chosen</v>
      </c>
      <c r="Q32" s="163" t="str">
        <f>IF(OR(Path=Units!$B$85, Path=Units!$B$89),'Default data'!G$154,"Pathway not chosen")</f>
        <v>Pathway not chosen</v>
      </c>
    </row>
    <row r="33" spans="1:17" ht="18.600000000000001">
      <c r="B33" s="97" t="s">
        <v>975</v>
      </c>
      <c r="C33" s="62"/>
      <c r="D33" s="62"/>
      <c r="M33" s="103">
        <v>20</v>
      </c>
      <c r="O33" s="694" t="s">
        <v>981</v>
      </c>
      <c r="P33" s="695"/>
      <c r="Q33" s="696"/>
    </row>
    <row r="34" spans="1:17">
      <c r="O34" s="697"/>
      <c r="P34" s="698"/>
      <c r="Q34" s="699"/>
    </row>
    <row r="35" spans="1:17">
      <c r="O35" s="700"/>
      <c r="P35" s="701"/>
      <c r="Q35" s="702"/>
    </row>
    <row r="37" spans="1:17" s="274" customFormat="1">
      <c r="A37" s="430"/>
      <c r="B37" s="161" t="s">
        <v>982</v>
      </c>
    </row>
    <row r="38" spans="1:17" ht="30.95">
      <c r="A38" s="80"/>
      <c r="P38" s="544"/>
    </row>
    <row r="39" spans="1:17" ht="84.6" customHeight="1">
      <c r="B39" s="106" t="s">
        <v>948</v>
      </c>
      <c r="C39" s="106" t="s">
        <v>949</v>
      </c>
      <c r="D39" s="106" t="s">
        <v>950</v>
      </c>
      <c r="E39" s="106" t="s">
        <v>951</v>
      </c>
      <c r="F39" s="106" t="s">
        <v>952</v>
      </c>
      <c r="G39" s="106" t="s">
        <v>953</v>
      </c>
      <c r="H39" s="106" t="s">
        <v>954</v>
      </c>
      <c r="I39" s="106" t="s">
        <v>955</v>
      </c>
      <c r="J39" s="106" t="s">
        <v>956</v>
      </c>
      <c r="K39" s="106" t="s">
        <v>957</v>
      </c>
      <c r="L39" s="106" t="s">
        <v>958</v>
      </c>
      <c r="M39" s="106" t="s">
        <v>959</v>
      </c>
      <c r="O39" s="173" t="s">
        <v>983</v>
      </c>
      <c r="P39" s="173" t="s">
        <v>984</v>
      </c>
      <c r="Q39" s="173" t="s">
        <v>985</v>
      </c>
    </row>
    <row r="40" spans="1:17">
      <c r="B40" s="680" t="s">
        <v>55</v>
      </c>
      <c r="C40" s="61" t="s">
        <v>129</v>
      </c>
      <c r="D40" s="311" t="str">
        <f>IF(Initial_questions!E$114="", IF(Initial_questions!E$112="", "User to enter in Initial Qus", Initial_questions!E$112), Initial_questions!E$114)</f>
        <v>User to enter in Initial Qus</v>
      </c>
      <c r="E40" s="683" t="str">
        <f>Electrolysis!O9</f>
        <v/>
      </c>
      <c r="F40" s="686">
        <v>1</v>
      </c>
      <c r="G40" s="60">
        <f>IF(Electrolysis!$E$109=0,"Pathway not chosen",Electrolysis!V28+Electrolysis!V40)</f>
        <v>0</v>
      </c>
      <c r="H40" s="168">
        <f t="shared" ref="H40:H45" si="4">G40*$F$40</f>
        <v>0</v>
      </c>
      <c r="I40" s="689" t="str">
        <f>Electrolysis!R9</f>
        <v/>
      </c>
      <c r="J40" s="683" t="str">
        <f>I40</f>
        <v/>
      </c>
      <c r="K40" s="59" t="e">
        <f t="shared" ref="K40:K45" si="5">H40*$J$40</f>
        <v>#VALUE!</v>
      </c>
      <c r="L40" s="168" t="str">
        <f>IF(OR(Path=Units!$B$86, Path=Units!$B$89),'Default data'!$D$40,IF(AND(Path=Units!$B$89,Initial_questions!$E$36&lt;&gt;0),'Default data'!$D$40,"Pathway not chosen"))</f>
        <v>Pathway not chosen</v>
      </c>
      <c r="M40" s="312" t="e">
        <f>IF(Electrolysis!$E$109=0,"Pathway not chosen",IF(D40="Default",L40,K40))</f>
        <v>#VALUE!</v>
      </c>
      <c r="O40" s="163" t="str">
        <f>IF(OR(Path=Units!$B$86, Path=Units!$B$89),'Default data'!E$40,"Pathway not chosen")</f>
        <v>Pathway not chosen</v>
      </c>
      <c r="P40" s="163" t="str">
        <f>IF(OR(Path=Units!$B$86, Path=Units!$B$89),'Default data'!F$40,"Pathway not chosen")</f>
        <v>Pathway not chosen</v>
      </c>
      <c r="Q40" s="163" t="str">
        <f>IF(OR(Path=Units!$B$86, Path=Units!$B$89),'Default data'!G$40,"Pathway not chosen")</f>
        <v>Pathway not chosen</v>
      </c>
    </row>
    <row r="41" spans="1:17">
      <c r="B41" s="681"/>
      <c r="C41" s="61" t="s">
        <v>130</v>
      </c>
      <c r="D41" s="311" t="str">
        <f>IF(Initial_questions!E$115="", IF(Initial_questions!E$112="", "User to enter in Initial Qus", Initial_questions!E$112), Initial_questions!E$115)</f>
        <v>User to enter in Initial Qus</v>
      </c>
      <c r="E41" s="684"/>
      <c r="F41" s="687"/>
      <c r="G41" s="60">
        <f>IF(Electrolysis!$E$109=0,"Pathway not chosen",Electrolysis!V53)</f>
        <v>0</v>
      </c>
      <c r="H41" s="168">
        <f t="shared" si="4"/>
        <v>0</v>
      </c>
      <c r="I41" s="690"/>
      <c r="J41" s="684"/>
      <c r="K41" s="59" t="e">
        <f t="shared" si="5"/>
        <v>#VALUE!</v>
      </c>
      <c r="L41" s="168" t="str">
        <f>IF(OR(Path=Units!$B$86, Path=Units!$B$89),'Default data'!$D$56,IF(AND(Path=Units!$B$89,Initial_questions!$E$36&lt;&gt;0),'Default data'!$D$56,"Pathway not chosen"))</f>
        <v>Pathway not chosen</v>
      </c>
      <c r="M41" s="312" t="e">
        <f>IF(Electrolysis!$E$109=0,"Pathway not chosen",IF(D41="Default",L41,K41))</f>
        <v>#VALUE!</v>
      </c>
      <c r="O41" s="163" t="str">
        <f>IF(OR(Path=Units!$B$86, Path=Units!$B$89),'Default data'!E$56,"Pathway not chosen")</f>
        <v>Pathway not chosen</v>
      </c>
      <c r="P41" s="163" t="str">
        <f>IF(OR(Path=Units!$B$86, Path=Units!$B$89),'Default data'!F$56,"Pathway not chosen")</f>
        <v>Pathway not chosen</v>
      </c>
      <c r="Q41" s="163" t="str">
        <f>IF(OR(Path=Units!$B$86, Path=Units!$B$89),'Default data'!G$56,"Pathway not chosen")</f>
        <v>Pathway not chosen</v>
      </c>
    </row>
    <row r="42" spans="1:17" ht="16.5">
      <c r="B42" s="681"/>
      <c r="C42" s="93" t="s">
        <v>963</v>
      </c>
      <c r="D42" s="61" t="s">
        <v>964</v>
      </c>
      <c r="E42" s="684"/>
      <c r="F42" s="687"/>
      <c r="G42" s="60">
        <f>IF(Electrolysis!$E$109=0,"Pathway not chosen",Electrolysis!V66)</f>
        <v>0</v>
      </c>
      <c r="H42" s="168">
        <f t="shared" si="4"/>
        <v>0</v>
      </c>
      <c r="I42" s="690"/>
      <c r="J42" s="684"/>
      <c r="K42" s="59" t="e">
        <f t="shared" si="5"/>
        <v>#VALUE!</v>
      </c>
      <c r="L42" s="56" t="s">
        <v>563</v>
      </c>
      <c r="M42" s="312" t="e">
        <f>IF(Electrolysis!$E$109=0,"Pathway not chosen",IF(D42="Default",L42,K42))</f>
        <v>#VALUE!</v>
      </c>
      <c r="O42" s="163" t="str">
        <f>IF(OR(Path=Units!$B$86, Path=Units!$B$89),'Default data'!E$72,"Pathway not chosen")</f>
        <v>Pathway not chosen</v>
      </c>
      <c r="P42" s="163" t="str">
        <f>IF(OR(Path=Units!$B$86, Path=Units!$B$89),'Default data'!F$72,"Pathway not chosen")</f>
        <v>Pathway not chosen</v>
      </c>
      <c r="Q42" s="163" t="str">
        <f>IF(OR(Path=Units!$B$86, Path=Units!$B$89),'Default data'!G$72,"Pathway not chosen")</f>
        <v>Pathway not chosen</v>
      </c>
    </row>
    <row r="43" spans="1:17" ht="16.5">
      <c r="B43" s="681"/>
      <c r="C43" s="61" t="s">
        <v>965</v>
      </c>
      <c r="D43" s="61" t="s">
        <v>964</v>
      </c>
      <c r="E43" s="684"/>
      <c r="F43" s="687"/>
      <c r="G43" s="60">
        <f>IF(Electrolysis!$E$109=0,"Pathway not chosen",Electrolysis!V74)</f>
        <v>0</v>
      </c>
      <c r="H43" s="168">
        <f t="shared" si="4"/>
        <v>0</v>
      </c>
      <c r="I43" s="690"/>
      <c r="J43" s="684"/>
      <c r="K43" s="59" t="e">
        <f t="shared" si="5"/>
        <v>#VALUE!</v>
      </c>
      <c r="L43" s="56" t="s">
        <v>563</v>
      </c>
      <c r="M43" s="312" t="e">
        <f>IF(Electrolysis!$E$109=0,"Pathway not chosen",IF(D43="Default",L43,K43))</f>
        <v>#VALUE!</v>
      </c>
      <c r="O43" s="163" t="str">
        <f>IF(OR(Path=Units!$B$86, Path=Units!$B$89),'Default data'!E$88,"Pathway not chosen")</f>
        <v>Pathway not chosen</v>
      </c>
      <c r="P43" s="163" t="str">
        <f>IF(OR(Path=Units!$B$86, Path=Units!$B$89),'Default data'!F$88,"Pathway not chosen")</f>
        <v>Pathway not chosen</v>
      </c>
      <c r="Q43" s="163" t="str">
        <f>IF(OR(Path=Units!$B$86, Path=Units!$B$89),'Default data'!G$88,"Pathway not chosen")</f>
        <v>Pathway not chosen</v>
      </c>
    </row>
    <row r="44" spans="1:17" ht="16.5">
      <c r="B44" s="681"/>
      <c r="C44" s="61" t="s">
        <v>966</v>
      </c>
      <c r="D44" s="61" t="s">
        <v>964</v>
      </c>
      <c r="E44" s="684"/>
      <c r="F44" s="687"/>
      <c r="G44" s="60">
        <f>IF(Electrolysis!$E$109=0,"Pathway not chosen",Electrolysis!V83)</f>
        <v>0</v>
      </c>
      <c r="H44" s="168">
        <f t="shared" si="4"/>
        <v>0</v>
      </c>
      <c r="I44" s="690"/>
      <c r="J44" s="684"/>
      <c r="K44" s="59" t="e">
        <f t="shared" si="5"/>
        <v>#VALUE!</v>
      </c>
      <c r="L44" s="56" t="s">
        <v>563</v>
      </c>
      <c r="M44" s="312" t="e">
        <f>IF(Electrolysis!$E$109=0,"Pathway not chosen",IF(D44="Default",L44,K44))</f>
        <v>#VALUE!</v>
      </c>
      <c r="O44" s="163" t="str">
        <f>IF(OR(Path=Units!$B$86, Path=Units!$B$89),'Default data'!E$104,"Pathway not chosen")</f>
        <v>Pathway not chosen</v>
      </c>
      <c r="P44" s="163" t="str">
        <f>IF(OR(Path=Units!$B$86, Path=Units!$B$89),'Default data'!F$104,"Pathway not chosen")</f>
        <v>Pathway not chosen</v>
      </c>
      <c r="Q44" s="163" t="str">
        <f>IF(OR(Path=Units!$B$86, Path=Units!$B$89),'Default data'!G$104,"Pathway not chosen")</f>
        <v>Pathway not chosen</v>
      </c>
    </row>
    <row r="45" spans="1:17" ht="16.5">
      <c r="B45" s="682"/>
      <c r="C45" s="61" t="s">
        <v>967</v>
      </c>
      <c r="D45" s="61" t="s">
        <v>964</v>
      </c>
      <c r="E45" s="685"/>
      <c r="F45" s="688"/>
      <c r="G45" s="60">
        <f>IF(Electrolysis!$E$109=0,"Pathway not chosen",Electrolysis!V91)</f>
        <v>0</v>
      </c>
      <c r="H45" s="168">
        <f t="shared" si="4"/>
        <v>0</v>
      </c>
      <c r="I45" s="691"/>
      <c r="J45" s="685"/>
      <c r="K45" s="59" t="e">
        <f t="shared" si="5"/>
        <v>#VALUE!</v>
      </c>
      <c r="L45" s="56" t="s">
        <v>563</v>
      </c>
      <c r="M45" s="312" t="e">
        <f>IF(Electrolysis!$E$109=0,"Pathway not chosen",IF(D45="Default",L45,K45))</f>
        <v>#VALUE!</v>
      </c>
      <c r="O45" s="163" t="str">
        <f>IF(OR(Path=Units!$B$86, Path=Units!$B$89),'Default data'!E$120,"Pathway not chosen")</f>
        <v>Pathway not chosen</v>
      </c>
      <c r="P45" s="163" t="str">
        <f>IF(OR(Path=Units!$B$86, Path=Units!$B$89),'Default data'!F$120,"Pathway not chosen")</f>
        <v>Pathway not chosen</v>
      </c>
      <c r="Q45" s="163" t="str">
        <f>IF(OR(Path=Units!$B$86, Path=Units!$B$89),'Default data'!G$120,"Pathway not chosen")</f>
        <v>Pathway not chosen</v>
      </c>
    </row>
    <row r="46" spans="1:17" ht="29.1">
      <c r="B46" s="61" t="s">
        <v>968</v>
      </c>
      <c r="C46" s="692" t="s">
        <v>969</v>
      </c>
      <c r="D46" s="540" t="s">
        <v>970</v>
      </c>
      <c r="L46" s="518" t="str">
        <f>'Typical data'!$D$389</f>
        <v>Yet to provide pressure or electricity source</v>
      </c>
      <c r="M46" s="517" t="str">
        <f>IF(Electrolysis!$E$109=0,"Pathway not chosen",L46)</f>
        <v>Yet to provide pressure or electricity source</v>
      </c>
      <c r="O46" s="163" t="s">
        <v>971</v>
      </c>
      <c r="P46" s="163" t="s">
        <v>971</v>
      </c>
      <c r="Q46" s="163" t="s">
        <v>971</v>
      </c>
    </row>
    <row r="47" spans="1:17" ht="29.1">
      <c r="B47" s="61" t="s">
        <v>972</v>
      </c>
      <c r="C47" s="693"/>
      <c r="D47" s="540" t="s">
        <v>973</v>
      </c>
      <c r="L47" s="520" t="str">
        <f>'Typical data'!$D$407</f>
        <v>Yet to provide electricity source</v>
      </c>
      <c r="M47" s="517" t="str">
        <f>IF(Electrolysis!$E$109=0,"Pathway not chosen",L47)</f>
        <v>Yet to provide electricity source</v>
      </c>
      <c r="O47" s="163" t="s">
        <v>971</v>
      </c>
      <c r="P47" s="163" t="s">
        <v>971</v>
      </c>
      <c r="Q47" s="163" t="s">
        <v>971</v>
      </c>
    </row>
    <row r="49" spans="1:17" ht="18.600000000000001">
      <c r="B49" s="97" t="s">
        <v>974</v>
      </c>
      <c r="C49" s="62"/>
      <c r="D49" s="62"/>
      <c r="E49" s="99">
        <f>PRODUCT(E40:E47)</f>
        <v>0</v>
      </c>
      <c r="F49" s="28"/>
      <c r="G49" s="28"/>
      <c r="H49" s="28"/>
      <c r="M49" s="102" t="str">
        <f>IF(COUNTIF(M40:M47,"*")&gt;0,"Pathway not chosen",SUM(M40:M47))</f>
        <v>Pathway not chosen</v>
      </c>
      <c r="N49" s="53"/>
      <c r="O49" s="163" t="str">
        <f>IF(OR(Path=Units!$B$86, Path=Units!$B$89),'Default data'!E$152,"Pathway not chosen")</f>
        <v>Pathway not chosen</v>
      </c>
      <c r="P49" s="163" t="str">
        <f>IF(OR(Path=Units!$B$86, Path=Units!$B$89),'Default data'!F$152,"Pathway not chosen")</f>
        <v>Pathway not chosen</v>
      </c>
      <c r="Q49" s="163" t="str">
        <f>IF(OR(Path=Units!$B$86, Path=Units!$B$89),'Default data'!G$152,"Pathway not chosen")</f>
        <v>Pathway not chosen</v>
      </c>
    </row>
    <row r="50" spans="1:17" ht="18.600000000000001">
      <c r="B50" s="97" t="s">
        <v>975</v>
      </c>
      <c r="C50" s="62"/>
      <c r="D50" s="62"/>
      <c r="M50" s="103">
        <v>20</v>
      </c>
      <c r="O50" s="694" t="s">
        <v>986</v>
      </c>
      <c r="P50" s="695"/>
      <c r="Q50" s="696"/>
    </row>
    <row r="51" spans="1:17">
      <c r="O51" s="697"/>
      <c r="P51" s="698"/>
      <c r="Q51" s="699"/>
    </row>
    <row r="52" spans="1:17">
      <c r="O52" s="700"/>
      <c r="P52" s="701"/>
      <c r="Q52" s="702"/>
    </row>
    <row r="54" spans="1:17" s="587" customFormat="1">
      <c r="A54" s="585"/>
      <c r="B54" s="586" t="s">
        <v>987</v>
      </c>
    </row>
    <row r="55" spans="1:17" ht="30.95">
      <c r="A55" s="80"/>
    </row>
    <row r="56" spans="1:17" ht="84.6" customHeight="1">
      <c r="B56" s="106" t="s">
        <v>948</v>
      </c>
      <c r="C56" s="106" t="s">
        <v>949</v>
      </c>
      <c r="D56" s="106" t="s">
        <v>950</v>
      </c>
      <c r="E56" s="106" t="s">
        <v>951</v>
      </c>
      <c r="F56" s="106" t="s">
        <v>952</v>
      </c>
      <c r="G56" s="106" t="s">
        <v>953</v>
      </c>
      <c r="H56" s="106" t="s">
        <v>954</v>
      </c>
      <c r="I56" s="106" t="s">
        <v>955</v>
      </c>
      <c r="J56" s="106" t="s">
        <v>956</v>
      </c>
      <c r="K56" s="106" t="s">
        <v>957</v>
      </c>
      <c r="L56" s="106" t="s">
        <v>958</v>
      </c>
      <c r="M56" s="106" t="s">
        <v>959</v>
      </c>
    </row>
    <row r="57" spans="1:17">
      <c r="B57" s="680" t="s">
        <v>55</v>
      </c>
      <c r="C57" s="61" t="s">
        <v>129</v>
      </c>
      <c r="D57" s="93" t="s">
        <v>964</v>
      </c>
      <c r="E57" s="683" t="str">
        <f>Electrolysis!O9</f>
        <v/>
      </c>
      <c r="F57" s="686">
        <v>1</v>
      </c>
      <c r="G57" s="60">
        <f>IF(Electrolysis!$E$110=0,"Pathway not chosen",Electrolysis!V32+Electrolysis!V40)</f>
        <v>0</v>
      </c>
      <c r="H57" s="168">
        <f>G57*$F$57</f>
        <v>0</v>
      </c>
      <c r="I57" s="689" t="str">
        <f>Electrolysis!R9</f>
        <v/>
      </c>
      <c r="J57" s="683" t="str">
        <f>I57</f>
        <v/>
      </c>
      <c r="K57" s="59" t="e">
        <f>H57*$J$57</f>
        <v>#VALUE!</v>
      </c>
      <c r="L57" s="56" t="s">
        <v>563</v>
      </c>
      <c r="M57" s="312" t="e">
        <f>IF(Electrolysis!$E$110=0,"Pathway not chosen",IF(D57="Default",L57,K57))</f>
        <v>#VALUE!</v>
      </c>
    </row>
    <row r="58" spans="1:17">
      <c r="B58" s="681"/>
      <c r="C58" s="61" t="s">
        <v>130</v>
      </c>
      <c r="D58" s="311" t="str">
        <f>IF(Initial_questions!E$115="", IF(Initial_questions!E$112="", "User to enter in Initial Qus", Initial_questions!E$112), Initial_questions!E$115)</f>
        <v>User to enter in Initial Qus</v>
      </c>
      <c r="E58" s="684"/>
      <c r="F58" s="687"/>
      <c r="G58" s="60">
        <f>IF(Electrolysis!$E$110=0,"Pathway not chosen",Electrolysis!V53)</f>
        <v>0</v>
      </c>
      <c r="H58" s="168">
        <f t="shared" ref="H58:H62" si="6">G58*$F$57</f>
        <v>0</v>
      </c>
      <c r="I58" s="690"/>
      <c r="J58" s="684"/>
      <c r="K58" s="59" t="e">
        <f t="shared" ref="K58:K62" si="7">H58*$J$57</f>
        <v>#VALUE!</v>
      </c>
      <c r="L58" s="168" t="str">
        <f>IF(OR(Path=Units!$B$87,Path=Units!$B$89),'Default data'!$D$57,"Pathway not chosen")</f>
        <v>Pathway not chosen</v>
      </c>
      <c r="M58" s="312" t="e">
        <f>IF(Electrolysis!$E$110=0,"Pathway not chosen",IF(D58="Default",L58,K58))</f>
        <v>#VALUE!</v>
      </c>
    </row>
    <row r="59" spans="1:17" ht="16.5">
      <c r="B59" s="681"/>
      <c r="C59" s="93" t="s">
        <v>963</v>
      </c>
      <c r="D59" s="61" t="s">
        <v>964</v>
      </c>
      <c r="E59" s="684"/>
      <c r="F59" s="687"/>
      <c r="G59" s="60">
        <f>IF(Electrolysis!$E$110=0,"Pathway not chosen",Electrolysis!V66)</f>
        <v>0</v>
      </c>
      <c r="H59" s="168">
        <f t="shared" si="6"/>
        <v>0</v>
      </c>
      <c r="I59" s="690"/>
      <c r="J59" s="684"/>
      <c r="K59" s="59" t="e">
        <f t="shared" si="7"/>
        <v>#VALUE!</v>
      </c>
      <c r="L59" s="56" t="s">
        <v>563</v>
      </c>
      <c r="M59" s="312" t="e">
        <f>IF(Electrolysis!$E$110=0,"Pathway not chosen",IF(D59="Default",L59,K59))</f>
        <v>#VALUE!</v>
      </c>
    </row>
    <row r="60" spans="1:17" ht="16.5">
      <c r="B60" s="681"/>
      <c r="C60" s="61" t="s">
        <v>965</v>
      </c>
      <c r="D60" s="61" t="s">
        <v>964</v>
      </c>
      <c r="E60" s="684"/>
      <c r="F60" s="687"/>
      <c r="G60" s="60">
        <f>IF(Electrolysis!$E$110=0,"Pathway not chosen",Electrolysis!V74)</f>
        <v>0</v>
      </c>
      <c r="H60" s="168">
        <f t="shared" si="6"/>
        <v>0</v>
      </c>
      <c r="I60" s="690"/>
      <c r="J60" s="684"/>
      <c r="K60" s="59" t="e">
        <f t="shared" si="7"/>
        <v>#VALUE!</v>
      </c>
      <c r="L60" s="56" t="s">
        <v>563</v>
      </c>
      <c r="M60" s="312" t="e">
        <f>IF(Electrolysis!$E$110=0,"Pathway not chosen",IF(D60="Default",L60,K60))</f>
        <v>#VALUE!</v>
      </c>
    </row>
    <row r="61" spans="1:17" ht="16.5">
      <c r="B61" s="681"/>
      <c r="C61" s="61" t="s">
        <v>966</v>
      </c>
      <c r="D61" s="61" t="s">
        <v>964</v>
      </c>
      <c r="E61" s="684"/>
      <c r="F61" s="687"/>
      <c r="G61" s="60">
        <f>IF(Electrolysis!$E$110=0,"Pathway not chosen",Electrolysis!V83)</f>
        <v>0</v>
      </c>
      <c r="H61" s="168">
        <f t="shared" si="6"/>
        <v>0</v>
      </c>
      <c r="I61" s="690"/>
      <c r="J61" s="684"/>
      <c r="K61" s="59" t="e">
        <f t="shared" si="7"/>
        <v>#VALUE!</v>
      </c>
      <c r="L61" s="56" t="s">
        <v>563</v>
      </c>
      <c r="M61" s="312" t="e">
        <f>IF(Electrolysis!$E$110=0,"Pathway not chosen",IF(D61="Default",L61,K61))</f>
        <v>#VALUE!</v>
      </c>
    </row>
    <row r="62" spans="1:17" ht="16.5">
      <c r="B62" s="682"/>
      <c r="C62" s="61" t="s">
        <v>967</v>
      </c>
      <c r="D62" s="61" t="s">
        <v>964</v>
      </c>
      <c r="E62" s="685"/>
      <c r="F62" s="688"/>
      <c r="G62" s="60">
        <f>IF(Electrolysis!$E$110=0,"Pathway not chosen",Electrolysis!V91)</f>
        <v>0</v>
      </c>
      <c r="H62" s="168">
        <f t="shared" si="6"/>
        <v>0</v>
      </c>
      <c r="I62" s="691"/>
      <c r="J62" s="685"/>
      <c r="K62" s="59" t="e">
        <f t="shared" si="7"/>
        <v>#VALUE!</v>
      </c>
      <c r="L62" s="56" t="s">
        <v>563</v>
      </c>
      <c r="M62" s="312" t="e">
        <f>IF(Electrolysis!$E$110=0,"Pathway not chosen",IF(D62="Default",L62,K62))</f>
        <v>#VALUE!</v>
      </c>
    </row>
    <row r="63" spans="1:17" ht="29.1">
      <c r="B63" s="61" t="s">
        <v>968</v>
      </c>
      <c r="C63" s="692" t="s">
        <v>969</v>
      </c>
      <c r="D63" s="540" t="s">
        <v>970</v>
      </c>
      <c r="L63" s="518" t="str">
        <f>'Typical data'!$D$389</f>
        <v>Yet to provide pressure or electricity source</v>
      </c>
      <c r="M63" s="517" t="str">
        <f>IF(Electrolysis!$E$110=0,"Pathway not chosen",L63)</f>
        <v>Yet to provide pressure or electricity source</v>
      </c>
    </row>
    <row r="64" spans="1:17" ht="29.1">
      <c r="B64" s="61" t="s">
        <v>972</v>
      </c>
      <c r="C64" s="693"/>
      <c r="D64" s="540" t="s">
        <v>973</v>
      </c>
      <c r="L64" s="520" t="str">
        <f>'Typical data'!$D$407</f>
        <v>Yet to provide electricity source</v>
      </c>
      <c r="M64" s="517" t="str">
        <f>IF(Electrolysis!$E$110=0,"Pathway not chosen",L64)</f>
        <v>Yet to provide electricity source</v>
      </c>
    </row>
    <row r="66" spans="1:17" ht="18.600000000000001">
      <c r="B66" s="97" t="s">
        <v>974</v>
      </c>
      <c r="C66" s="62"/>
      <c r="D66" s="62"/>
      <c r="E66" s="99">
        <f>PRODUCT(E57:E64)</f>
        <v>0</v>
      </c>
      <c r="F66" s="28"/>
      <c r="G66" s="28"/>
      <c r="H66" s="28"/>
      <c r="M66" s="102" t="str">
        <f>IF(COUNTIF(M57:M64,"*")&gt;0,"Pathway not chosen",SUM(M57:M64))</f>
        <v>Pathway not chosen</v>
      </c>
      <c r="N66" s="53"/>
    </row>
    <row r="67" spans="1:17" ht="18.600000000000001" customHeight="1">
      <c r="B67" s="97" t="s">
        <v>975</v>
      </c>
      <c r="C67" s="62"/>
      <c r="D67" s="62"/>
      <c r="M67" s="103">
        <v>20</v>
      </c>
    </row>
    <row r="71" spans="1:17" s="277" customFormat="1">
      <c r="A71" s="429"/>
      <c r="B71" s="276" t="s">
        <v>988</v>
      </c>
    </row>
    <row r="72" spans="1:17" ht="30.95">
      <c r="A72" s="80"/>
    </row>
    <row r="73" spans="1:17" ht="60.95">
      <c r="B73" s="106" t="s">
        <v>948</v>
      </c>
      <c r="C73" s="106" t="s">
        <v>949</v>
      </c>
      <c r="D73" s="106" t="s">
        <v>950</v>
      </c>
      <c r="E73" s="106" t="s">
        <v>951</v>
      </c>
      <c r="F73" s="106" t="s">
        <v>952</v>
      </c>
      <c r="G73" s="106" t="s">
        <v>953</v>
      </c>
      <c r="H73" s="106" t="s">
        <v>954</v>
      </c>
      <c r="I73" s="106" t="s">
        <v>955</v>
      </c>
      <c r="J73" s="106" t="s">
        <v>956</v>
      </c>
      <c r="K73" s="106" t="s">
        <v>957</v>
      </c>
      <c r="L73" s="106" t="s">
        <v>958</v>
      </c>
      <c r="M73" s="106" t="s">
        <v>959</v>
      </c>
      <c r="O73" s="364"/>
      <c r="P73" s="364"/>
      <c r="Q73" s="364"/>
    </row>
    <row r="74" spans="1:17">
      <c r="B74" s="703" t="s">
        <v>55</v>
      </c>
      <c r="C74" s="93" t="s">
        <v>129</v>
      </c>
      <c r="D74" s="93" t="s">
        <v>964</v>
      </c>
      <c r="E74" s="683" t="str">
        <f>Electrolysis!O9</f>
        <v/>
      </c>
      <c r="F74" s="686">
        <v>1</v>
      </c>
      <c r="G74" s="60">
        <f>IF(Electrolysis!$E$111=0,"Pathway not chosen",Electrolysis!V36+Electrolysis!V40)</f>
        <v>0</v>
      </c>
      <c r="H74" s="168">
        <f>G74*$F$74</f>
        <v>0</v>
      </c>
      <c r="I74" s="689" t="str">
        <f>Electrolysis!R9</f>
        <v/>
      </c>
      <c r="J74" s="683" t="str">
        <f>I74</f>
        <v/>
      </c>
      <c r="K74" s="59" t="e">
        <f t="shared" ref="K74:K79" si="8">H74*$J$74</f>
        <v>#VALUE!</v>
      </c>
      <c r="L74" s="56" t="s">
        <v>563</v>
      </c>
      <c r="M74" s="312" t="e">
        <f>IF(Electrolysis!$E$111=0,"Pathway not chosen",IF(D74="Default",L74,K74))</f>
        <v>#VALUE!</v>
      </c>
      <c r="O74" s="365"/>
      <c r="P74" s="365"/>
      <c r="Q74" s="365"/>
    </row>
    <row r="75" spans="1:17">
      <c r="B75" s="704"/>
      <c r="C75" s="93" t="s">
        <v>130</v>
      </c>
      <c r="D75" s="311" t="str">
        <f>IF(Initial_questions!E$115="", IF(Initial_questions!E$112="", "User to enter in Initial Qus", Initial_questions!E$112), Initial_questions!E$115)</f>
        <v>User to enter in Initial Qus</v>
      </c>
      <c r="E75" s="684"/>
      <c r="F75" s="687"/>
      <c r="G75" s="60">
        <f>IF(Electrolysis!$E$111=0,"Pathway not chosen",Electrolysis!V53)</f>
        <v>0</v>
      </c>
      <c r="H75" s="168">
        <f t="shared" ref="H75:H79" si="9">G75*$F$74</f>
        <v>0</v>
      </c>
      <c r="I75" s="690"/>
      <c r="J75" s="684"/>
      <c r="K75" s="59" t="e">
        <f t="shared" si="8"/>
        <v>#VALUE!</v>
      </c>
      <c r="L75" s="59" t="str" cm="1">
        <f t="array" ref="L75">IF(OR(Path=Units!$B$88:$B$89),'Default data'!$D$57,"Pathway not chosen")</f>
        <v>Pathway not chosen</v>
      </c>
      <c r="M75" s="312" t="e">
        <f>IF(Electrolysis!$E$111=0,"Pathway not chosen",IF(D75="Default",L75,K75))</f>
        <v>#VALUE!</v>
      </c>
      <c r="O75" s="365"/>
      <c r="P75" s="365"/>
      <c r="Q75" s="365"/>
    </row>
    <row r="76" spans="1:17" ht="16.5">
      <c r="B76" s="704"/>
      <c r="C76" s="93" t="s">
        <v>963</v>
      </c>
      <c r="D76" s="93" t="s">
        <v>964</v>
      </c>
      <c r="E76" s="684"/>
      <c r="F76" s="687"/>
      <c r="G76" s="60">
        <f>IF(Electrolysis!$E$111=0,"Pathway not chosen",Electrolysis!V66)</f>
        <v>0</v>
      </c>
      <c r="H76" s="168">
        <f t="shared" si="9"/>
        <v>0</v>
      </c>
      <c r="I76" s="690"/>
      <c r="J76" s="684"/>
      <c r="K76" s="59" t="e">
        <f t="shared" si="8"/>
        <v>#VALUE!</v>
      </c>
      <c r="L76" s="56" t="s">
        <v>563</v>
      </c>
      <c r="M76" s="312" t="e">
        <f>IF(Electrolysis!$E$111=0,"Pathway not chosen",IF(D76="Default",L76,K76))</f>
        <v>#VALUE!</v>
      </c>
      <c r="O76" s="365"/>
      <c r="P76" s="365"/>
      <c r="Q76" s="365"/>
    </row>
    <row r="77" spans="1:17" ht="16.5">
      <c r="B77" s="704"/>
      <c r="C77" s="61" t="s">
        <v>965</v>
      </c>
      <c r="D77" s="93" t="s">
        <v>964</v>
      </c>
      <c r="E77" s="684"/>
      <c r="F77" s="687"/>
      <c r="G77" s="60">
        <f>IF(Electrolysis!$E$111=0,"Pathway not chosen",Electrolysis!V74)</f>
        <v>0</v>
      </c>
      <c r="H77" s="168">
        <f t="shared" si="9"/>
        <v>0</v>
      </c>
      <c r="I77" s="690"/>
      <c r="J77" s="684"/>
      <c r="K77" s="59" t="e">
        <f t="shared" si="8"/>
        <v>#VALUE!</v>
      </c>
      <c r="L77" s="56" t="s">
        <v>563</v>
      </c>
      <c r="M77" s="312" t="e">
        <f>IF(Electrolysis!$E$111=0,"Pathway not chosen",IF(D77="Default",L77,K77))</f>
        <v>#VALUE!</v>
      </c>
      <c r="O77" s="365"/>
      <c r="P77" s="365"/>
      <c r="Q77" s="365"/>
    </row>
    <row r="78" spans="1:17" ht="16.5">
      <c r="B78" s="704"/>
      <c r="C78" s="93" t="s">
        <v>966</v>
      </c>
      <c r="D78" s="93" t="s">
        <v>964</v>
      </c>
      <c r="E78" s="684"/>
      <c r="F78" s="687"/>
      <c r="G78" s="60">
        <f>IF(Electrolysis!$E$111=0,"Pathway not chosen",Electrolysis!V83)</f>
        <v>0</v>
      </c>
      <c r="H78" s="168">
        <f t="shared" si="9"/>
        <v>0</v>
      </c>
      <c r="I78" s="690"/>
      <c r="J78" s="684"/>
      <c r="K78" s="59" t="e">
        <f t="shared" si="8"/>
        <v>#VALUE!</v>
      </c>
      <c r="L78" s="56" t="s">
        <v>563</v>
      </c>
      <c r="M78" s="312" t="e">
        <f>IF(Electrolysis!$E$111=0,"Pathway not chosen",IF(D78="Default",L78,K78))</f>
        <v>#VALUE!</v>
      </c>
      <c r="O78" s="365"/>
      <c r="P78" s="365"/>
      <c r="Q78" s="365"/>
    </row>
    <row r="79" spans="1:17" ht="16.5">
      <c r="B79" s="705"/>
      <c r="C79" s="93" t="s">
        <v>967</v>
      </c>
      <c r="D79" s="93" t="s">
        <v>964</v>
      </c>
      <c r="E79" s="685"/>
      <c r="F79" s="688"/>
      <c r="G79" s="60">
        <f>IF(Electrolysis!$E$111=0,"Pathway not chosen",Electrolysis!V91)</f>
        <v>0</v>
      </c>
      <c r="H79" s="168">
        <f t="shared" si="9"/>
        <v>0</v>
      </c>
      <c r="I79" s="691"/>
      <c r="J79" s="685"/>
      <c r="K79" s="59" t="e">
        <f t="shared" si="8"/>
        <v>#VALUE!</v>
      </c>
      <c r="L79" s="56" t="s">
        <v>563</v>
      </c>
      <c r="M79" s="312" t="e">
        <f>IF(Electrolysis!$E$111=0,"Pathway not chosen",IF(D79="Default",L79,K79))</f>
        <v>#VALUE!</v>
      </c>
      <c r="O79" s="365"/>
      <c r="P79" s="365"/>
      <c r="Q79" s="365"/>
    </row>
    <row r="80" spans="1:17" ht="29.1">
      <c r="B80" s="93" t="s">
        <v>968</v>
      </c>
      <c r="C80" s="692" t="s">
        <v>969</v>
      </c>
      <c r="D80" s="541" t="s">
        <v>970</v>
      </c>
      <c r="L80" s="518" t="str">
        <f>'Typical data'!$D$389</f>
        <v>Yet to provide pressure or electricity source</v>
      </c>
      <c r="M80" s="517" t="str">
        <f>IF(Electrolysis!$E$111=0,"Pathway not chosen",L80)</f>
        <v>Yet to provide pressure or electricity source</v>
      </c>
      <c r="O80" s="365"/>
      <c r="P80" s="365"/>
      <c r="Q80" s="365"/>
    </row>
    <row r="81" spans="2:17" ht="29.1">
      <c r="B81" s="93" t="s">
        <v>972</v>
      </c>
      <c r="C81" s="693"/>
      <c r="D81" s="541" t="s">
        <v>973</v>
      </c>
      <c r="L81" s="520" t="str">
        <f>'Typical data'!$D$407</f>
        <v>Yet to provide electricity source</v>
      </c>
      <c r="M81" s="517" t="str">
        <f>IF(Electrolysis!$E$111=0,"Pathway not chosen",L81)</f>
        <v>Yet to provide electricity source</v>
      </c>
      <c r="O81" s="365"/>
      <c r="P81" s="365"/>
      <c r="Q81" s="365"/>
    </row>
    <row r="83" spans="2:17" ht="18.600000000000001">
      <c r="B83" s="97" t="s">
        <v>974</v>
      </c>
      <c r="C83" s="62"/>
      <c r="D83" s="62"/>
      <c r="E83" s="99">
        <f>PRODUCT(E74:E81)</f>
        <v>0</v>
      </c>
      <c r="F83" s="28"/>
      <c r="G83" s="28"/>
      <c r="H83" s="28"/>
      <c r="M83" s="102" t="str">
        <f>IF(COUNTIF(M74:M81,"*")&gt;0,"Pathway not chosen",SUM(M74:M81))</f>
        <v>Pathway not chosen</v>
      </c>
      <c r="N83" s="53"/>
      <c r="O83" s="365"/>
      <c r="P83" s="365"/>
      <c r="Q83" s="365"/>
    </row>
    <row r="84" spans="2:17" ht="18.600000000000001">
      <c r="B84" s="97" t="s">
        <v>975</v>
      </c>
      <c r="C84" s="62"/>
      <c r="D84" s="62"/>
      <c r="M84" s="103">
        <v>20</v>
      </c>
    </row>
  </sheetData>
  <customSheetViews>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1"/>
    </customSheetView>
    <customSheetView guid="{EECBF9DF-6D77-4263-85DA-71E40216BADD}" showGridLines="0" state="hidden">
      <pane xSplit="3" topLeftCell="D1" activePane="topRight" state="frozen"/>
      <selection pane="topRight"/>
      <pageMargins left="0" right="0" top="0" bottom="0" header="0" footer="0"/>
      <pageSetup paperSize="9" orientation="portrait" r:id="rId2"/>
    </customSheetView>
    <customSheetView guid="{1C16EB38-F785-4168-9938-104594734038}" showGridLines="0" state="hidden">
      <pane xSplit="3" topLeftCell="D1" activePane="topRight" state="frozen"/>
      <selection pane="topRight"/>
      <pageMargins left="0" right="0" top="0" bottom="0" header="0" footer="0"/>
      <pageSetup paperSize="9" orientation="portrait" r:id="rId3"/>
    </customSheetView>
    <customSheetView guid="{0E935136-9A80-44B6-88D5-61E64D742049}" showGridLines="0">
      <pane xSplit="3" topLeftCell="D1" activePane="topRight" state="frozen"/>
      <selection pane="topRight"/>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r:id="rId5"/>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6"/>
    </customSheetView>
    <customSheetView guid="{D97B1299-69D0-4EE0-B673-CCF74742F96B}" state="hidden">
      <selection activeCell="D2" sqref="D2"/>
      <pageMargins left="0" right="0" top="0" bottom="0" header="0" footer="0"/>
      <pageSetup paperSize="9" orientation="portrait" r:id="rId7"/>
    </customSheetView>
    <customSheetView guid="{F468A2FD-7987-4A9D-8BAE-1AACE523607F}" showGridLines="0" state="hidden">
      <pane xSplit="3" topLeftCell="D1" activePane="topRight" state="frozen"/>
      <selection pane="topRight"/>
      <pageMargins left="0" right="0" top="0" bottom="0" header="0" footer="0"/>
      <pageSetup paperSize="9" orientation="portrait" r:id="rId8"/>
    </customSheetView>
    <customSheetView guid="{2D920366-22B2-4182-A65D-0EDBE614FB37}" showGridLines="0">
      <pane xSplit="3" topLeftCell="D1" activePane="topRight" state="frozen"/>
      <selection pane="topRight"/>
      <pageMargins left="0" right="0" top="0" bottom="0" header="0" footer="0"/>
      <pageSetup paperSize="9" orientation="portrait" r:id="rId9"/>
    </customSheetView>
  </customSheetViews>
  <mergeCells count="33">
    <mergeCell ref="B40:B45"/>
    <mergeCell ref="E40:E45"/>
    <mergeCell ref="F40:F45"/>
    <mergeCell ref="I40:I45"/>
    <mergeCell ref="B6:B11"/>
    <mergeCell ref="E6:E11"/>
    <mergeCell ref="F6:F11"/>
    <mergeCell ref="I6:I11"/>
    <mergeCell ref="J6:J11"/>
    <mergeCell ref="C12:C13"/>
    <mergeCell ref="B23:B28"/>
    <mergeCell ref="E23:E28"/>
    <mergeCell ref="F23:F28"/>
    <mergeCell ref="I23:I28"/>
    <mergeCell ref="B74:B79"/>
    <mergeCell ref="E74:E79"/>
    <mergeCell ref="F74:F79"/>
    <mergeCell ref="I74:I79"/>
    <mergeCell ref="J74:J79"/>
    <mergeCell ref="C80:C81"/>
    <mergeCell ref="O33:Q35"/>
    <mergeCell ref="O16:Q18"/>
    <mergeCell ref="O50:Q52"/>
    <mergeCell ref="J23:J28"/>
    <mergeCell ref="C29:C30"/>
    <mergeCell ref="J40:J45"/>
    <mergeCell ref="C46:C47"/>
    <mergeCell ref="C63:C64"/>
    <mergeCell ref="B57:B62"/>
    <mergeCell ref="E57:E62"/>
    <mergeCell ref="F57:F62"/>
    <mergeCell ref="I57:I62"/>
    <mergeCell ref="J57:J62"/>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8" id="{5DA144C0-1101-4842-8BED-40E4E2AED795}">
            <xm:f>AND(Path&lt;&gt;Units!$B$84,Path&lt;&gt;Units!$B$85,Path&lt;&gt;Units!$B$86,Path&lt;&gt;Units!$B$87,Path&lt;&gt;Units!$B$88,Path&lt;&gt;Units!$B$89,Master_Switch="On")</xm:f>
            <x14:dxf>
              <font>
                <color theme="0"/>
              </font>
              <fill>
                <patternFill>
                  <bgColor theme="0"/>
                </patternFill>
              </fill>
              <border>
                <left/>
                <right/>
                <top/>
                <bottom/>
                <vertical/>
                <horizontal/>
              </border>
            </x14:dxf>
          </x14:cfRule>
          <xm:sqref>A3:XFD216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A674A-11FB-48A1-B7A3-AC0883629141}">
  <sheetPr codeName="Sheet11">
    <tabColor rgb="FFFF66CC"/>
  </sheetPr>
  <dimension ref="A1:Q22"/>
  <sheetViews>
    <sheetView showGridLines="0" zoomScaleNormal="100" workbookViewId="0">
      <pane xSplit="3" topLeftCell="G1" activePane="topRight" state="frozen"/>
      <selection pane="topRight"/>
    </sheetView>
  </sheetViews>
  <sheetFormatPr defaultColWidth="8.85546875" defaultRowHeight="14.45"/>
  <cols>
    <col min="1" max="1" width="4.5703125" customWidth="1"/>
    <col min="2" max="2" width="32.42578125" customWidth="1"/>
    <col min="3" max="3" width="30.5703125" customWidth="1"/>
    <col min="4" max="4" width="29.5703125" customWidth="1"/>
    <col min="5" max="5" width="15.85546875" customWidth="1"/>
    <col min="6" max="6" width="31.85546875" customWidth="1"/>
    <col min="7" max="7" width="28.5703125" customWidth="1"/>
    <col min="8" max="8" width="30.42578125" customWidth="1"/>
    <col min="9" max="10" width="26.85546875" customWidth="1"/>
    <col min="11" max="11" width="35.140625" customWidth="1"/>
    <col min="12" max="12" width="20.85546875" customWidth="1"/>
    <col min="13" max="13" width="29" customWidth="1"/>
    <col min="15" max="15" width="30.140625" customWidth="1"/>
    <col min="16" max="16" width="28.85546875" customWidth="1"/>
    <col min="17" max="17" width="28.5703125" customWidth="1"/>
  </cols>
  <sheetData>
    <row r="1" spans="1:17" ht="30.95">
      <c r="A1" s="80" t="str">
        <f>IF(AND(Path&lt;&gt;Units!$B$91, Path&lt;&gt;Units!$B$90,Path&lt;&gt;Units!$B$92,Master_Switch="On"),"User should not use this worksheet, but switch to a non-blank GHG summary worksheet","")</f>
        <v>User should not use this worksheet, but switch to a non-blank GHG summary worksheet</v>
      </c>
    </row>
    <row r="2" spans="1:17"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c r="O2" s="173" t="str">
        <f>IF(Path=Units!$B$91,"UK weighted average fossil natural gas ATR+CCS, GHG emissions from LCA tool (central case) - for comparison only
(gCO2e/MJLHV standard H2)", IF(Path=Units!$B$90,"UK weighted average fossil natural gas SMR+CCS, GHG emissions from LCA tool (central case) - for comparison only
(gCO2e/MJLHV standard H2)","Pathway not available from LCA tool"))</f>
        <v>Pathway not available from LCA tool</v>
      </c>
      <c r="P2" s="173" t="str">
        <f>IF(Path=Units!$B$91,"Norwegian piped fossil natural gas to ATR+CCS, GHG emissions from LCA tool (best case) - for comparison only
(gCO2e/MJLHV standard H2)",IF(Path=Units!$B$90,"Norwegian piped fossil natural gas to SMR+CCS, GHG emissions from LCA tool (best case) - for comparison only
(gCO2e/MJLHV standard H2)", "Pathway not available from LCA tool"))</f>
        <v>Pathway not available from LCA tool</v>
      </c>
      <c r="Q2" s="173" t="str">
        <f>IF(Path=Units!$B$91,"Imported fossil LNG to ATR+CCS, GHG emissions from LCA tool (worst case) - for comparison only
(gCO2e/MJLHV standard H2)",IF(Path=Units!$B$90,"Imported fossil LNG to SMR+CCS, GHG emissions from LCA tool (worst case) - for comparison only
(gCO2e/MJLHV standard H2)", "Pathway not available from LCA tool"))</f>
        <v>Pathway not available from LCA tool</v>
      </c>
    </row>
    <row r="3" spans="1:17">
      <c r="B3" s="61" t="s">
        <v>989</v>
      </c>
      <c r="C3" s="680" t="s">
        <v>990</v>
      </c>
      <c r="D3" s="712" t="str">
        <f>IF(Initial_questions!E$113="", IF(Initial_questions!E$112="", "User to enter in Initial Qus", Initial_questions!E$112), Initial_questions!E$113)</f>
        <v>User to enter in Initial Qus</v>
      </c>
      <c r="E3" s="57" t="str">
        <f>NG_Collection!O20</f>
        <v>NA</v>
      </c>
      <c r="F3" s="168" t="e">
        <f>F4/E4</f>
        <v>#VALUE!</v>
      </c>
      <c r="G3" s="60">
        <f>IF(Initial_questions!$E$73=Units!$H$84, "NSTA data used, ignore row", NG_Collection!V34)</f>
        <v>0</v>
      </c>
      <c r="H3" s="58" t="e">
        <f>IF(Initial_questions!$E$73=Units!$H$84, 0, G3*F3)</f>
        <v>#VALUE!</v>
      </c>
      <c r="I3" s="57" t="str">
        <f>IF(Initial_questions!$E$73=Units!$H$84, 100%, NG_Collection!R20)</f>
        <v/>
      </c>
      <c r="J3" s="57" t="e">
        <f t="shared" ref="J3:J4" si="0">J4*I3</f>
        <v>#VALUE!</v>
      </c>
      <c r="K3" s="59" t="e">
        <f t="shared" ref="K3:K6" si="1">H3*J3</f>
        <v>#VALUE!</v>
      </c>
      <c r="L3" s="715" t="str">
        <f>IF(Path=Units!$B$90,'Default data'!$D$15, IF(Path=Units!$B$91,'Default data'!$D$16,IF(Path=Units!$B$92,'Default data'!$D$17,"Pathway not chosen")))</f>
        <v>Pathway not chosen</v>
      </c>
      <c r="M3" s="717" t="e">
        <f>MAX(0,IF($D$3="Default",L3,K3+K4+K5+K6))</f>
        <v>#VALUE!</v>
      </c>
      <c r="O3" s="707" t="str">
        <f>IF(Path=Units!$B$90,'Default data'!E$15,IF(Path=Units!$B$91,'Default data'!E$16,IF(Path=Units!$B$92,"Pathway not available from LCA tool","Pathway not chosen")))</f>
        <v>Pathway not chosen</v>
      </c>
      <c r="P3" s="707" t="str">
        <f>IF(Path=Units!$B$90,'Default data'!F$15,IF(Path=Units!$B$91,'Default data'!F$16,IF(Path=Units!$B$92,"Pathway not available from LCA tool","Pathway not chosen")))</f>
        <v>Pathway not chosen</v>
      </c>
      <c r="Q3" s="707" t="str">
        <f>IF(Path=Units!$B$90,'Default data'!G$15,IF(Path=Units!$B$91,'Default data'!G$16,IF(Path=Units!$B$92,"Pathway not available from LCA tool","Pathway not chosen")))</f>
        <v>Pathway not chosen</v>
      </c>
    </row>
    <row r="4" spans="1:17">
      <c r="B4" s="61" t="s">
        <v>991</v>
      </c>
      <c r="C4" s="681"/>
      <c r="D4" s="713"/>
      <c r="E4" s="57" t="str">
        <f>IF(Initial_questions!$E$73=Units!$H$84,100%, NG_Transport!O20)</f>
        <v/>
      </c>
      <c r="F4" s="168" t="e">
        <f>F5/E5</f>
        <v>#VALUE!</v>
      </c>
      <c r="G4" s="60">
        <f>IF(Initial_questions!$E$73=Units!$H$84, "NSTA data used, ignore row", NG_Transport!V33)</f>
        <v>0</v>
      </c>
      <c r="H4" s="58" t="e">
        <f>IF(Initial_questions!$E$73=Units!$H$84, 0, G4*F4)</f>
        <v>#VALUE!</v>
      </c>
      <c r="I4" s="57" t="str">
        <f>IF(Initial_questions!$E$73=Units!$H$84, 100%, NG_Transport!R20)</f>
        <v/>
      </c>
      <c r="J4" s="57" t="e">
        <f t="shared" si="0"/>
        <v>#VALUE!</v>
      </c>
      <c r="K4" s="59" t="e">
        <f t="shared" si="1"/>
        <v>#VALUE!</v>
      </c>
      <c r="L4" s="716"/>
      <c r="M4" s="718"/>
      <c r="O4" s="708"/>
      <c r="P4" s="708"/>
      <c r="Q4" s="708"/>
    </row>
    <row r="5" spans="1:17">
      <c r="B5" s="61" t="s">
        <v>59</v>
      </c>
      <c r="C5" s="681"/>
      <c r="D5" s="713"/>
      <c r="E5" s="57" t="str">
        <f>IF(Initial_questions!$E$73=Units!$H$84, 100%, NG_Processing!O20)</f>
        <v/>
      </c>
      <c r="F5" s="168" t="e">
        <f>F6/E6</f>
        <v>#VALUE!</v>
      </c>
      <c r="G5" s="60">
        <f>IF(Initial_questions!$E$73=Units!$H$84, "NSTA data used, ignore row", NG_Processing!V34)</f>
        <v>0</v>
      </c>
      <c r="H5" s="58" t="e">
        <f>IF(Initial_questions!$E$73=Units!$H$84, 0, G5*F5)</f>
        <v>#VALUE!</v>
      </c>
      <c r="I5" s="57" t="str">
        <f>IF(Initial_questions!$E$73=Units!$H$84, 100%, NG_Processing!R20)</f>
        <v/>
      </c>
      <c r="J5" s="57" t="e">
        <f>J6*I5</f>
        <v>#VALUE!</v>
      </c>
      <c r="K5" s="59" t="e">
        <f t="shared" si="1"/>
        <v>#VALUE!</v>
      </c>
      <c r="L5" s="716"/>
      <c r="M5" s="718"/>
      <c r="O5" s="708"/>
      <c r="P5" s="708"/>
      <c r="Q5" s="708"/>
    </row>
    <row r="6" spans="1:17">
      <c r="B6" s="61" t="s">
        <v>60</v>
      </c>
      <c r="C6" s="682"/>
      <c r="D6" s="714"/>
      <c r="E6" s="57" t="str">
        <f>IF(Initial_questions!$E$73=Units!$H$84, 100%, NG_Further_Transport!O20)</f>
        <v/>
      </c>
      <c r="F6" s="168" t="e">
        <f>F7/E7</f>
        <v>#VALUE!</v>
      </c>
      <c r="G6" s="60">
        <f>IF(Initial_questions!$E$73=Units!$H$84, 'Typical data'!$C$280, NG_Further_Transport!V33)</f>
        <v>0</v>
      </c>
      <c r="H6" s="58" t="e">
        <f t="shared" ref="H6" si="2">G6*F6</f>
        <v>#VALUE!</v>
      </c>
      <c r="I6" s="57" t="str">
        <f>IF(Initial_questions!$E$73=Units!$H$84, 100%, NG_Further_Transport!R20)</f>
        <v/>
      </c>
      <c r="J6" s="57" t="e">
        <f>J7*I6</f>
        <v>#VALUE!</v>
      </c>
      <c r="K6" s="59" t="e">
        <f t="shared" si="1"/>
        <v>#VALUE!</v>
      </c>
      <c r="L6" s="716"/>
      <c r="M6" s="719"/>
      <c r="O6" s="709"/>
      <c r="P6" s="709"/>
      <c r="Q6" s="709"/>
    </row>
    <row r="7" spans="1:17">
      <c r="B7" s="703" t="s">
        <v>61</v>
      </c>
      <c r="C7" s="61" t="s">
        <v>129</v>
      </c>
      <c r="D7" s="311" t="str">
        <f>IF(Initial_questions!E$114="", IF(Initial_questions!E$112="", "User to enter in Initial Qus", Initial_questions!E$112), Initial_questions!E$114)</f>
        <v>User to enter in Initial Qus</v>
      </c>
      <c r="E7" s="683" t="str">
        <f>NG_Reforming_CCS!O9</f>
        <v/>
      </c>
      <c r="F7" s="686">
        <v>1</v>
      </c>
      <c r="G7" s="60">
        <f>NG_Reforming_CCS!V20</f>
        <v>0</v>
      </c>
      <c r="H7" s="58">
        <f>G7*$F$7</f>
        <v>0</v>
      </c>
      <c r="I7" s="683" t="str">
        <f>NG_Reforming_CCS!R9</f>
        <v/>
      </c>
      <c r="J7" s="683" t="str">
        <f>I7</f>
        <v/>
      </c>
      <c r="K7" s="59" t="e">
        <f>H7*$J$7</f>
        <v>#VALUE!</v>
      </c>
      <c r="L7" s="168" t="str">
        <f>IF(Path=Units!$B$90,'Default data'!$D$31,IF(Path=Units!$B$91,'Default data'!$D$32, IF(Path=Units!$B$92,'Default data'!$D$33,"Pathway not chosen")))</f>
        <v>Pathway not chosen</v>
      </c>
      <c r="M7" s="312" t="e">
        <f>IF(D7="Default",L7,K7)</f>
        <v>#VALUE!</v>
      </c>
      <c r="O7" s="163" t="str">
        <f>IF(Path=Units!$B$90, 'Default data'!E$31,IF(Path=Units!$B$91,'Default data'!E$32,IF(Path=Units!$B$92,"Pathway not available from LCA tool","Pathway not chosen")))</f>
        <v>Pathway not chosen</v>
      </c>
      <c r="P7" s="163" t="str">
        <f>IF(Path=Units!$B$90, 'Default data'!F$31,IF(Path=Units!$B$91,'Default data'!F$32,IF(Path=Units!$B$92,"Pathway not available from LCA tool","Pathway not chosen")))</f>
        <v>Pathway not chosen</v>
      </c>
      <c r="Q7" s="163" t="str">
        <f>IF(Path=Units!$B$90, 'Default data'!G$31,IF(Path=Units!$B$91,'Default data'!G$32,IF(Path=Units!$B$92,"Pathway not available from LCA tool","Pathway not chosen")))</f>
        <v>Pathway not chosen</v>
      </c>
    </row>
    <row r="8" spans="1:17">
      <c r="B8" s="704"/>
      <c r="C8" s="61" t="s">
        <v>130</v>
      </c>
      <c r="D8" s="311" t="str">
        <f>IF(Initial_questions!E$115="", IF(Initial_questions!E$112="", "User to enter in Initial Qus", Initial_questions!E$112), Initial_questions!E$115)</f>
        <v>User to enter in Initial Qus</v>
      </c>
      <c r="E8" s="684"/>
      <c r="F8" s="687"/>
      <c r="G8" s="60">
        <f>NG_Reforming_CCS!V33</f>
        <v>0</v>
      </c>
      <c r="H8" s="58">
        <f t="shared" ref="H8:H12" si="3">G8*$F$7</f>
        <v>0</v>
      </c>
      <c r="I8" s="684"/>
      <c r="J8" s="684"/>
      <c r="K8" s="59" t="e">
        <f t="shared" ref="K8:K12" si="4">H8*$J$7</f>
        <v>#VALUE!</v>
      </c>
      <c r="L8" s="168" t="str">
        <f>IF(Path=Units!$B$90,'Default data'!$D$47,IF(Path=Units!$B$91,'Default data'!$D$48,IF( Path=Units!$B$92,'Default data'!$D$49,"Pathway not chosen")))</f>
        <v>Pathway not chosen</v>
      </c>
      <c r="M8" s="312" t="e">
        <f>IF(D8="Default",L8,K8)</f>
        <v>#VALUE!</v>
      </c>
      <c r="O8" s="163" t="str">
        <f>IF(Path=Units!$B$90,'Default data'!E$47,IF(Path=Units!$B$91,'Default data'!E$48,IF(Path=Units!$B$92,"Pathway not available from LCA tool","Pathway not chosen")))</f>
        <v>Pathway not chosen</v>
      </c>
      <c r="P8" s="163" t="str">
        <f>IF(Path=Units!$B$90,'Default data'!F$47,IF(Path=Units!$B$91,'Default data'!F$48,IF(Path=Units!$B$92,"Pathway not available from LCA tool","Pathway not chosen")))</f>
        <v>Pathway not chosen</v>
      </c>
      <c r="Q8" s="163" t="str">
        <f>IF(Path=Units!$B$90,'Default data'!G$47,IF(Path=Units!$B$91,'Default data'!G$48,IF(Path=Units!$B$92,"Pathway not available from LCA tool","Pathway not chosen")))</f>
        <v>Pathway not chosen</v>
      </c>
    </row>
    <row r="9" spans="1:17" ht="16.5">
      <c r="B9" s="704"/>
      <c r="C9" s="61" t="s">
        <v>963</v>
      </c>
      <c r="D9" s="61" t="s">
        <v>964</v>
      </c>
      <c r="E9" s="684"/>
      <c r="F9" s="687"/>
      <c r="G9" s="60">
        <f>NG_Reforming_CCS!V45</f>
        <v>0</v>
      </c>
      <c r="H9" s="58">
        <f t="shared" si="3"/>
        <v>0</v>
      </c>
      <c r="I9" s="684"/>
      <c r="J9" s="684"/>
      <c r="K9" s="59" t="e">
        <f t="shared" si="4"/>
        <v>#VALUE!</v>
      </c>
      <c r="L9" s="56" t="s">
        <v>563</v>
      </c>
      <c r="M9" s="312" t="e">
        <f>IF(D9="Default",L9,K9)</f>
        <v>#VALUE!</v>
      </c>
      <c r="O9" s="163" t="str">
        <f>IF(Path=Units!$B$90,'Default data'!E$63,IF(Path=Units!$B$91,'Default data'!E$64,IF(Path=Units!$B$92,"Pathway not available from LCA tool","Pathway not chosen")))</f>
        <v>Pathway not chosen</v>
      </c>
      <c r="P9" s="163" t="str">
        <f>IF(Path=Units!$B$90,'Default data'!F$63,IF(Path=Units!$B$91,'Default data'!F$64,IF(Path=Units!$B$92,"Pathway not available from LCA tool","Pathway not chosen")))</f>
        <v>Pathway not chosen</v>
      </c>
      <c r="Q9" s="163" t="str">
        <f>IF(Path=Units!$B$90,'Default data'!G$63,IF(Path=Units!$B$91,'Default data'!G$64,IF(Path=Units!$B$92,"Pathway not available from LCA tool","Pathway not chosen")))</f>
        <v>Pathway not chosen</v>
      </c>
    </row>
    <row r="10" spans="1:17" ht="16.5">
      <c r="B10" s="704"/>
      <c r="C10" s="93" t="s">
        <v>965</v>
      </c>
      <c r="D10" s="61" t="s">
        <v>964</v>
      </c>
      <c r="E10" s="684"/>
      <c r="F10" s="687"/>
      <c r="G10" s="60">
        <f>NG_Reforming_CCS!V52</f>
        <v>0</v>
      </c>
      <c r="H10" s="58">
        <f t="shared" si="3"/>
        <v>0</v>
      </c>
      <c r="I10" s="684"/>
      <c r="J10" s="684"/>
      <c r="K10" s="59" t="e">
        <f t="shared" si="4"/>
        <v>#VALUE!</v>
      </c>
      <c r="L10" s="56" t="s">
        <v>563</v>
      </c>
      <c r="M10" s="312" t="e">
        <f>IF(D10="Default",L10,K10)</f>
        <v>#VALUE!</v>
      </c>
      <c r="O10" s="163" t="str">
        <f>IF(Path=Units!$B$90,'Default data'!E$79,IF(Path=Units!$B$91,'Default data'!E$80,IF(Path=Units!$B$92,"Pathway not available from LCA tool","Pathway not chosen")))</f>
        <v>Pathway not chosen</v>
      </c>
      <c r="P10" s="163" t="str">
        <f>IF(Path=Units!$B$90,'Default data'!F$79,IF(Path=Units!$B$91,'Default data'!F$80,IF(Path=Units!$B$92,"Pathway not available from LCA tool","Pathway not chosen")))</f>
        <v>Pathway not chosen</v>
      </c>
      <c r="Q10" s="163" t="str">
        <f>IF(Path=Units!$B$90,'Default data'!G$79,IF(Path=Units!$B$91,'Default data'!G$80,IF(Path=Units!$B$92,"Pathway not available from LCA tool","Pathway not chosen")))</f>
        <v>Pathway not chosen</v>
      </c>
    </row>
    <row r="11" spans="1:17" ht="16.5">
      <c r="B11" s="704"/>
      <c r="C11" s="93" t="s">
        <v>966</v>
      </c>
      <c r="D11" s="61" t="s">
        <v>964</v>
      </c>
      <c r="E11" s="684"/>
      <c r="F11" s="687"/>
      <c r="G11" s="60">
        <f>NG_Reforming_CCS!V60</f>
        <v>0</v>
      </c>
      <c r="H11" s="58">
        <f t="shared" si="3"/>
        <v>0</v>
      </c>
      <c r="I11" s="684"/>
      <c r="J11" s="684"/>
      <c r="K11" s="59" t="e">
        <f t="shared" si="4"/>
        <v>#VALUE!</v>
      </c>
      <c r="L11" s="56" t="s">
        <v>563</v>
      </c>
      <c r="M11" s="312" t="e">
        <f t="shared" ref="M11" si="5">IF(D11="Default",L11,K11)</f>
        <v>#VALUE!</v>
      </c>
      <c r="O11" s="163" t="str">
        <f>IF(Path=Units!$B$90,'Default data'!E$95,IF(Path=Units!$B$91,'Default data'!E$96,IF(Path=Units!$B$92,"Pathway not available from LCA tool","Pathway not chosen")))</f>
        <v>Pathway not chosen</v>
      </c>
      <c r="P11" s="163" t="str">
        <f>IF(Path=Units!$B$90,'Default data'!F$95,IF(Path=Units!$B$91,'Default data'!F$96,IF(Path=Units!$B$92,"Pathway not available from LCA tool","Pathway not chosen")))</f>
        <v>Pathway not chosen</v>
      </c>
      <c r="Q11" s="163" t="str">
        <f>IF(Path=Units!$B$90,'Default data'!G$95,IF(Path=Units!$B$91,'Default data'!G$96,IF(Path=Units!$B$92,"Pathway not available from LCA tool","Pathway not chosen")))</f>
        <v>Pathway not chosen</v>
      </c>
    </row>
    <row r="12" spans="1:17" ht="16.5">
      <c r="B12" s="705"/>
      <c r="C12" s="61" t="s">
        <v>967</v>
      </c>
      <c r="D12" s="61" t="s">
        <v>964</v>
      </c>
      <c r="E12" s="685"/>
      <c r="F12" s="688"/>
      <c r="G12" s="60">
        <f>NG_Reforming_CCS!V67</f>
        <v>0</v>
      </c>
      <c r="H12" s="58">
        <f t="shared" si="3"/>
        <v>0</v>
      </c>
      <c r="I12" s="685"/>
      <c r="J12" s="685"/>
      <c r="K12" s="59" t="e">
        <f t="shared" si="4"/>
        <v>#VALUE!</v>
      </c>
      <c r="L12" s="56" t="s">
        <v>563</v>
      </c>
      <c r="M12" s="312" t="e">
        <f>IF(D12="Default",L12,K12)</f>
        <v>#VALUE!</v>
      </c>
      <c r="O12" s="163" t="str">
        <f>IF(Path=Units!$B$90,'Default data'!E$111,IF(Path=Units!$B$91,'Default data'!E$112,IF(Path=Units!$B$92,"Pathway not available from LCA tool","Pathway not chosen")))</f>
        <v>Pathway not chosen</v>
      </c>
      <c r="P12" s="163" t="str">
        <f>IF(Path=Units!$B$90,'Default data'!F$111,IF(Path=Units!$B$91,'Default data'!F$112,IF(Path=Units!$B$92,"Pathway not available from LCA tool","Pathway not chosen")))</f>
        <v>Pathway not chosen</v>
      </c>
      <c r="Q12" s="163" t="str">
        <f>IF(Path=Units!$B$90,'Default data'!G$111,IF(Path=Units!$B$91,'Default data'!G$112,IF(Path=Units!$B$92,"Pathway not available from LCA tool","Pathway not chosen")))</f>
        <v>Pathway not chosen</v>
      </c>
    </row>
    <row r="13" spans="1:17" ht="29.1">
      <c r="B13" s="61" t="s">
        <v>968</v>
      </c>
      <c r="C13" s="710" t="s">
        <v>969</v>
      </c>
      <c r="D13" s="540" t="s">
        <v>970</v>
      </c>
      <c r="E13" s="28"/>
      <c r="F13" s="28"/>
      <c r="G13" s="28"/>
      <c r="H13" s="28"/>
      <c r="I13" s="28"/>
      <c r="L13" s="518" t="str">
        <f>'Typical data'!$D$389</f>
        <v>Yet to provide pressure or electricity source</v>
      </c>
      <c r="M13" s="517" t="str">
        <f>L13</f>
        <v>Yet to provide pressure or electricity source</v>
      </c>
      <c r="O13" s="163" t="s">
        <v>971</v>
      </c>
      <c r="P13" s="163" t="s">
        <v>971</v>
      </c>
      <c r="Q13" s="163" t="s">
        <v>971</v>
      </c>
    </row>
    <row r="14" spans="1:17" ht="29.1">
      <c r="B14" s="61" t="s">
        <v>972</v>
      </c>
      <c r="C14" s="711"/>
      <c r="D14" s="540" t="s">
        <v>973</v>
      </c>
      <c r="E14" s="28"/>
      <c r="F14" s="28"/>
      <c r="G14" s="108"/>
      <c r="H14" s="28"/>
      <c r="I14" s="28"/>
      <c r="L14" s="520" t="str">
        <f>'Typical data'!$D$407</f>
        <v>Yet to provide electricity source</v>
      </c>
      <c r="M14" s="517" t="str">
        <f>L14</f>
        <v>Yet to provide electricity source</v>
      </c>
      <c r="O14" s="163" t="s">
        <v>971</v>
      </c>
      <c r="P14" s="163" t="s">
        <v>971</v>
      </c>
      <c r="Q14" s="163" t="s">
        <v>971</v>
      </c>
    </row>
    <row r="15" spans="1:17">
      <c r="B15" s="96"/>
      <c r="C15" s="94"/>
      <c r="D15" s="95"/>
      <c r="E15" s="28"/>
      <c r="F15" s="28"/>
      <c r="G15" s="108"/>
      <c r="H15" s="28"/>
      <c r="I15" s="28"/>
    </row>
    <row r="16" spans="1:17" ht="18.600000000000001">
      <c r="B16" s="97" t="s">
        <v>974</v>
      </c>
      <c r="C16" s="98"/>
      <c r="D16" s="98"/>
      <c r="E16" s="99">
        <f>PRODUCT(E3:E14)</f>
        <v>0</v>
      </c>
      <c r="F16" s="100"/>
      <c r="G16" s="100"/>
      <c r="H16" s="100"/>
      <c r="I16" s="101"/>
      <c r="J16" s="114"/>
      <c r="K16" s="101"/>
      <c r="L16" s="101"/>
      <c r="M16" s="102" t="str">
        <f>IF(COUNTIF(M3:M14,"*")&gt;0,"Pathway not chosen",SUM(M3:M14))</f>
        <v>Pathway not chosen</v>
      </c>
      <c r="O16" s="163" t="str">
        <f>IF(Path=Units!$B$91,'Default data'!E$144,IF(Path=Units!$B$90,'Default data'!E$143,IF(Path=Units!$B$92,"Pathway data not available from LCA tool","Pathway not chosen")))</f>
        <v>Pathway not chosen</v>
      </c>
      <c r="P16" s="163" t="str">
        <f>IF(Path=Units!$B$91,'Default data'!F$144,IF(Path=Units!$B$90,'Default data'!F$143,IF(Path=Units!$B$92,"Pathway data not available from LCA tool","Pathway not chosen")))</f>
        <v>Pathway not chosen</v>
      </c>
      <c r="Q16" s="163" t="str">
        <f>IF(Path=Units!$B$91,'Default data'!G$144,IF(Path=Units!$B$90,'Default data'!G$143,IF(Path=Units!$B$92,"Pathway data not available from LCA tool","Pathway not chosen")))</f>
        <v>Pathway not chosen</v>
      </c>
    </row>
    <row r="17" spans="2:17" ht="18.600000000000001">
      <c r="B17" s="97" t="s">
        <v>975</v>
      </c>
      <c r="C17" s="98"/>
      <c r="D17" s="98"/>
      <c r="E17" s="101"/>
      <c r="F17" s="101"/>
      <c r="G17" s="101"/>
      <c r="H17" s="101"/>
      <c r="I17" s="101"/>
      <c r="J17" s="101"/>
      <c r="K17" s="101"/>
      <c r="L17" s="101"/>
      <c r="M17" s="103">
        <v>20</v>
      </c>
      <c r="O17" s="706" t="s">
        <v>992</v>
      </c>
      <c r="P17" s="706"/>
      <c r="Q17" s="706"/>
    </row>
    <row r="18" spans="2:17" ht="14.45" customHeight="1">
      <c r="O18" s="706"/>
      <c r="P18" s="706"/>
      <c r="Q18" s="706"/>
    </row>
    <row r="19" spans="2:17">
      <c r="O19" s="706"/>
      <c r="P19" s="706"/>
      <c r="Q19" s="706"/>
    </row>
    <row r="22" spans="2:17">
      <c r="O22" s="273"/>
    </row>
  </sheetData>
  <customSheetViews>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1"/>
    </customSheetView>
    <customSheetView guid="{EECBF9DF-6D77-4263-85DA-71E40216BADD}" showGridLines="0">
      <pane xSplit="3" topLeftCell="D1" activePane="topRight" state="frozen"/>
      <selection pane="topRight"/>
      <pageMargins left="0" right="0" top="0" bottom="0" header="0" footer="0"/>
      <pageSetup paperSize="9" orientation="portrait" r:id="rId2"/>
    </customSheetView>
    <customSheetView guid="{1C16EB38-F785-4168-9938-104594734038}" showGridLines="0" state="hidden">
      <pane xSplit="3" topLeftCell="D1" activePane="topRight" state="frozen"/>
      <selection pane="topRight"/>
      <pageMargins left="0" right="0" top="0" bottom="0" header="0" footer="0"/>
      <pageSetup paperSize="9" orientation="portrait" r:id="rId3"/>
    </customSheetView>
    <customSheetView guid="{0E935136-9A80-44B6-88D5-61E64D742049}" showGridLines="0" state="hidden">
      <pane xSplit="3" topLeftCell="D1" activePane="topRight" state="frozen"/>
      <selection pane="topRight"/>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r:id="rId5"/>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6"/>
    </customSheetView>
    <customSheetView guid="{D97B1299-69D0-4EE0-B673-CCF74742F96B}" state="hidden">
      <selection activeCell="D2" sqref="D2"/>
      <pageMargins left="0" right="0" top="0" bottom="0" header="0" footer="0"/>
      <pageSetup paperSize="9" orientation="portrait" r:id="rId7"/>
    </customSheetView>
    <customSheetView guid="{F468A2FD-7987-4A9D-8BAE-1AACE523607F}" showGridLines="0" state="hidden">
      <pane xSplit="3" topLeftCell="D1" activePane="topRight" state="frozen"/>
      <selection pane="topRight"/>
      <pageMargins left="0" right="0" top="0" bottom="0" header="0" footer="0"/>
      <pageSetup paperSize="9" orientation="portrait" r:id="rId8"/>
    </customSheetView>
    <customSheetView guid="{2D920366-22B2-4182-A65D-0EDBE614FB37}" showGridLines="0">
      <pane xSplit="3" topLeftCell="D1" activePane="topRight" state="frozen"/>
      <selection pane="topRight"/>
      <pageMargins left="0" right="0" top="0" bottom="0" header="0" footer="0"/>
      <pageSetup paperSize="9" orientation="portrait" r:id="rId9"/>
    </customSheetView>
  </customSheetViews>
  <mergeCells count="14">
    <mergeCell ref="B7:B12"/>
    <mergeCell ref="E7:E12"/>
    <mergeCell ref="F7:F12"/>
    <mergeCell ref="I7:I12"/>
    <mergeCell ref="J7:J12"/>
    <mergeCell ref="O17:Q19"/>
    <mergeCell ref="O3:O6"/>
    <mergeCell ref="P3:P6"/>
    <mergeCell ref="Q3:Q6"/>
    <mergeCell ref="C13:C14"/>
    <mergeCell ref="D3:D6"/>
    <mergeCell ref="L3:L6"/>
    <mergeCell ref="C3:C6"/>
    <mergeCell ref="M3:M6"/>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6" id="{101C228E-28D6-40F5-A9C6-340668E1EB47}">
            <xm:f>AND(Path&lt;&gt;Units!$B$90, Path&lt;&gt;Units!$B$91,Path&lt;&gt;Units!$B$92,Master_Switch="On")</xm:f>
            <x14:dxf>
              <font>
                <color theme="0"/>
              </font>
              <fill>
                <patternFill>
                  <bgColor theme="0"/>
                </patternFill>
              </fill>
              <border>
                <left/>
                <right/>
                <top/>
                <bottom/>
              </border>
            </x14:dxf>
          </x14:cfRule>
          <xm:sqref>A2:XFD100</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D1609-E444-4096-8396-5D93F555EE58}">
  <sheetPr codeName="Sheet52">
    <tabColor rgb="FFFF66CC"/>
  </sheetPr>
  <dimension ref="A1:O24"/>
  <sheetViews>
    <sheetView showGridLines="0" zoomScaleNormal="100" workbookViewId="0">
      <pane xSplit="3" topLeftCell="D1" activePane="topRight" state="frozen"/>
      <selection pane="topRight"/>
    </sheetView>
  </sheetViews>
  <sheetFormatPr defaultColWidth="8.85546875" defaultRowHeight="14.45"/>
  <cols>
    <col min="1" max="1" width="4.5703125" customWidth="1"/>
    <col min="2" max="2" width="32.42578125" customWidth="1"/>
    <col min="3" max="3" width="30.5703125" customWidth="1"/>
    <col min="4" max="4" width="29.5703125" customWidth="1"/>
    <col min="5" max="5" width="15.85546875" customWidth="1"/>
    <col min="6" max="6" width="31.85546875" customWidth="1"/>
    <col min="7" max="7" width="28.5703125" customWidth="1"/>
    <col min="8" max="8" width="30.42578125" customWidth="1"/>
    <col min="9" max="10" width="26.85546875" customWidth="1"/>
    <col min="11" max="11" width="35.140625" customWidth="1"/>
    <col min="12" max="12" width="20.85546875" customWidth="1"/>
    <col min="13" max="13" width="29" customWidth="1"/>
    <col min="15" max="15" width="30.140625" customWidth="1"/>
    <col min="16" max="16" width="28.85546875" customWidth="1"/>
    <col min="17" max="17" width="28.5703125" customWidth="1"/>
  </cols>
  <sheetData>
    <row r="1" spans="1:13" ht="30.95">
      <c r="A1" s="80" t="str">
        <f>IF(AND(Path&lt;&gt;Units!$B$94,Master_Switch="On"),"User should not use this worksheet, but switch to a non-blank GHG summary worksheet","")</f>
        <v>User should not use this worksheet, but switch to a non-blank GHG summary worksheet</v>
      </c>
      <c r="J1" s="566"/>
    </row>
    <row r="2" spans="1:13"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row>
    <row r="3" spans="1:13">
      <c r="B3" s="61" t="str">
        <f>IF(Initial_questions!$E$27=Units!$L$86, "ROG Counterfactual", "")</f>
        <v/>
      </c>
      <c r="C3" s="93" t="str">
        <f>IF(Initial_questions!$E$27=Units!$L$86, "Fossil counterfactual","")</f>
        <v/>
      </c>
      <c r="D3" s="93" t="str">
        <f>IF(Initial_questions!$E$27=Units!$L$86, "Must be projected","")</f>
        <v/>
      </c>
      <c r="E3" s="560" t="str">
        <f>IF(Initial_questions!$E$27=Units!$L$86, "NA","")</f>
        <v/>
      </c>
      <c r="F3" s="168" t="str">
        <f>IF(Initial_questions!$E$27=Units!$L$86,F7,"")</f>
        <v/>
      </c>
      <c r="G3" s="60" t="str">
        <f>IF(Initial_questions!$E$27=Units!$L$86,ROG_Counterfactual!$C$8*ROG_Counterfactual!$C$9-ROG_Counterfactual!$C$10,"")</f>
        <v/>
      </c>
      <c r="H3" s="58" t="str">
        <f>IF(Initial_questions!$E$27=Units!$L$86, G3*F3,"")</f>
        <v/>
      </c>
      <c r="I3" s="313" t="str">
        <f>IF(Initial_questions!$E$27=Units!$L$86, 100%,"")</f>
        <v/>
      </c>
      <c r="J3" s="313" t="str">
        <f>IF(Initial_questions!$E$27=Units!$L$86, J7*I3,"")</f>
        <v/>
      </c>
      <c r="K3" s="59">
        <f>IF(Initial_questions!$E$27=Units!$L$86, H3*J3, 0)</f>
        <v>0</v>
      </c>
      <c r="L3" s="56" t="s">
        <v>563</v>
      </c>
      <c r="M3" s="312">
        <f>IF(D3="Default",L3,K3)</f>
        <v>0</v>
      </c>
    </row>
    <row r="4" spans="1:13">
      <c r="B4" s="61" t="str">
        <f>IF(Initial_questions!$E$27=Units!$L$88,"Crude Collection","")</f>
        <v/>
      </c>
      <c r="C4" s="720" t="s">
        <v>990</v>
      </c>
      <c r="D4" s="703" t="s">
        <v>964</v>
      </c>
      <c r="E4" s="560" t="str">
        <f>IF(Initial_questions!$E$27=Units!$L$88,Crude_Collection!O20,"")</f>
        <v/>
      </c>
      <c r="F4" s="168" t="str">
        <f>IF(Initial_questions!$E$27=Units!$L$88,F5,"")</f>
        <v/>
      </c>
      <c r="G4" s="60" t="str">
        <f>IF(Initial_questions!$E$27=Units!$L$88,Crude_Collection!V34,"")</f>
        <v/>
      </c>
      <c r="H4" s="58" t="str">
        <f>IF(Initial_questions!$E$27=Units!$L$88,G4*F4,"")</f>
        <v/>
      </c>
      <c r="I4" s="313" t="str">
        <f>IF(Initial_questions!$E$27=Units!$L$88,Crude_Collection!R20,"")</f>
        <v/>
      </c>
      <c r="J4" s="590" t="str">
        <f>IF(Initial_questions!$E$27=Units!$L$88,J5*I4,"")</f>
        <v/>
      </c>
      <c r="K4" s="59" t="str">
        <f>IF(Initial_questions!$E$27=Units!$L$88,H4*J4,"")</f>
        <v/>
      </c>
      <c r="L4" s="723" t="str">
        <f>IF(Path=Units!$B$94,'Default data'!$D$18,"Pathway not chosen")</f>
        <v>Pathway not chosen</v>
      </c>
      <c r="M4" s="717" t="e">
        <f>IF(D4="Default",L4,SUM(K4:K8))</f>
        <v>#VALUE!</v>
      </c>
    </row>
    <row r="5" spans="1:13">
      <c r="B5" s="61" t="str">
        <f>IF(Initial_questions!$E$27=Units!$L$88,"Crude Transport","")</f>
        <v/>
      </c>
      <c r="C5" s="721"/>
      <c r="D5" s="704"/>
      <c r="E5" s="57" t="str">
        <f>IF(Initial_questions!$E$27=Units!$L$88,Crude_Transport!O20,"")</f>
        <v/>
      </c>
      <c r="F5" s="168" t="str">
        <f>IF(Initial_questions!$E$27=Units!$L$88,F6/E6,"")</f>
        <v/>
      </c>
      <c r="G5" s="60" t="str">
        <f>IF(Initial_questions!$E$27=Units!$L$88,Crude_Transport!V33,"")</f>
        <v/>
      </c>
      <c r="H5" s="58" t="str">
        <f>IF(Initial_questions!$E$27=Units!$L$88,G5*F5,"")</f>
        <v/>
      </c>
      <c r="I5" s="313" t="str">
        <f>IF(Initial_questions!$E$27=Units!$L$88,Crude_Transport!R20,"")</f>
        <v/>
      </c>
      <c r="J5" s="590" t="str">
        <f>IF(Initial_questions!$E$27=Units!$L$88,J6*I5,"")</f>
        <v/>
      </c>
      <c r="K5" s="59" t="str">
        <f>IF(Initial_questions!$E$27=Units!$L$88,H5*J5,"")</f>
        <v/>
      </c>
      <c r="L5" s="724"/>
      <c r="M5" s="718"/>
    </row>
    <row r="6" spans="1:13">
      <c r="B6" s="61" t="str">
        <f>IF(Initial_questions!$E$27=Units!$L$88,"Crude Refine","")</f>
        <v/>
      </c>
      <c r="C6" s="721"/>
      <c r="D6" s="704"/>
      <c r="E6" s="57" t="str">
        <f>IF(Initial_questions!$E$27=Units!$L$88,Crude_Refine!O20,"")</f>
        <v/>
      </c>
      <c r="F6" s="168" t="str">
        <f>IF(Initial_questions!$E$27=Units!$L$88,F7/E7,"")</f>
        <v/>
      </c>
      <c r="G6" s="60" t="str">
        <f>IF(Initial_questions!$E$27=Units!$L$88,Crude_Refine!V42,"")</f>
        <v/>
      </c>
      <c r="H6" s="58" t="str">
        <f>IF(Initial_questions!$E$27=Units!$L$88,G6*F6,"")</f>
        <v/>
      </c>
      <c r="I6" s="313" t="str">
        <f>IF(Initial_questions!$E$27=Units!$L$88,Crude_Refine!R20,"")</f>
        <v/>
      </c>
      <c r="J6" s="590" t="str">
        <f>IF(Initial_questions!$E$27=Units!$L$88,J7*I6,"")</f>
        <v/>
      </c>
      <c r="K6" s="59" t="str">
        <f>IF(Initial_questions!$E$27=Units!$L$88,H6*J6,"")</f>
        <v/>
      </c>
      <c r="L6" s="724"/>
      <c r="M6" s="718"/>
    </row>
    <row r="7" spans="1:13">
      <c r="B7" s="61" t="s">
        <v>67</v>
      </c>
      <c r="C7" s="721"/>
      <c r="D7" s="704"/>
      <c r="E7" s="57" t="str">
        <f>ROG_Processing!O20</f>
        <v/>
      </c>
      <c r="F7" s="168" t="e">
        <f>F8/E8</f>
        <v>#VALUE!</v>
      </c>
      <c r="G7" s="60">
        <f>ROG_Processing!V34</f>
        <v>0</v>
      </c>
      <c r="H7" s="58" t="e">
        <f>F7*G7</f>
        <v>#VALUE!</v>
      </c>
      <c r="I7" s="57" t="str">
        <f>ROG_Processing!R20</f>
        <v/>
      </c>
      <c r="J7" s="313" t="e">
        <f>J8*I7</f>
        <v>#VALUE!</v>
      </c>
      <c r="K7" s="59" t="e">
        <f t="shared" ref="K7" si="0">H7*J7</f>
        <v>#VALUE!</v>
      </c>
      <c r="L7" s="724"/>
      <c r="M7" s="718"/>
    </row>
    <row r="8" spans="1:13">
      <c r="B8" s="61" t="s">
        <v>68</v>
      </c>
      <c r="C8" s="722"/>
      <c r="D8" s="705"/>
      <c r="E8" s="57" t="str">
        <f>ROG_Transport!O20</f>
        <v/>
      </c>
      <c r="F8" s="168" t="e">
        <f>F9/E9</f>
        <v>#VALUE!</v>
      </c>
      <c r="G8" s="60">
        <f>ROG_Transport!V33</f>
        <v>0</v>
      </c>
      <c r="H8" s="58" t="e">
        <f>F8*G8</f>
        <v>#VALUE!</v>
      </c>
      <c r="I8" s="57" t="str">
        <f>ROG_Transport!R20</f>
        <v/>
      </c>
      <c r="J8" s="313" t="e">
        <f>J9*I8</f>
        <v>#VALUE!</v>
      </c>
      <c r="K8" s="59" t="e">
        <f>H8*J8</f>
        <v>#VALUE!</v>
      </c>
      <c r="L8" s="725"/>
      <c r="M8" s="719"/>
    </row>
    <row r="9" spans="1:13">
      <c r="B9" s="703" t="s">
        <v>69</v>
      </c>
      <c r="C9" s="61" t="s">
        <v>129</v>
      </c>
      <c r="D9" s="311" t="str">
        <f>IF(Initial_questions!E$114="", IF(Initial_questions!E$112="", "User to enter in Initial Qus", Initial_questions!E$112), Initial_questions!E$114)</f>
        <v>User to enter in Initial Qus</v>
      </c>
      <c r="E9" s="683" t="str">
        <f>ROG_Reforming_CCS!O9</f>
        <v/>
      </c>
      <c r="F9" s="686">
        <v>1</v>
      </c>
      <c r="G9" s="60">
        <f>ROG_Reforming_CCS!V20</f>
        <v>0</v>
      </c>
      <c r="H9" s="58">
        <f>G9*$F$9</f>
        <v>0</v>
      </c>
      <c r="I9" s="683" t="str">
        <f>ROG_Reforming_CCS!R9</f>
        <v/>
      </c>
      <c r="J9" s="726" t="str">
        <f>I9</f>
        <v/>
      </c>
      <c r="K9" s="59" t="e">
        <f>H9*$J$9</f>
        <v>#VALUE!</v>
      </c>
      <c r="L9" s="168" t="str">
        <f>IF(Path=Units!$B$94,'Default data'!$D$34,"Pathway not chosen")</f>
        <v>Pathway not chosen</v>
      </c>
      <c r="M9" s="312" t="e">
        <f>IF(D9="Default",L9,K9)</f>
        <v>#VALUE!</v>
      </c>
    </row>
    <row r="10" spans="1:13">
      <c r="B10" s="704"/>
      <c r="C10" s="61" t="s">
        <v>130</v>
      </c>
      <c r="D10" s="311" t="str">
        <f>IF(Initial_questions!E$115="", IF(Initial_questions!E$112="", "User to enter in Initial Qus", Initial_questions!E$112), Initial_questions!E$115)</f>
        <v>User to enter in Initial Qus</v>
      </c>
      <c r="E10" s="684"/>
      <c r="F10" s="687"/>
      <c r="G10" s="60">
        <f>ROG_Reforming_CCS!V33</f>
        <v>0</v>
      </c>
      <c r="H10" s="58">
        <f t="shared" ref="H10:H14" si="1">G10*$F$9</f>
        <v>0</v>
      </c>
      <c r="I10" s="684"/>
      <c r="J10" s="727"/>
      <c r="K10" s="59" t="e">
        <f t="shared" ref="K10:K14" si="2">H10*$J$9</f>
        <v>#VALUE!</v>
      </c>
      <c r="L10" s="168" t="str">
        <f>IF(Path=Units!$B$94,'Default data'!$D$50,"Pathway not chosen")</f>
        <v>Pathway not chosen</v>
      </c>
      <c r="M10" s="312" t="e">
        <f>IF(D10="Default",L10,K10)</f>
        <v>#VALUE!</v>
      </c>
    </row>
    <row r="11" spans="1:13" ht="16.5">
      <c r="B11" s="704"/>
      <c r="C11" s="61" t="s">
        <v>963</v>
      </c>
      <c r="D11" s="61" t="s">
        <v>964</v>
      </c>
      <c r="E11" s="684"/>
      <c r="F11" s="687"/>
      <c r="G11" s="60">
        <f>ROG_Reforming_CCS!V45</f>
        <v>0</v>
      </c>
      <c r="H11" s="58">
        <f t="shared" si="1"/>
        <v>0</v>
      </c>
      <c r="I11" s="684"/>
      <c r="J11" s="727"/>
      <c r="K11" s="59" t="e">
        <f t="shared" si="2"/>
        <v>#VALUE!</v>
      </c>
      <c r="L11" s="56" t="s">
        <v>563</v>
      </c>
      <c r="M11" s="312" t="e">
        <f>IF(D11="Default",L11,K11)</f>
        <v>#VALUE!</v>
      </c>
    </row>
    <row r="12" spans="1:13" ht="16.5">
      <c r="B12" s="704"/>
      <c r="C12" s="93" t="s">
        <v>965</v>
      </c>
      <c r="D12" s="61" t="s">
        <v>964</v>
      </c>
      <c r="E12" s="684"/>
      <c r="F12" s="687"/>
      <c r="G12" s="60">
        <f>ROG_Reforming_CCS!V52</f>
        <v>0</v>
      </c>
      <c r="H12" s="58">
        <f t="shared" si="1"/>
        <v>0</v>
      </c>
      <c r="I12" s="684"/>
      <c r="J12" s="727"/>
      <c r="K12" s="59" t="e">
        <f t="shared" si="2"/>
        <v>#VALUE!</v>
      </c>
      <c r="L12" s="56" t="s">
        <v>563</v>
      </c>
      <c r="M12" s="312" t="e">
        <f>IF(D12="Default",L12,K12)</f>
        <v>#VALUE!</v>
      </c>
    </row>
    <row r="13" spans="1:13" ht="16.5">
      <c r="B13" s="704"/>
      <c r="C13" s="93" t="s">
        <v>966</v>
      </c>
      <c r="D13" s="61" t="s">
        <v>964</v>
      </c>
      <c r="E13" s="684"/>
      <c r="F13" s="687"/>
      <c r="G13" s="60">
        <f>ROG_Reforming_CCS!V60</f>
        <v>0</v>
      </c>
      <c r="H13" s="58">
        <f t="shared" si="1"/>
        <v>0</v>
      </c>
      <c r="I13" s="684"/>
      <c r="J13" s="727"/>
      <c r="K13" s="59" t="e">
        <f t="shared" si="2"/>
        <v>#VALUE!</v>
      </c>
      <c r="L13" s="56" t="s">
        <v>563</v>
      </c>
      <c r="M13" s="312" t="e">
        <f t="shared" ref="M13" si="3">IF(D13="Default",L13,K13)</f>
        <v>#VALUE!</v>
      </c>
    </row>
    <row r="14" spans="1:13" ht="16.5">
      <c r="B14" s="705"/>
      <c r="C14" s="61" t="s">
        <v>967</v>
      </c>
      <c r="D14" s="61" t="s">
        <v>964</v>
      </c>
      <c r="E14" s="685"/>
      <c r="F14" s="688"/>
      <c r="G14" s="60">
        <f>ROG_Reforming_CCS!V67</f>
        <v>0</v>
      </c>
      <c r="H14" s="58">
        <f t="shared" si="1"/>
        <v>0</v>
      </c>
      <c r="I14" s="685"/>
      <c r="J14" s="728"/>
      <c r="K14" s="59" t="e">
        <f t="shared" si="2"/>
        <v>#VALUE!</v>
      </c>
      <c r="L14" s="56" t="s">
        <v>563</v>
      </c>
      <c r="M14" s="312" t="e">
        <f>IF(D14="Default",L14,K14)</f>
        <v>#VALUE!</v>
      </c>
    </row>
    <row r="15" spans="1:13" ht="29.1">
      <c r="B15" s="61" t="s">
        <v>968</v>
      </c>
      <c r="C15" s="710" t="s">
        <v>969</v>
      </c>
      <c r="D15" s="540" t="s">
        <v>970</v>
      </c>
      <c r="E15" s="28"/>
      <c r="F15" s="28"/>
      <c r="G15" s="28"/>
      <c r="H15" s="28"/>
      <c r="I15" s="28"/>
      <c r="L15" s="518" t="str">
        <f>'Typical data'!$D$389</f>
        <v>Yet to provide pressure or electricity source</v>
      </c>
      <c r="M15" s="517" t="str">
        <f>L15</f>
        <v>Yet to provide pressure or electricity source</v>
      </c>
    </row>
    <row r="16" spans="1:13" ht="29.1">
      <c r="B16" s="61" t="s">
        <v>972</v>
      </c>
      <c r="C16" s="711"/>
      <c r="D16" s="540" t="s">
        <v>973</v>
      </c>
      <c r="E16" s="28"/>
      <c r="F16" s="28"/>
      <c r="G16" s="108"/>
      <c r="H16" s="28"/>
      <c r="I16" s="28"/>
      <c r="L16" s="520" t="str">
        <f>'Typical data'!$D$407</f>
        <v>Yet to provide electricity source</v>
      </c>
      <c r="M16" s="517" t="str">
        <f>L16</f>
        <v>Yet to provide electricity source</v>
      </c>
    </row>
    <row r="17" spans="2:15">
      <c r="B17" s="96"/>
      <c r="C17" s="94"/>
      <c r="D17" s="95"/>
      <c r="E17" s="28"/>
      <c r="F17" s="28"/>
      <c r="G17" s="108"/>
      <c r="H17" s="28"/>
      <c r="I17" s="28"/>
    </row>
    <row r="18" spans="2:15" ht="18.600000000000001">
      <c r="B18" s="97" t="s">
        <v>974</v>
      </c>
      <c r="C18" s="98"/>
      <c r="D18" s="98"/>
      <c r="E18" s="99">
        <f>PRODUCT(E3:E16)</f>
        <v>0</v>
      </c>
      <c r="F18" s="100"/>
      <c r="G18" s="100"/>
      <c r="H18" s="100"/>
      <c r="I18" s="101"/>
      <c r="J18" s="114"/>
      <c r="K18" s="101"/>
      <c r="L18" s="101"/>
      <c r="M18" s="102" t="str">
        <f>IF(COUNTIF(M3:M16,"*")&gt;0,"Pathway not chosen",SUM(M3:M16))</f>
        <v>Pathway not chosen</v>
      </c>
    </row>
    <row r="19" spans="2:15" ht="18.600000000000001">
      <c r="B19" s="97" t="s">
        <v>975</v>
      </c>
      <c r="C19" s="98"/>
      <c r="D19" s="98"/>
      <c r="E19" s="101"/>
      <c r="F19" s="101"/>
      <c r="G19" s="101"/>
      <c r="H19" s="101"/>
      <c r="I19" s="101"/>
      <c r="J19" s="101"/>
      <c r="K19" s="101"/>
      <c r="L19" s="101"/>
      <c r="M19" s="103">
        <v>20</v>
      </c>
    </row>
    <row r="20" spans="2:15" ht="14.45" customHeight="1"/>
    <row r="24" spans="2:15">
      <c r="O24" s="273"/>
    </row>
  </sheetData>
  <customSheetViews>
    <customSheetView guid="{F03309BC-D3FA-4CF2-833B-D6D9A95FE1FB}" state="hidden">
      <selection activeCell="D2" sqref="D2"/>
      <pageMargins left="0" right="0" top="0" bottom="0" header="0" footer="0"/>
      <pageSetup paperSize="9" orientation="portrait" r:id="rId1"/>
    </customSheetView>
    <customSheetView guid="{EECBF9DF-6D77-4263-85DA-71E40216BADD}" state="hidden">
      <pageMargins left="0" right="0" top="0" bottom="0" header="0" footer="0"/>
      <pageSetup paperSize="9" orientation="portrait" r:id="rId2"/>
    </customSheetView>
    <customSheetView guid="{1C16EB38-F785-4168-9938-104594734038}" showGridLines="0" state="hidden">
      <pane xSplit="3" topLeftCell="D1" activePane="topRight" state="frozen"/>
      <selection pane="topRight"/>
      <pageMargins left="0" right="0" top="0" bottom="0" header="0" footer="0"/>
      <pageSetup paperSize="9" orientation="portrait" r:id="rId3"/>
    </customSheetView>
    <customSheetView guid="{0E935136-9A80-44B6-88D5-61E64D742049}" showGridLines="0" state="hidden">
      <pane xSplit="3" topLeftCell="D1" activePane="topRight" state="frozen"/>
      <selection pane="topRight"/>
      <pageMargins left="0" right="0" top="0" bottom="0" header="0" footer="0"/>
      <pageSetup paperSize="9" orientation="portrait" r:id="rId4"/>
    </customSheetView>
    <customSheetView guid="{E6EFD927-84B2-4D06-BB59-59D9DF522DA2}" state="hidden">
      <pageMargins left="0" right="0" top="0" bottom="0" header="0" footer="0"/>
      <pageSetup paperSize="9" orientation="portrait" r:id="rId5"/>
    </customSheetView>
    <customSheetView guid="{3F0A4FBA-5323-448F-A023-B3E14C54064C}" state="hidden">
      <pageMargins left="0" right="0" top="0" bottom="0" header="0" footer="0"/>
      <pageSetup paperSize="9" orientation="portrait" r:id="rId6"/>
    </customSheetView>
    <customSheetView guid="{D97B1299-69D0-4EE0-B673-CCF74742F96B}">
      <selection activeCell="D2" sqref="D2"/>
      <pageMargins left="0" right="0" top="0" bottom="0" header="0" footer="0"/>
      <pageSetup paperSize="9" orientation="portrait" r:id="rId7"/>
    </customSheetView>
    <customSheetView guid="{F468A2FD-7987-4A9D-8BAE-1AACE523607F}" state="hidden">
      <selection activeCell="D2" sqref="D2"/>
      <pageMargins left="0" right="0" top="0" bottom="0" header="0" footer="0"/>
      <pageSetup paperSize="9" orientation="portrait" r:id="rId8"/>
    </customSheetView>
    <customSheetView guid="{2D920366-22B2-4182-A65D-0EDBE614FB37}" showGridLines="0">
      <pane xSplit="3" topLeftCell="D1" activePane="topRight" state="frozen"/>
      <selection pane="topRight"/>
      <pageMargins left="0" right="0" top="0" bottom="0" header="0" footer="0"/>
      <pageSetup paperSize="9" orientation="portrait" r:id="rId9"/>
    </customSheetView>
  </customSheetViews>
  <mergeCells count="10">
    <mergeCell ref="C4:C8"/>
    <mergeCell ref="L4:L8"/>
    <mergeCell ref="M4:M8"/>
    <mergeCell ref="C15:C16"/>
    <mergeCell ref="B9:B14"/>
    <mergeCell ref="E9:E14"/>
    <mergeCell ref="F9:F14"/>
    <mergeCell ref="I9:I14"/>
    <mergeCell ref="J9:J14"/>
    <mergeCell ref="D4:D8"/>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 id="{93F4093E-7049-47C0-832E-B8BB0C644586}">
            <xm:f>AND(Path&lt;&gt;Units!$B$94,Master_Switch="On")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AFC8-53E2-4B42-A33E-59194336E804}">
  <sheetPr codeName="Sheet53">
    <tabColor rgb="FFFF66CC"/>
  </sheetPr>
  <dimension ref="A1:O24"/>
  <sheetViews>
    <sheetView showGridLines="0" zoomScaleNormal="100" workbookViewId="0">
      <pane xSplit="3" topLeftCell="D1" activePane="topRight" state="frozen"/>
      <selection pane="topRight"/>
    </sheetView>
  </sheetViews>
  <sheetFormatPr defaultColWidth="8.85546875" defaultRowHeight="14.45"/>
  <cols>
    <col min="1" max="1" width="4.5703125" customWidth="1"/>
    <col min="2" max="2" width="32.42578125" customWidth="1"/>
    <col min="3" max="3" width="30.5703125" customWidth="1"/>
    <col min="4" max="4" width="29.5703125" customWidth="1"/>
    <col min="5" max="5" width="15.85546875" customWidth="1"/>
    <col min="6" max="6" width="31.85546875" customWidth="1"/>
    <col min="7" max="7" width="28.5703125" customWidth="1"/>
    <col min="8" max="8" width="30.42578125" customWidth="1"/>
    <col min="9" max="10" width="26.85546875" customWidth="1"/>
    <col min="11" max="11" width="35.140625" customWidth="1"/>
    <col min="12" max="12" width="20.85546875" customWidth="1"/>
    <col min="13" max="13" width="29" customWidth="1"/>
    <col min="15" max="15" width="30.140625" customWidth="1"/>
    <col min="16" max="16" width="28.85546875" customWidth="1"/>
    <col min="17" max="17" width="28.5703125" customWidth="1"/>
  </cols>
  <sheetData>
    <row r="1" spans="1:13" ht="30.95">
      <c r="A1" s="80" t="str">
        <f>IF(AND(Path&lt;&gt;Units!$B$93,Master_Switch="On"),"User should not use this worksheet, but switch to a non-blank GHG summary worksheet","")</f>
        <v>User should not use this worksheet, but switch to a non-blank GHG summary worksheet</v>
      </c>
    </row>
    <row r="2" spans="1:13"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row>
    <row r="3" spans="1:13">
      <c r="B3" s="61" t="s">
        <v>989</v>
      </c>
      <c r="C3" s="680" t="s">
        <v>990</v>
      </c>
      <c r="D3" s="712" t="str">
        <f>IF(Initial_questions!E$113="", IF(Initial_questions!E$112="", "User to enter in Initial Qus", Initial_questions!E$112), Initial_questions!E$113)</f>
        <v>User to enter in Initial Qus</v>
      </c>
      <c r="E3" s="57" t="str">
        <f>NG_Collection!O20</f>
        <v>NA</v>
      </c>
      <c r="F3" s="168" t="e">
        <f>F4/E4</f>
        <v>#VALUE!</v>
      </c>
      <c r="G3" s="60">
        <f>IF(Initial_questions!$E$73=Units!$H$84, "NSTA data used, ignore row", NG_Collection!V34)</f>
        <v>0</v>
      </c>
      <c r="H3" s="58" t="e">
        <f>IF(Initial_questions!$E$73=Units!$H$84, 0, G3*F3)</f>
        <v>#VALUE!</v>
      </c>
      <c r="I3" s="57" t="str">
        <f>IF(Initial_questions!$E$73=Units!$H$84, 100%, NG_Collection!R20)</f>
        <v/>
      </c>
      <c r="J3" s="57" t="e">
        <f t="shared" ref="J3:J4" si="0">J4*I3</f>
        <v>#VALUE!</v>
      </c>
      <c r="K3" s="59" t="e">
        <f t="shared" ref="K3:K6" si="1">H3*J3</f>
        <v>#VALUE!</v>
      </c>
      <c r="L3" s="715" t="str">
        <f>IF(Path=Units!$B$93,"Use projected","Pathway not chosen")</f>
        <v>Pathway not chosen</v>
      </c>
      <c r="M3" s="717" t="e">
        <f>MAX(0,IF($D$3="Default",L3,K3+K4+K5+K6))</f>
        <v>#VALUE!</v>
      </c>
    </row>
    <row r="4" spans="1:13">
      <c r="B4" s="61" t="s">
        <v>991</v>
      </c>
      <c r="C4" s="681"/>
      <c r="D4" s="713"/>
      <c r="E4" s="57" t="str">
        <f>IF(Initial_questions!$E$73=Units!$H$84,100%, NG_Transport!O20)</f>
        <v/>
      </c>
      <c r="F4" s="168" t="e">
        <f>F5/E5</f>
        <v>#VALUE!</v>
      </c>
      <c r="G4" s="60">
        <f>IF(Initial_questions!$E$73=Units!$H$84, "NSTA data used, ignore row", NG_Transport!V33)</f>
        <v>0</v>
      </c>
      <c r="H4" s="58" t="e">
        <f>IF(Initial_questions!$E$73=Units!$H$84, 0, G4*F4)</f>
        <v>#VALUE!</v>
      </c>
      <c r="I4" s="57" t="str">
        <f>IF(Initial_questions!$E$73=Units!$H$84, 100%, NG_Transport!R20)</f>
        <v/>
      </c>
      <c r="J4" s="57" t="e">
        <f t="shared" si="0"/>
        <v>#VALUE!</v>
      </c>
      <c r="K4" s="59" t="e">
        <f t="shared" si="1"/>
        <v>#VALUE!</v>
      </c>
      <c r="L4" s="716"/>
      <c r="M4" s="718"/>
    </row>
    <row r="5" spans="1:13">
      <c r="B5" s="61" t="s">
        <v>59</v>
      </c>
      <c r="C5" s="681"/>
      <c r="D5" s="713"/>
      <c r="E5" s="57" t="str">
        <f>IF(Initial_questions!$E$73=Units!$H$84, 100%, NG_Processing!O20)</f>
        <v/>
      </c>
      <c r="F5" s="168" t="e">
        <f>F6/E6</f>
        <v>#VALUE!</v>
      </c>
      <c r="G5" s="60">
        <f>IF(Initial_questions!$E$73=Units!$H$84, "NSTA data used, ignore row", NG_Processing!V34)</f>
        <v>0</v>
      </c>
      <c r="H5" s="58" t="e">
        <f>IF(Initial_questions!$E$73=Units!$H$84, 0, G5*F5)</f>
        <v>#VALUE!</v>
      </c>
      <c r="I5" s="57" t="str">
        <f>IF(Initial_questions!$E$73=Units!$H$84, 100%, NG_Processing!R20)</f>
        <v/>
      </c>
      <c r="J5" s="57" t="e">
        <f>J6*I5</f>
        <v>#VALUE!</v>
      </c>
      <c r="K5" s="59" t="e">
        <f t="shared" si="1"/>
        <v>#VALUE!</v>
      </c>
      <c r="L5" s="716"/>
      <c r="M5" s="718"/>
    </row>
    <row r="6" spans="1:13">
      <c r="B6" s="61" t="s">
        <v>60</v>
      </c>
      <c r="C6" s="682"/>
      <c r="D6" s="714"/>
      <c r="E6" s="57" t="str">
        <f>IF(Initial_questions!$E$73=Units!$H$84, 100%, NG_Further_Transport!O20)</f>
        <v/>
      </c>
      <c r="F6" s="168" t="e">
        <f>F7/E7</f>
        <v>#VALUE!</v>
      </c>
      <c r="G6" s="60">
        <f>IF(Initial_questions!$E$73=Units!$H$84, 'Typical data'!$C$280, NG_Further_Transport!V33)</f>
        <v>0</v>
      </c>
      <c r="H6" s="58" t="e">
        <f t="shared" ref="H6" si="2">G6*F6</f>
        <v>#VALUE!</v>
      </c>
      <c r="I6" s="57" t="str">
        <f>IF(Initial_questions!$E$73=Units!$H$84, 100%, NG_Further_Transport!R20)</f>
        <v/>
      </c>
      <c r="J6" s="57" t="e">
        <f>J7*I6</f>
        <v>#VALUE!</v>
      </c>
      <c r="K6" s="59" t="e">
        <f t="shared" si="1"/>
        <v>#VALUE!</v>
      </c>
      <c r="L6" s="716"/>
      <c r="M6" s="719"/>
    </row>
    <row r="7" spans="1:13">
      <c r="B7" s="703" t="s">
        <v>993</v>
      </c>
      <c r="C7" s="61" t="s">
        <v>129</v>
      </c>
      <c r="D7" s="311" t="str">
        <f>IF(Initial_questions!E$114="", IF(Initial_questions!E$112="", "User to enter in Initial Qus", Initial_questions!E$112), Initial_questions!E$114)</f>
        <v>User to enter in Initial Qus</v>
      </c>
      <c r="E7" s="683" t="str">
        <f>NG_Splitting_SolidCarbon!O9</f>
        <v/>
      </c>
      <c r="F7" s="686">
        <v>1</v>
      </c>
      <c r="G7" s="60">
        <f>NG_Splitting_SolidCarbon!V20</f>
        <v>0</v>
      </c>
      <c r="H7" s="58">
        <f>G7*$F$7</f>
        <v>0</v>
      </c>
      <c r="I7" s="683" t="str">
        <f>NG_Splitting_SolidCarbon!R9</f>
        <v/>
      </c>
      <c r="J7" s="683" t="str">
        <f>I7</f>
        <v/>
      </c>
      <c r="K7" s="59" t="e">
        <f>H7*$J$7</f>
        <v>#VALUE!</v>
      </c>
      <c r="L7" s="168" t="str">
        <f>IF(Path=Units!$B$93,"Use projected","Pathway not chosen")</f>
        <v>Pathway not chosen</v>
      </c>
      <c r="M7" s="312" t="e">
        <f>IF(D7="Default",L7,K7)</f>
        <v>#VALUE!</v>
      </c>
    </row>
    <row r="8" spans="1:13">
      <c r="B8" s="704"/>
      <c r="C8" s="61" t="s">
        <v>130</v>
      </c>
      <c r="D8" s="311" t="str">
        <f>IF(Initial_questions!E$115="", IF(Initial_questions!E$112="", "User to enter in Initial Qus", Initial_questions!E$112), Initial_questions!E$115)</f>
        <v>User to enter in Initial Qus</v>
      </c>
      <c r="E8" s="684"/>
      <c r="F8" s="687"/>
      <c r="G8" s="60">
        <f>NG_Splitting_SolidCarbon!V32</f>
        <v>0</v>
      </c>
      <c r="H8" s="58">
        <f t="shared" ref="H8:H14" si="3">G8*$F$7</f>
        <v>0</v>
      </c>
      <c r="I8" s="684"/>
      <c r="J8" s="684"/>
      <c r="K8" s="59" t="e">
        <f t="shared" ref="K8:K14" si="4">H8*$J$7</f>
        <v>#VALUE!</v>
      </c>
      <c r="L8" s="168" t="str">
        <f>IF(Path=Units!$B$93,"Use projected","Pathway not chosen")</f>
        <v>Pathway not chosen</v>
      </c>
      <c r="M8" s="312" t="e">
        <f>IF(D8="Default",L8,K8)</f>
        <v>#VALUE!</v>
      </c>
    </row>
    <row r="9" spans="1:13" ht="16.5">
      <c r="B9" s="704"/>
      <c r="C9" s="61" t="s">
        <v>963</v>
      </c>
      <c r="D9" s="61" t="s">
        <v>964</v>
      </c>
      <c r="E9" s="684"/>
      <c r="F9" s="687"/>
      <c r="G9" s="60">
        <f>NG_Splitting_SolidCarbon!V44</f>
        <v>0</v>
      </c>
      <c r="H9" s="58">
        <f t="shared" si="3"/>
        <v>0</v>
      </c>
      <c r="I9" s="684"/>
      <c r="J9" s="684"/>
      <c r="K9" s="59" t="e">
        <f t="shared" si="4"/>
        <v>#VALUE!</v>
      </c>
      <c r="L9" s="56" t="s">
        <v>563</v>
      </c>
      <c r="M9" s="312" t="e">
        <f>IF(D9="Default",L9,K9)</f>
        <v>#VALUE!</v>
      </c>
    </row>
    <row r="10" spans="1:13" ht="16.5">
      <c r="B10" s="704"/>
      <c r="C10" s="93" t="s">
        <v>965</v>
      </c>
      <c r="D10" s="61" t="s">
        <v>964</v>
      </c>
      <c r="E10" s="684"/>
      <c r="F10" s="687"/>
      <c r="G10" s="60">
        <f>NG_Splitting_SolidCarbon!V51</f>
        <v>0</v>
      </c>
      <c r="H10" s="58">
        <f t="shared" si="3"/>
        <v>0</v>
      </c>
      <c r="I10" s="684"/>
      <c r="J10" s="684"/>
      <c r="K10" s="59" t="e">
        <f t="shared" si="4"/>
        <v>#VALUE!</v>
      </c>
      <c r="L10" s="56" t="s">
        <v>563</v>
      </c>
      <c r="M10" s="312" t="e">
        <f>IF(D10="Default",L10,K10)</f>
        <v>#VALUE!</v>
      </c>
    </row>
    <row r="11" spans="1:13">
      <c r="B11" s="704"/>
      <c r="C11" s="93" t="s">
        <v>994</v>
      </c>
      <c r="D11" s="61" t="s">
        <v>964</v>
      </c>
      <c r="E11" s="684"/>
      <c r="F11" s="687"/>
      <c r="G11" s="60">
        <f>NG_Splitting_SolidCarbon!V59</f>
        <v>0</v>
      </c>
      <c r="H11" s="58">
        <f t="shared" si="3"/>
        <v>0</v>
      </c>
      <c r="I11" s="684"/>
      <c r="J11" s="684"/>
      <c r="K11" s="59" t="e">
        <f t="shared" si="4"/>
        <v>#VALUE!</v>
      </c>
      <c r="L11" s="56" t="s">
        <v>563</v>
      </c>
      <c r="M11" s="312" t="e">
        <f>IF(D11="Default",L11,K11)</f>
        <v>#VALUE!</v>
      </c>
    </row>
    <row r="12" spans="1:13" ht="16.5">
      <c r="B12" s="704"/>
      <c r="C12" s="93" t="s">
        <v>966</v>
      </c>
      <c r="D12" s="61" t="s">
        <v>964</v>
      </c>
      <c r="E12" s="684"/>
      <c r="F12" s="687"/>
      <c r="G12" s="60">
        <f>NG_Splitting_SolidCarbon!V69</f>
        <v>0</v>
      </c>
      <c r="H12" s="58">
        <f t="shared" si="3"/>
        <v>0</v>
      </c>
      <c r="I12" s="684"/>
      <c r="J12" s="684"/>
      <c r="K12" s="59" t="e">
        <f t="shared" si="4"/>
        <v>#VALUE!</v>
      </c>
      <c r="L12" s="56" t="s">
        <v>563</v>
      </c>
      <c r="M12" s="312" t="e">
        <f t="shared" ref="M12:M13" si="5">IF(D12="Default",L12,K12)</f>
        <v>#VALUE!</v>
      </c>
    </row>
    <row r="13" spans="1:13">
      <c r="B13" s="704"/>
      <c r="C13" s="93" t="s">
        <v>995</v>
      </c>
      <c r="D13" s="61" t="s">
        <v>964</v>
      </c>
      <c r="E13" s="684"/>
      <c r="F13" s="687"/>
      <c r="G13" s="60">
        <f>NG_Splitting_SolidCarbon!V76</f>
        <v>0</v>
      </c>
      <c r="H13" s="58">
        <f t="shared" si="3"/>
        <v>0</v>
      </c>
      <c r="I13" s="684"/>
      <c r="J13" s="684"/>
      <c r="K13" s="59" t="e">
        <f t="shared" si="4"/>
        <v>#VALUE!</v>
      </c>
      <c r="L13" s="56" t="s">
        <v>563</v>
      </c>
      <c r="M13" s="312" t="e">
        <f t="shared" si="5"/>
        <v>#VALUE!</v>
      </c>
    </row>
    <row r="14" spans="1:13" ht="16.5">
      <c r="B14" s="705"/>
      <c r="C14" s="61" t="s">
        <v>967</v>
      </c>
      <c r="D14" s="61" t="s">
        <v>964</v>
      </c>
      <c r="E14" s="685"/>
      <c r="F14" s="688"/>
      <c r="G14" s="60">
        <f>NG_Splitting_SolidCarbon!V83</f>
        <v>0</v>
      </c>
      <c r="H14" s="58">
        <f t="shared" si="3"/>
        <v>0</v>
      </c>
      <c r="I14" s="685"/>
      <c r="J14" s="685"/>
      <c r="K14" s="59" t="e">
        <f t="shared" si="4"/>
        <v>#VALUE!</v>
      </c>
      <c r="L14" s="56" t="s">
        <v>563</v>
      </c>
      <c r="M14" s="312" t="e">
        <f>IF(D14="Default",L14,K14)</f>
        <v>#VALUE!</v>
      </c>
    </row>
    <row r="15" spans="1:13" ht="29.1">
      <c r="B15" s="61" t="s">
        <v>968</v>
      </c>
      <c r="C15" s="710" t="s">
        <v>969</v>
      </c>
      <c r="D15" s="540" t="s">
        <v>970</v>
      </c>
      <c r="E15" s="28"/>
      <c r="F15" s="28"/>
      <c r="G15" s="28"/>
      <c r="H15" s="28"/>
      <c r="I15" s="28"/>
      <c r="L15" s="518" t="str">
        <f>'Typical data'!$D$389</f>
        <v>Yet to provide pressure or electricity source</v>
      </c>
      <c r="M15" s="517" t="str">
        <f>L15</f>
        <v>Yet to provide pressure or electricity source</v>
      </c>
    </row>
    <row r="16" spans="1:13" ht="29.1">
      <c r="B16" s="61" t="s">
        <v>972</v>
      </c>
      <c r="C16" s="711"/>
      <c r="D16" s="540" t="s">
        <v>973</v>
      </c>
      <c r="E16" s="28"/>
      <c r="F16" s="28"/>
      <c r="G16" s="108"/>
      <c r="H16" s="28"/>
      <c r="I16" s="28"/>
      <c r="L16" s="520" t="str">
        <f>'Typical data'!$D$407</f>
        <v>Yet to provide electricity source</v>
      </c>
      <c r="M16" s="517" t="str">
        <f>L16</f>
        <v>Yet to provide electricity source</v>
      </c>
    </row>
    <row r="17" spans="2:15">
      <c r="B17" s="96"/>
      <c r="C17" s="94"/>
      <c r="D17" s="95"/>
      <c r="E17" s="28"/>
      <c r="F17" s="28"/>
      <c r="G17" s="108"/>
      <c r="H17" s="28"/>
      <c r="I17" s="28"/>
    </row>
    <row r="18" spans="2:15" ht="18.600000000000001">
      <c r="B18" s="97" t="s">
        <v>974</v>
      </c>
      <c r="C18" s="98"/>
      <c r="D18" s="98"/>
      <c r="E18" s="99">
        <f>PRODUCT(E3:E16)</f>
        <v>0</v>
      </c>
      <c r="F18" s="100"/>
      <c r="G18" s="100"/>
      <c r="H18" s="100"/>
      <c r="I18" s="101"/>
      <c r="J18" s="114"/>
      <c r="K18" s="101"/>
      <c r="L18" s="101"/>
      <c r="M18" s="102" t="str">
        <f>IF(COUNTIF(M3:M16,"*")&gt;0,"Pathway not chosen",SUM(M3:M16))</f>
        <v>Pathway not chosen</v>
      </c>
    </row>
    <row r="19" spans="2:15" ht="18.600000000000001" customHeight="1">
      <c r="B19" s="97" t="s">
        <v>975</v>
      </c>
      <c r="C19" s="98"/>
      <c r="D19" s="98"/>
      <c r="E19" s="101"/>
      <c r="F19" s="101"/>
      <c r="G19" s="101"/>
      <c r="H19" s="101"/>
      <c r="I19" s="101"/>
      <c r="J19" s="101"/>
      <c r="K19" s="101"/>
      <c r="L19" s="101"/>
      <c r="M19" s="103">
        <v>20</v>
      </c>
    </row>
    <row r="20" spans="2:15" ht="14.45" customHeight="1"/>
    <row r="22" spans="2:15">
      <c r="D22" s="544"/>
    </row>
    <row r="24" spans="2:15">
      <c r="O24" s="273"/>
    </row>
  </sheetData>
  <customSheetViews>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1"/>
    </customSheetView>
    <customSheetView guid="{EECBF9DF-6D77-4263-85DA-71E40216BADD}" showGridLines="0" state="hidden">
      <pane xSplit="3" topLeftCell="D1" activePane="topRight" state="frozen"/>
      <selection pane="topRight" activeCell="D2" sqref="D2"/>
      <pageMargins left="0" right="0" top="0" bottom="0" header="0" footer="0"/>
      <pageSetup paperSize="9" orientation="portrait" r:id="rId2"/>
    </customSheetView>
    <customSheetView guid="{1C16EB38-F785-4168-9938-104594734038}" showGridLines="0" state="hidden">
      <pane xSplit="3" topLeftCell="D1" activePane="topRight" state="frozen"/>
      <selection pane="topRight" activeCell="D2" sqref="D2"/>
      <pageMargins left="0" right="0" top="0" bottom="0" header="0" footer="0"/>
      <pageSetup paperSize="9" orientation="portrait" r:id="rId3"/>
    </customSheetView>
    <customSheetView guid="{0E935136-9A80-44B6-88D5-61E64D742049}" showGridLines="0" state="hidden">
      <pane xSplit="3" topLeftCell="D1" activePane="topRight" state="frozen"/>
      <selection pane="topRight" activeCell="D2" sqref="D2"/>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activeCell="D2" sqref="D2"/>
      <pageMargins left="0" right="0" top="0" bottom="0" header="0" footer="0"/>
      <pageSetup paperSize="9" orientation="portrait" r:id="rId5"/>
    </customSheetView>
    <customSheetView guid="{3F0A4FBA-5323-448F-A023-B3E14C54064C}" showGridLines="0">
      <pane xSplit="3" topLeftCell="D1" activePane="topRight" state="frozen"/>
      <selection pane="topRight" activeCell="D2" sqref="D2"/>
      <pageMargins left="0" right="0" top="0" bottom="0" header="0" footer="0"/>
      <pageSetup paperSize="9" orientation="portrait" r:id="rId6"/>
    </customSheetView>
    <customSheetView guid="{D97B1299-69D0-4EE0-B673-CCF74742F96B}" state="hidden">
      <selection activeCell="D2" sqref="D2"/>
      <pageMargins left="0" right="0" top="0" bottom="0" header="0" footer="0"/>
      <pageSetup paperSize="9" orientation="portrait" r:id="rId7"/>
    </customSheetView>
    <customSheetView guid="{F468A2FD-7987-4A9D-8BAE-1AACE523607F}" showGridLines="0" state="hidden">
      <pane xSplit="3" topLeftCell="D1" activePane="topRight" state="frozen"/>
      <selection pane="topRight" activeCell="D2" sqref="D2"/>
      <pageMargins left="0" right="0" top="0" bottom="0" header="0" footer="0"/>
      <pageSetup paperSize="9" orientation="portrait" r:id="rId8"/>
    </customSheetView>
    <customSheetView guid="{2D920366-22B2-4182-A65D-0EDBE614FB37}" showGridLines="0">
      <pane xSplit="3" topLeftCell="D1" activePane="topRight" state="frozen"/>
      <selection pane="topRight"/>
      <pageMargins left="0" right="0" top="0" bottom="0" header="0" footer="0"/>
      <pageSetup paperSize="9" orientation="portrait" r:id="rId9"/>
    </customSheetView>
  </customSheetViews>
  <mergeCells count="10">
    <mergeCell ref="C15:C16"/>
    <mergeCell ref="B7:B14"/>
    <mergeCell ref="E7:E14"/>
    <mergeCell ref="F7:F14"/>
    <mergeCell ref="I7:I14"/>
    <mergeCell ref="J7:J14"/>
    <mergeCell ref="C3:C6"/>
    <mergeCell ref="D3:D6"/>
    <mergeCell ref="L3:L6"/>
    <mergeCell ref="M3:M6"/>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2" id="{7C82E43E-43C5-4E73-B7A6-328D612133FA}">
            <xm:f>AND(Path&lt;&gt;Units!$B$93,Master_Switch="On")</xm:f>
            <x14:dxf>
              <font>
                <color theme="0"/>
              </font>
              <fill>
                <patternFill>
                  <bgColor theme="0"/>
                </patternFill>
              </fill>
              <border>
                <left/>
                <right/>
                <top/>
                <bottom/>
              </border>
            </x14:dxf>
          </x14:cfRule>
          <xm:sqref>A2:XFD102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B1C88-8481-419E-8B3F-6D49730AFC19}">
  <sheetPr codeName="Sheet12">
    <tabColor rgb="FFFF66CC"/>
  </sheetPr>
  <dimension ref="A1:Q24"/>
  <sheetViews>
    <sheetView showGridLines="0" zoomScaleNormal="100" workbookViewId="0">
      <pane xSplit="3" topLeftCell="D1" activePane="topRight" state="frozen"/>
      <selection pane="topRight"/>
    </sheetView>
  </sheetViews>
  <sheetFormatPr defaultColWidth="8.85546875" defaultRowHeight="14.45"/>
  <cols>
    <col min="1" max="1" width="4.5703125" customWidth="1"/>
    <col min="2" max="2" width="32.42578125" customWidth="1"/>
    <col min="3" max="3" width="30.5703125" customWidth="1"/>
    <col min="4" max="4" width="29.5703125" customWidth="1"/>
    <col min="5" max="5" width="15.85546875" customWidth="1"/>
    <col min="6" max="6" width="31.85546875" customWidth="1"/>
    <col min="7" max="7" width="28.5703125" customWidth="1"/>
    <col min="8" max="8" width="30.42578125" customWidth="1"/>
    <col min="9" max="10" width="26.85546875" customWidth="1"/>
    <col min="11" max="11" width="35.140625" customWidth="1"/>
    <col min="12" max="12" width="29.5703125" customWidth="1"/>
    <col min="13" max="13" width="29" customWidth="1"/>
    <col min="15" max="15" width="30.140625" customWidth="1"/>
    <col min="16" max="16" width="28.85546875" customWidth="1"/>
    <col min="17" max="17" width="28.5703125" customWidth="1"/>
  </cols>
  <sheetData>
    <row r="1" spans="1:17" ht="30.95">
      <c r="A1" s="80" t="str">
        <f>IF(AND(Path&lt;&gt;Units!$B$95,Path&lt;&gt;Units!$B$96, Path&lt;&gt;Units!$B$97,Path&lt;&gt;Units!$B$98,Master_Switch="On"),"User should not use this worksheet, but switch to a non-blank GHG summary worksheet","")</f>
        <v>User should not use this worksheet, but switch to a non-blank GHG summary worksheet</v>
      </c>
    </row>
    <row r="2" spans="1:17"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c r="O2" s="173" t="s">
        <v>996</v>
      </c>
      <c r="P2" s="173" t="s">
        <v>997</v>
      </c>
      <c r="Q2" s="173" t="s">
        <v>998</v>
      </c>
    </row>
    <row r="3" spans="1:17">
      <c r="B3" s="61" t="s">
        <v>73</v>
      </c>
      <c r="C3" s="703" t="s">
        <v>990</v>
      </c>
      <c r="D3" s="93" t="s">
        <v>999</v>
      </c>
      <c r="E3" s="57" t="str">
        <f>IF(AND(Initial_questions!$E$68&lt;&gt;Units!$T$84, Initial_questions!$E$68&lt;&gt;Units!$T$85, Initial_questions!$E$68&lt;&gt;Units!$T$86, Initial_questions!$E$68&lt;&gt;Units!$T$87),"NA", Biogas_Feedstock_Cultivation!O20)</f>
        <v>NA</v>
      </c>
      <c r="F3" s="168" t="str">
        <f>IF(AND(Initial_questions!$E$68&lt;&gt;Units!$T$84, Initial_questions!$E$68&lt;&gt;Units!$T$85, Initial_questions!$E$68&lt;&gt;Units!$T$86, Initial_questions!$E$68&lt;&gt;Units!$T$87),"NA",F4/E4)</f>
        <v>NA</v>
      </c>
      <c r="G3" s="167" t="str">
        <f>IF(AND(Initial_questions!$E$68&lt;&gt;Units!$T$84, Initial_questions!$E$68&lt;&gt;Units!$T$85, Initial_questions!$E$68&lt;&gt;Units!$T$86, Initial_questions!$E$68&lt;&gt;Units!$T$87),"Row not used",Biogas_Feedstock_Cultivation!V38)</f>
        <v>Row not used</v>
      </c>
      <c r="H3" s="58" t="str">
        <f>IF(AND(Initial_questions!$E$68&lt;&gt;Units!$T$84, Initial_questions!$E$68&lt;&gt;Units!$T$85, Initial_questions!$E$68&lt;&gt;Units!$T$86, Initial_questions!$E$68&lt;&gt;Units!$T$87),"NA",G3*F3)</f>
        <v>NA</v>
      </c>
      <c r="I3" s="315" t="str">
        <f>IF(AND(Initial_questions!$E$68&lt;&gt;Units!$T$84, Initial_questions!$E$68&lt;&gt;Units!$T$85, Initial_questions!$E$68&lt;&gt;Units!$T$86, Initial_questions!$E$68&lt;&gt;Units!$T$87),"NA",Biogas_Feedstock_Cultivation!R20)</f>
        <v>NA</v>
      </c>
      <c r="J3" s="57" t="str">
        <f>IF(AND(Initial_questions!$E$68&lt;&gt;Units!$T$84, Initial_questions!$E$68&lt;&gt;Units!$T$85, Initial_questions!$E$68&lt;&gt;Units!$T$86, Initial_questions!$E$68&lt;&gt;Units!$T$87),"NA",J4*I3)</f>
        <v>NA</v>
      </c>
      <c r="K3" s="59">
        <f>IF(AND(Initial_questions!$E$68&lt;&gt;Units!$T$84, Initial_questions!$E$68&lt;&gt;Units!$T$85, Initial_questions!$E$68&lt;&gt;Units!$T$86, Initial_questions!$E$68&lt;&gt;Units!$T$87),0,H3*J3)</f>
        <v>0</v>
      </c>
      <c r="L3" s="56" t="s">
        <v>563</v>
      </c>
      <c r="M3" s="717" t="e">
        <f>MAX(0,IF($D$5="Default",L5,SUM(K3:K8)))</f>
        <v>#VALUE!</v>
      </c>
      <c r="O3" s="163" t="s">
        <v>563</v>
      </c>
      <c r="P3" s="163" t="s">
        <v>563</v>
      </c>
      <c r="Q3" s="707" t="str">
        <f>IF(Path=Units!$B$95,'Default data'!G$19, IF(Path=Units!$B$97,'Default data'!G$20, IF(OR(Path=Units!$B$96, Path=Units!$B$98),"Pathway not available from LCA tool","Pathway not chosen")))</f>
        <v>Pathway not chosen</v>
      </c>
    </row>
    <row r="4" spans="1:17">
      <c r="B4" s="61" t="s">
        <v>74</v>
      </c>
      <c r="C4" s="704"/>
      <c r="D4" s="93" t="s">
        <v>999</v>
      </c>
      <c r="E4" s="57" t="str">
        <f>IF(AND(Initial_questions!$E$68&lt;&gt;Units!$T$84, Initial_questions!$E$68&lt;&gt;Units!$T$85, Initial_questions!$E$68&lt;&gt;Units!$T$86, Initial_questions!$E$68&lt;&gt;Units!$T$87),"NA",Biogas_Feedstock_Harvesting!O20)</f>
        <v>NA</v>
      </c>
      <c r="F4" s="168" t="e">
        <f>F5/E5</f>
        <v>#VALUE!</v>
      </c>
      <c r="G4" s="167">
        <f>Biogas_Feedstock_Harvesting!V33</f>
        <v>0</v>
      </c>
      <c r="H4" s="58" t="e">
        <f>G4*F4</f>
        <v>#VALUE!</v>
      </c>
      <c r="I4" s="315" t="str">
        <f>IF(AND(Initial_questions!$E$68&lt;&gt;Units!$T$84, Initial_questions!$E$68&lt;&gt;Units!$T$85, Initial_questions!$E$68&lt;&gt;Units!$T$86, Initial_questions!$E$68&lt;&gt;Units!$T$87),"NA",Biogas_Feedstock_Harvesting!R20)</f>
        <v>NA</v>
      </c>
      <c r="J4" s="57" t="str">
        <f>IF(AND(Initial_questions!$E$68&lt;&gt;Units!$T$84, Initial_questions!$E$68&lt;&gt;Units!$T$85, Initial_questions!$E$68&lt;&gt;Units!$T$86, Initial_questions!$E$68&lt;&gt;Units!$T$87),"NA",J5*I4)</f>
        <v>NA</v>
      </c>
      <c r="K4" s="59">
        <f>IF(AND(Initial_questions!$E$68&lt;&gt;Units!$T$84, Initial_questions!$E$68&lt;&gt;Units!$T$85, Initial_questions!$E$68&lt;&gt;Units!$T$86, Initial_questions!$E$68&lt;&gt;Units!$T$87),0,H4*J4)</f>
        <v>0</v>
      </c>
      <c r="L4" s="56" t="s">
        <v>563</v>
      </c>
      <c r="M4" s="718"/>
      <c r="O4" s="163" t="s">
        <v>563</v>
      </c>
      <c r="P4" s="163" t="s">
        <v>563</v>
      </c>
      <c r="Q4" s="708"/>
    </row>
    <row r="5" spans="1:17">
      <c r="B5" s="61" t="s">
        <v>75</v>
      </c>
      <c r="C5" s="704"/>
      <c r="D5" s="712" t="str" cm="1">
        <f t="array" ref="D5">IF(OR(Path=Units!B95:B96),"Must use projected",IF(Initial_questions!E$113="", IF(Initial_questions!E$112="", "User to enter in Initial Qus", Initial_questions!E$112), Initial_questions!E$113))</f>
        <v>User to enter in Initial Qus</v>
      </c>
      <c r="E5" s="57" t="str">
        <f>Biogas_Feedstock_Collection!O20</f>
        <v/>
      </c>
      <c r="F5" s="168" t="e">
        <f>F6/E6</f>
        <v>#VALUE!</v>
      </c>
      <c r="G5" s="167">
        <f>Biogas_Feedstock_Collection!V33</f>
        <v>0</v>
      </c>
      <c r="H5" s="58" t="e">
        <f>G5*F5</f>
        <v>#VALUE!</v>
      </c>
      <c r="I5" s="315" t="str">
        <f>Biogas_Feedstock_Collection!R20</f>
        <v/>
      </c>
      <c r="J5" s="57" t="e">
        <f>J6*I5</f>
        <v>#VALUE!</v>
      </c>
      <c r="K5" s="59" t="e">
        <f>H5*J5</f>
        <v>#VALUE!</v>
      </c>
      <c r="L5" s="729" t="str" cm="1">
        <f t="array" ref="L5">IF(Initial_questions!$E$111="No", "Feedstock does not match default", IF(OR(Path=Units!$B$95:$B$96),"SMR pathways cannot use default data for Feedstock Supply, select projected data in Initial Questions", IF(OR(Path=Units!$B$97:$B$98),'Default data'!$D$20,"Pathway not chosen")))</f>
        <v>Pathway not chosen</v>
      </c>
      <c r="M5" s="718"/>
      <c r="O5" s="707" t="str">
        <f>IF(Path=Units!$B$95,'Default data'!E$19, IF(Path=Units!$B$97,'Default data'!E$20, IF(OR(Path=Units!$B$96, Path=Units!$B$98),"Pathway not available from LCA tool","Pathway not chosen")))</f>
        <v>Pathway not chosen</v>
      </c>
      <c r="P5" s="707" t="str">
        <f>IF(Path=Units!$B$95,'Default data'!F$19, IF(Path=Units!$B$97,'Default data'!F$20, IF(OR(Path=Units!$B$96, Path=Units!$B$98),"Pathway not available from LCA tool","Pathway not chosen")))</f>
        <v>Pathway not chosen</v>
      </c>
      <c r="Q5" s="708"/>
    </row>
    <row r="6" spans="1:17">
      <c r="B6" s="61" t="s">
        <v>76</v>
      </c>
      <c r="C6" s="704"/>
      <c r="D6" s="713"/>
      <c r="E6" s="57" t="str">
        <f>Biogas_Feedstock_Transport!O20</f>
        <v/>
      </c>
      <c r="F6" s="168" t="e">
        <f t="shared" ref="F6:F7" si="0">F7/E7</f>
        <v>#VALUE!</v>
      </c>
      <c r="G6" s="167">
        <f>Biogas_Feedstock_Transport!V33</f>
        <v>0</v>
      </c>
      <c r="H6" s="58" t="e">
        <f t="shared" ref="H6:H7" si="1">G6*F6</f>
        <v>#VALUE!</v>
      </c>
      <c r="I6" s="315" t="str">
        <f>Biogas_Feedstock_Transport!R20</f>
        <v/>
      </c>
      <c r="J6" s="57" t="e">
        <f t="shared" ref="J6:J8" si="2">J7*I6</f>
        <v>#VALUE!</v>
      </c>
      <c r="K6" s="59" t="e">
        <f t="shared" ref="K6:K8" si="3">H6*J6</f>
        <v>#VALUE!</v>
      </c>
      <c r="L6" s="730"/>
      <c r="M6" s="718"/>
      <c r="O6" s="708"/>
      <c r="P6" s="708"/>
      <c r="Q6" s="708"/>
    </row>
    <row r="7" spans="1:17">
      <c r="B7" s="61" t="s">
        <v>1000</v>
      </c>
      <c r="C7" s="704"/>
      <c r="D7" s="713"/>
      <c r="E7" s="57" t="str">
        <f>'Biogas+Biomethane_Upgrading'!O20</f>
        <v/>
      </c>
      <c r="F7" s="168" t="e">
        <f t="shared" si="0"/>
        <v>#VALUE!</v>
      </c>
      <c r="G7" s="167">
        <f>'Biogas+Biomethane_Upgrading'!V36</f>
        <v>0</v>
      </c>
      <c r="H7" s="58" t="e">
        <f t="shared" si="1"/>
        <v>#VALUE!</v>
      </c>
      <c r="I7" s="315" t="str">
        <f>'Biogas+Biomethane_Upgrading'!R20</f>
        <v/>
      </c>
      <c r="J7" s="57" t="e">
        <f t="shared" si="2"/>
        <v>#VALUE!</v>
      </c>
      <c r="K7" s="59" t="e">
        <f t="shared" si="3"/>
        <v>#VALUE!</v>
      </c>
      <c r="L7" s="730"/>
      <c r="M7" s="718"/>
      <c r="O7" s="708"/>
      <c r="P7" s="708"/>
      <c r="Q7" s="708"/>
    </row>
    <row r="8" spans="1:17">
      <c r="B8" s="61" t="s">
        <v>78</v>
      </c>
      <c r="C8" s="705"/>
      <c r="D8" s="714"/>
      <c r="E8" s="57" t="str">
        <f>Biomethane_Transport!O20</f>
        <v/>
      </c>
      <c r="F8" s="168" t="e">
        <f>F9/E9</f>
        <v>#VALUE!</v>
      </c>
      <c r="G8" s="167">
        <f>Biomethane_Transport!V33</f>
        <v>0</v>
      </c>
      <c r="H8" s="58" t="e">
        <f>G8*F8</f>
        <v>#VALUE!</v>
      </c>
      <c r="I8" s="315" t="str">
        <f>Biomethane_Transport!R20</f>
        <v/>
      </c>
      <c r="J8" s="57" t="e">
        <f t="shared" si="2"/>
        <v>#VALUE!</v>
      </c>
      <c r="K8" s="59" t="e">
        <f t="shared" si="3"/>
        <v>#VALUE!</v>
      </c>
      <c r="L8" s="731"/>
      <c r="M8" s="719"/>
      <c r="O8" s="709"/>
      <c r="P8" s="709"/>
      <c r="Q8" s="709"/>
    </row>
    <row r="9" spans="1:17">
      <c r="B9" s="680" t="s">
        <v>1001</v>
      </c>
      <c r="C9" s="61" t="s">
        <v>129</v>
      </c>
      <c r="D9" s="311" t="str">
        <f>IF(Initial_questions!E$114="", IF(Initial_questions!E$112="", "User to enter in Initial Qus", Initial_questions!E$112), Initial_questions!E$114)</f>
        <v>User to enter in Initial Qus</v>
      </c>
      <c r="E9" s="683" t="str">
        <f>Biomethane_Reforming_CCS!O9</f>
        <v/>
      </c>
      <c r="F9" s="686">
        <v>1</v>
      </c>
      <c r="G9" s="60">
        <f>Biomethane_Reforming_CCS!V20</f>
        <v>0</v>
      </c>
      <c r="H9" s="58">
        <f>G9*$F$9</f>
        <v>0</v>
      </c>
      <c r="I9" s="726" t="str">
        <f>Biomethane_Reforming_CCS!R9</f>
        <v/>
      </c>
      <c r="J9" s="683" t="str">
        <f>I9</f>
        <v/>
      </c>
      <c r="K9" s="59" t="e">
        <f>H9*$J$9</f>
        <v>#VALUE!</v>
      </c>
      <c r="L9" s="168" t="str" cm="1">
        <f t="array" ref="L9">IF(OR(Path=Units!$B$95:$B$96),'Default data'!$D$35, IF(OR(Path=Units!$B$97:$B$98),'Default data'!$D$36,"Pathway not chosen"))</f>
        <v>Pathway not chosen</v>
      </c>
      <c r="M9" s="312" t="e">
        <f>IF(D9="Default",L9,K9)</f>
        <v>#VALUE!</v>
      </c>
      <c r="O9" s="163" t="str">
        <f>IF(Path=Units!$B$95,'Default data'!E$35, IF(Path=Units!$B$97,'Default data'!E$36, IF(OR(Path=Units!$B$96, Path=Units!$B$98),"Pathway not available from LCA tool","Pathway not chosen")))</f>
        <v>Pathway not chosen</v>
      </c>
      <c r="P9" s="163" t="str">
        <f>IF(Path=Units!$B$95,'Default data'!F$35, IF(Path=Units!$B$97,'Default data'!F$36, IF(OR(Path=Units!$B$96, Path=Units!$B$98),"Pathway not available from LCA tool","Pathway not chosen")))</f>
        <v>Pathway not chosen</v>
      </c>
      <c r="Q9" s="163" t="str">
        <f>IF(Path=Units!$B$95,'Default data'!G$35, IF(Path=Units!$B$97,'Default data'!G$36, IF(OR(Path=Units!$B$96, Path=Units!$B$98),"Pathway not available from LCA tool","Pathway not chosen")))</f>
        <v>Pathway not chosen</v>
      </c>
    </row>
    <row r="10" spans="1:17">
      <c r="B10" s="681"/>
      <c r="C10" s="61" t="s">
        <v>130</v>
      </c>
      <c r="D10" s="311" t="str">
        <f>IF(Initial_questions!E$115="", IF(Initial_questions!E$112="", "User to enter in Initial Qus", Initial_questions!E$112), Initial_questions!E$115)</f>
        <v>User to enter in Initial Qus</v>
      </c>
      <c r="E10" s="684"/>
      <c r="F10" s="687"/>
      <c r="G10" s="60">
        <f>Biomethane_Reforming_CCS!V33</f>
        <v>0</v>
      </c>
      <c r="H10" s="58">
        <f t="shared" ref="H10:H14" si="4">G10*$F$9</f>
        <v>0</v>
      </c>
      <c r="I10" s="727"/>
      <c r="J10" s="684"/>
      <c r="K10" s="59" t="e">
        <f t="shared" ref="K10:K14" si="5">H10*$J$9</f>
        <v>#VALUE!</v>
      </c>
      <c r="L10" s="168" t="str" cm="1">
        <f t="array" ref="L10">IF(OR(Path=Units!$B$95:$B$96),'Default data'!$D$51, IF(OR(Path=Units!$B$97:$B$98),'Default data'!$D$52,"Pathway not chosen"))</f>
        <v>Pathway not chosen</v>
      </c>
      <c r="M10" s="312" t="e">
        <f>IF(D10="Default",L10,K10)</f>
        <v>#VALUE!</v>
      </c>
      <c r="O10" s="163" t="str">
        <f>IF(Path=Units!$B$95,'Default data'!E$51, IF(Path=Units!$B$97,'Default data'!E$52, IF(OR(Path=Units!$B$96, Path=Units!$B$98),"Pathway not available from LCA tool","Pathway not chosen")))</f>
        <v>Pathway not chosen</v>
      </c>
      <c r="P10" s="163" t="str">
        <f>IF(Path=Units!$B$95,'Default data'!F$51, IF(Path=Units!$B$97,'Default data'!F$52, IF(OR(Path=Units!$B$96, Path=Units!$B$98),"Pathway not available from LCA tool","Pathway not chosen")))</f>
        <v>Pathway not chosen</v>
      </c>
      <c r="Q10" s="163" t="str">
        <f>IF(Path=Units!$B$95,'Default data'!G$51, IF(Path=Units!$B$97,'Default data'!G$52, IF(OR(Path=Units!$B$96, Path=Units!$B$98),"Pathway not available from LCA tool","Pathway not chosen")))</f>
        <v>Pathway not chosen</v>
      </c>
    </row>
    <row r="11" spans="1:17" ht="16.5">
      <c r="B11" s="681"/>
      <c r="C11" s="263" t="s">
        <v>1002</v>
      </c>
      <c r="D11" s="61" t="s">
        <v>964</v>
      </c>
      <c r="E11" s="684"/>
      <c r="F11" s="687"/>
      <c r="G11" s="60">
        <f>Biomethane_Reforming_CCS!V45</f>
        <v>0</v>
      </c>
      <c r="H11" s="58">
        <f t="shared" si="4"/>
        <v>0</v>
      </c>
      <c r="I11" s="727"/>
      <c r="J11" s="684"/>
      <c r="K11" s="59" t="e">
        <f t="shared" si="5"/>
        <v>#VALUE!</v>
      </c>
      <c r="L11" s="56" t="s">
        <v>563</v>
      </c>
      <c r="M11" s="312" t="e">
        <f>IF(D11="Default",L11,K11)</f>
        <v>#VALUE!</v>
      </c>
      <c r="O11" s="163" t="str">
        <f>IF(Path=Units!$B$95,'Default data'!E$67, IF(Path=Units!$B$97,'Default data'!E$68, IF(OR(Path=Units!$B$96, Path=Units!$B$98),"Pathway not available from LCA tool","Pathway not chosen")))</f>
        <v>Pathway not chosen</v>
      </c>
      <c r="P11" s="163" t="str">
        <f>IF(Path=Units!$B$95,'Default data'!F$67, IF(Path=Units!$B$97,'Default data'!F$68, IF(OR(Path=Units!$B$96, Path=Units!$B$98),"Pathway not available from LCA tool","Pathway not chosen")))</f>
        <v>Pathway not chosen</v>
      </c>
      <c r="Q11" s="163" t="str">
        <f>IF(Path=Units!$B$95,'Default data'!G$67, IF(Path=Units!$B$97,'Default data'!G$68, IF(OR(Path=Units!$B$96, Path=Units!$B$98),"Pathway not available from LCA tool","Pathway not chosen")))</f>
        <v>Pathway not chosen</v>
      </c>
    </row>
    <row r="12" spans="1:17" ht="16.5">
      <c r="B12" s="681"/>
      <c r="C12" s="93" t="s">
        <v>965</v>
      </c>
      <c r="D12" s="61" t="s">
        <v>964</v>
      </c>
      <c r="E12" s="684"/>
      <c r="F12" s="687"/>
      <c r="G12" s="60">
        <f>Biomethane_Reforming_CCS!V52</f>
        <v>0</v>
      </c>
      <c r="H12" s="58">
        <f t="shared" si="4"/>
        <v>0</v>
      </c>
      <c r="I12" s="727"/>
      <c r="J12" s="684"/>
      <c r="K12" s="59" t="e">
        <f t="shared" si="5"/>
        <v>#VALUE!</v>
      </c>
      <c r="L12" s="56" t="s">
        <v>563</v>
      </c>
      <c r="M12" s="312" t="e">
        <f>IF(D12="Default",L12,K12)</f>
        <v>#VALUE!</v>
      </c>
      <c r="O12" s="163" t="str">
        <f>IF(Path=Units!$B$95,'Default data'!E$83, IF(Path=Units!$B$97,'Default data'!E$84, IF(OR(Path=Units!$B$96, Path=Units!$B$98),"Pathway not available from LCA tool","Pathway not chosen")))</f>
        <v>Pathway not chosen</v>
      </c>
      <c r="P12" s="163" t="str">
        <f>IF(Path=Units!$B$95,'Default data'!F$83, IF(Path=Units!$B$97,'Default data'!F$84, IF(OR(Path=Units!$B$96, Path=Units!$B$98),"Pathway not available from LCA tool","Pathway not chosen")))</f>
        <v>Pathway not chosen</v>
      </c>
      <c r="Q12" s="163" t="str">
        <f>IF(Path=Units!$B$95,'Default data'!G$83, IF(Path=Units!$B$97,'Default data'!G$84, IF(OR(Path=Units!$B$96, Path=Units!$B$98),"Pathway not available from LCA tool","Pathway not chosen")))</f>
        <v>Pathway not chosen</v>
      </c>
    </row>
    <row r="13" spans="1:17" ht="16.5">
      <c r="B13" s="681"/>
      <c r="C13" s="93" t="s">
        <v>966</v>
      </c>
      <c r="D13" s="61" t="s">
        <v>964</v>
      </c>
      <c r="E13" s="684"/>
      <c r="F13" s="687"/>
      <c r="G13" s="60">
        <f>Biomethane_Reforming_CCS!V60</f>
        <v>0</v>
      </c>
      <c r="H13" s="58">
        <f t="shared" si="4"/>
        <v>0</v>
      </c>
      <c r="I13" s="727"/>
      <c r="J13" s="684"/>
      <c r="K13" s="59" t="e">
        <f t="shared" si="5"/>
        <v>#VALUE!</v>
      </c>
      <c r="L13" s="56" t="s">
        <v>563</v>
      </c>
      <c r="M13" s="312" t="e">
        <f t="shared" ref="M13" si="6">IF(D13="Default",L13,K13)</f>
        <v>#VALUE!</v>
      </c>
      <c r="O13" s="163" t="str">
        <f>IF(Path=Units!$B$95,'Default data'!E$99, IF(Path=Units!$B$97,'Default data'!E$100, IF(OR(Path=Units!$B$96, Path=Units!$B$98),"Pathway not available from LCA tool","Pathway not chosen")))</f>
        <v>Pathway not chosen</v>
      </c>
      <c r="P13" s="163" t="str">
        <f>IF(Path=Units!$B$95,'Default data'!F$99, IF(Path=Units!$B$97,'Default data'!F$100, IF(OR(Path=Units!$B$96, Path=Units!$B$98),"Pathway not available from LCA tool","Pathway not chosen")))</f>
        <v>Pathway not chosen</v>
      </c>
      <c r="Q13" s="163" t="str">
        <f>IF(Path=Units!$B$95,'Default data'!G$99, IF(Path=Units!$B$97,'Default data'!G$100, IF(OR(Path=Units!$B$96, Path=Units!$B$98),"Pathway not available from LCA tool","Pathway not chosen")))</f>
        <v>Pathway not chosen</v>
      </c>
    </row>
    <row r="14" spans="1:17" ht="16.5">
      <c r="B14" s="682"/>
      <c r="C14" s="61" t="s">
        <v>967</v>
      </c>
      <c r="D14" s="61" t="s">
        <v>964</v>
      </c>
      <c r="E14" s="685"/>
      <c r="F14" s="688"/>
      <c r="G14" s="60">
        <f>Biomethane_Reforming_CCS!V67</f>
        <v>0</v>
      </c>
      <c r="H14" s="58">
        <f t="shared" si="4"/>
        <v>0</v>
      </c>
      <c r="I14" s="728"/>
      <c r="J14" s="685"/>
      <c r="K14" s="59" t="e">
        <f t="shared" si="5"/>
        <v>#VALUE!</v>
      </c>
      <c r="L14" s="56" t="s">
        <v>563</v>
      </c>
      <c r="M14" s="312" t="e">
        <f>IF(D14="Default",L14,K14)</f>
        <v>#VALUE!</v>
      </c>
      <c r="O14" s="163" t="str">
        <f>IF(Path=Units!$B$95,'Default data'!E$115, IF(Path=Units!$B$97,'Default data'!E$116, IF(OR(Path=Units!$B$96, Path=Units!$B$98),"Pathway not available from LCA tool","Pathway not chosen")))</f>
        <v>Pathway not chosen</v>
      </c>
      <c r="P14" s="163" t="str">
        <f>IF(Path=Units!$B$95,'Default data'!F$115, IF(Path=Units!$B$97,'Default data'!F$116, IF(OR(Path=Units!$B$96, Path=Units!$B$98),"Pathway not available from LCA tool","Pathway not chosen")))</f>
        <v>Pathway not chosen</v>
      </c>
      <c r="Q14" s="163" t="str">
        <f>IF(Path=Units!$B$95,'Default data'!G$115, IF(Path=Units!$B$97,'Default data'!G$116, IF(OR(Path=Units!$B$96, Path=Units!$B$98),"Pathway not available from LCA tool","Pathway not chosen")))</f>
        <v>Pathway not chosen</v>
      </c>
    </row>
    <row r="15" spans="1:17" ht="29.1">
      <c r="B15" s="61" t="s">
        <v>968</v>
      </c>
      <c r="C15" s="692" t="s">
        <v>969</v>
      </c>
      <c r="D15" s="540" t="s">
        <v>970</v>
      </c>
      <c r="E15" s="28"/>
      <c r="F15" s="28"/>
      <c r="G15" s="28"/>
      <c r="H15" s="28"/>
      <c r="I15" s="28"/>
      <c r="J15" s="28"/>
      <c r="K15" s="28"/>
      <c r="L15" s="518" t="str">
        <f>'Typical data'!$D$389</f>
        <v>Yet to provide pressure or electricity source</v>
      </c>
      <c r="M15" s="517" t="str">
        <f>L15</f>
        <v>Yet to provide pressure or electricity source</v>
      </c>
      <c r="O15" s="163" t="s">
        <v>971</v>
      </c>
      <c r="P15" s="163" t="s">
        <v>971</v>
      </c>
      <c r="Q15" s="163" t="s">
        <v>971</v>
      </c>
    </row>
    <row r="16" spans="1:17" ht="29.1">
      <c r="B16" s="61" t="s">
        <v>972</v>
      </c>
      <c r="C16" s="693"/>
      <c r="D16" s="540" t="s">
        <v>973</v>
      </c>
      <c r="E16" s="28"/>
      <c r="F16" s="28"/>
      <c r="G16" s="28"/>
      <c r="H16" s="28"/>
      <c r="I16" s="28"/>
      <c r="J16" s="28"/>
      <c r="K16" s="28"/>
      <c r="L16" s="519" t="str">
        <f>'Typical data'!$D$407</f>
        <v>Yet to provide electricity source</v>
      </c>
      <c r="M16" s="517" t="str">
        <f>L16</f>
        <v>Yet to provide electricity source</v>
      </c>
      <c r="O16" s="163" t="s">
        <v>971</v>
      </c>
      <c r="P16" s="163" t="s">
        <v>971</v>
      </c>
      <c r="Q16" s="163" t="s">
        <v>971</v>
      </c>
    </row>
    <row r="17" spans="2:17">
      <c r="O17" s="53"/>
    </row>
    <row r="18" spans="2:17" ht="18.600000000000001">
      <c r="B18" s="97" t="s">
        <v>974</v>
      </c>
      <c r="C18" s="62"/>
      <c r="D18" s="62"/>
      <c r="E18" s="99">
        <f>PRODUCT(E3:E16)</f>
        <v>0</v>
      </c>
      <c r="F18" s="28"/>
      <c r="G18" s="28"/>
      <c r="H18" s="28"/>
      <c r="M18" s="102" t="str">
        <f>IF(COUNTIF(M3:M16,"*")&gt;0,"Pathway not chosen",SUM(M3:M16))</f>
        <v>Pathway not chosen</v>
      </c>
      <c r="N18" s="53"/>
      <c r="O18" s="163" t="str">
        <f>IF(Path=Units!$B$95,SUM(O3:O16), IF(Path=Units!$B$97,SUM(O3:O16), IF(OR(Path=Units!$B$96, Path=Units!$B$98),"Pathway not available from LCA tool","Pathway not chosen")))</f>
        <v>Pathway not chosen</v>
      </c>
      <c r="P18" s="163" t="str">
        <f>IF(Path=Units!$B$95,SUM(P3:P16), IF(Path=Units!$B$97,SUM(P3:P16), IF(OR(Path=Units!$B$96, Path=Units!$B$98),"Pathway not available from LCA tool","Pathway not chosen")))</f>
        <v>Pathway not chosen</v>
      </c>
      <c r="Q18" s="163" t="str">
        <f>IF(Path=Units!$B$95,SUM(Q3:Q16), IF(Path=Units!$B$97,SUM(Q3:Q16), IF(OR(Path=Units!$B$96, Path=Units!$B$98),"Pathway not available from LCA tool","Pathway not chosen")))</f>
        <v>Pathway not chosen</v>
      </c>
    </row>
    <row r="19" spans="2:17" ht="18.600000000000001">
      <c r="B19" s="97" t="s">
        <v>975</v>
      </c>
      <c r="C19" s="62"/>
      <c r="D19" s="62"/>
      <c r="M19" s="103">
        <v>20</v>
      </c>
      <c r="O19" s="706" t="s">
        <v>1003</v>
      </c>
      <c r="P19" s="706"/>
      <c r="Q19" s="706"/>
    </row>
    <row r="20" spans="2:17">
      <c r="O20" s="706"/>
      <c r="P20" s="706"/>
      <c r="Q20" s="706"/>
    </row>
    <row r="21" spans="2:17">
      <c r="O21" s="706"/>
      <c r="P21" s="706"/>
      <c r="Q21" s="706"/>
    </row>
    <row r="24" spans="2:17">
      <c r="O24" s="273"/>
    </row>
  </sheetData>
  <customSheetViews>
    <customSheetView guid="{F03309BC-D3FA-4CF2-833B-D6D9A95FE1FB}" showGridLines="0" state="hidden">
      <pane xSplit="3" topLeftCell="D1" activePane="topRight" state="frozen"/>
      <selection pane="topRight" activeCell="D2" sqref="D2"/>
      <pageMargins left="0" right="0" top="0" bottom="0" header="0" footer="0"/>
      <pageSetup paperSize="9" orientation="portrait" verticalDpi="0" r:id="rId1"/>
    </customSheetView>
    <customSheetView guid="{EECBF9DF-6D77-4263-85DA-71E40216BADD}" showGridLines="0" state="hidden">
      <pane xSplit="3" topLeftCell="D1" activePane="topRight" state="frozen"/>
      <selection pane="topRight"/>
      <pageMargins left="0" right="0" top="0" bottom="0" header="0" footer="0"/>
      <pageSetup paperSize="9" orientation="portrait" verticalDpi="0" r:id="rId2"/>
    </customSheetView>
    <customSheetView guid="{1C16EB38-F785-4168-9938-104594734038}" showGridLines="0">
      <pane xSplit="3" topLeftCell="D1" activePane="topRight" state="frozen"/>
      <selection pane="topRight"/>
      <pageMargins left="0" right="0" top="0" bottom="0" header="0" footer="0"/>
      <pageSetup paperSize="9" orientation="portrait" verticalDpi="0" r:id="rId3"/>
    </customSheetView>
    <customSheetView guid="{0E935136-9A80-44B6-88D5-61E64D742049}" showGridLines="0" state="hidden">
      <pane xSplit="3" topLeftCell="D1" activePane="topRight" state="frozen"/>
      <selection pane="topRight"/>
      <pageMargins left="0" right="0" top="0" bottom="0" header="0" footer="0"/>
      <pageSetup paperSize="9" orientation="portrait" verticalDpi="0"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verticalDpi="0" r:id="rId5"/>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verticalDpi="0" r:id="rId6"/>
    </customSheetView>
    <customSheetView guid="{D97B1299-69D0-4EE0-B673-CCF74742F96B}" state="hidden">
      <selection activeCell="D2" sqref="D2"/>
      <pageMargins left="0" right="0" top="0" bottom="0" header="0" footer="0"/>
      <pageSetup paperSize="9" orientation="portrait" verticalDpi="0" r:id="rId7"/>
    </customSheetView>
    <customSheetView guid="{F468A2FD-7987-4A9D-8BAE-1AACE523607F}" showGridLines="0" state="hidden">
      <pane xSplit="3" topLeftCell="D1" activePane="topRight" state="frozen"/>
      <selection pane="topRight"/>
      <pageMargins left="0" right="0" top="0" bottom="0" header="0" footer="0"/>
      <pageSetup paperSize="9" orientation="portrait" verticalDpi="0" r:id="rId8"/>
    </customSheetView>
    <customSheetView guid="{2D920366-22B2-4182-A65D-0EDBE614FB37}" showGridLines="0">
      <pane xSplit="3" topLeftCell="D1" activePane="topRight" state="frozen"/>
      <selection pane="topRight"/>
      <pageMargins left="0" right="0" top="0" bottom="0" header="0" footer="0"/>
      <pageSetup paperSize="9" orientation="portrait" verticalDpi="0" r:id="rId9"/>
    </customSheetView>
  </customSheetViews>
  <mergeCells count="14">
    <mergeCell ref="O19:Q21"/>
    <mergeCell ref="B9:B14"/>
    <mergeCell ref="E9:E14"/>
    <mergeCell ref="O5:O8"/>
    <mergeCell ref="P5:P8"/>
    <mergeCell ref="L5:L8"/>
    <mergeCell ref="F9:F14"/>
    <mergeCell ref="I9:I14"/>
    <mergeCell ref="J9:J14"/>
    <mergeCell ref="C15:C16"/>
    <mergeCell ref="C3:C8"/>
    <mergeCell ref="D5:D8"/>
    <mergeCell ref="Q3:Q8"/>
    <mergeCell ref="M3:M8"/>
  </mergeCells>
  <pageMargins left="0" right="0" top="0" bottom="0" header="0" footer="0"/>
  <pageSetup paperSize="9" orientation="portrait" verticalDpi="0"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23" id="{A7F86969-0A1D-447E-92FB-59393754EF8C}">
            <xm:f>AND(Path&lt;&gt;Units!$B$95,Path&lt;&gt;Units!$B$96, Path&lt;&gt;Units!$B$97,Path&lt;&gt;Units!$B$98,Master_Switch="On")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A73D8-1109-4307-8A36-86143D41711A}">
  <sheetPr codeName="Sheet13">
    <tabColor rgb="FFFF66CC"/>
  </sheetPr>
  <dimension ref="A1:Q23"/>
  <sheetViews>
    <sheetView showGridLines="0" zoomScaleNormal="100" workbookViewId="0">
      <pane xSplit="3" topLeftCell="D1" activePane="topRight" state="frozen"/>
      <selection pane="topRight"/>
    </sheetView>
  </sheetViews>
  <sheetFormatPr defaultColWidth="8.85546875" defaultRowHeight="14.45"/>
  <cols>
    <col min="1" max="1" width="4.5703125" customWidth="1"/>
    <col min="2" max="2" width="32.42578125" customWidth="1"/>
    <col min="3" max="3" width="30.5703125" customWidth="1"/>
    <col min="4" max="4" width="29.28515625" customWidth="1"/>
    <col min="5" max="5" width="15.85546875" customWidth="1"/>
    <col min="6" max="6" width="31.85546875" customWidth="1"/>
    <col min="7" max="7" width="28.5703125" customWidth="1"/>
    <col min="8" max="8" width="30.42578125" customWidth="1"/>
    <col min="9" max="10" width="26.85546875" customWidth="1"/>
    <col min="11" max="11" width="35.140625" customWidth="1"/>
    <col min="12" max="12" width="20.85546875" customWidth="1"/>
    <col min="13" max="13" width="29" customWidth="1"/>
    <col min="15" max="15" width="30.140625" customWidth="1"/>
    <col min="16" max="16" width="28.85546875" customWidth="1"/>
    <col min="17" max="17" width="28.5703125" customWidth="1"/>
  </cols>
  <sheetData>
    <row r="1" spans="1:17" ht="30.95">
      <c r="A1" s="80" t="str">
        <f>IF(AND(Path&lt;&gt;Units!$B$99,Path&lt;&gt;Units!$B$100,Master_Switch="On"),"User should not use this worksheet, but switch to a non-blank GHG summary worksheet","")</f>
        <v>User should not use this worksheet, but switch to a non-blank GHG summary worksheet</v>
      </c>
    </row>
    <row r="2" spans="1:17"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c r="O2" s="173" t="s">
        <v>1004</v>
      </c>
      <c r="P2" s="173" t="s">
        <v>1005</v>
      </c>
      <c r="Q2" s="173" t="s">
        <v>1006</v>
      </c>
    </row>
    <row r="3" spans="1:17">
      <c r="B3" s="61" t="s">
        <v>81</v>
      </c>
      <c r="C3" s="703" t="s">
        <v>990</v>
      </c>
      <c r="D3" s="93" t="s">
        <v>999</v>
      </c>
      <c r="E3" s="57" t="str">
        <f>IF(AND(Initial_questions!$E$68&lt;&gt;Units!$T$84, Initial_questions!$E$68&lt;&gt;Units!$T$85, Initial_questions!$E$68&lt;&gt;Units!$T$86, Initial_questions!$E$68&lt;&gt;Units!$T$87), "NA", Biomass_Cultivation!O20)</f>
        <v>NA</v>
      </c>
      <c r="F3" s="168" t="str">
        <f>IF(AND(Initial_questions!$E$68&lt;&gt;Units!$T$84, Initial_questions!$E$68&lt;&gt;Units!$T$85, Initial_questions!$E$68&lt;&gt;Units!$T$86, Initial_questions!$E$68&lt;&gt;Units!$T$87),"NA",F4/E4)</f>
        <v>NA</v>
      </c>
      <c r="G3" s="60">
        <f>Biomass_Cultivation!V39</f>
        <v>0</v>
      </c>
      <c r="H3" s="58" t="str">
        <f>IF(AND(Initial_questions!$E$68&lt;&gt;Units!$T$84, Initial_questions!$E$68&lt;&gt;Units!$T$85, Initial_questions!$E$68&lt;&gt;Units!$T$86, Initial_questions!$E$68&lt;&gt;Units!$T$87),"NA",G3*F3)</f>
        <v>NA</v>
      </c>
      <c r="I3" s="313" t="str">
        <f>IF(AND(Initial_questions!$E$68&lt;&gt;Units!$T$84, Initial_questions!$E$68&lt;&gt;Units!$T$85, Initial_questions!$E$68&lt;&gt;Units!$T$86, Initial_questions!$E$68&lt;&gt;Units!$T$87),"NA",Biomass_Cultivation!R20)</f>
        <v>NA</v>
      </c>
      <c r="J3" s="57" t="str">
        <f>IF(AND(Initial_questions!$E$68&lt;&gt;Units!$T$84, Initial_questions!$E$68&lt;&gt;Units!$T$85, Initial_questions!$E$68&lt;&gt;Units!$T$86, Initial_questions!$E$68&lt;&gt;Units!$T$87),"NA",J4*I3)</f>
        <v>NA</v>
      </c>
      <c r="K3" s="59">
        <f>IF(AND(Initial_questions!$E$68&lt;&gt;Units!$T$84, Initial_questions!$E$68&lt;&gt;Units!$T$85, Initial_questions!$E$68&lt;&gt;Units!$T$86, Initial_questions!$E$68&lt;&gt;Units!$T$87),0,H3*J3)</f>
        <v>0</v>
      </c>
      <c r="L3" s="56" t="s">
        <v>563</v>
      </c>
      <c r="M3" s="717" t="e">
        <f>MAX(0,IF($D$5="Default",L5,SUM(K3:K8)))</f>
        <v>#VALUE!</v>
      </c>
      <c r="O3" s="163" t="s">
        <v>563</v>
      </c>
      <c r="P3" s="163" t="s">
        <v>563</v>
      </c>
      <c r="Q3" s="163" t="s">
        <v>563</v>
      </c>
    </row>
    <row r="4" spans="1:17">
      <c r="B4" s="61" t="s">
        <v>82</v>
      </c>
      <c r="C4" s="704"/>
      <c r="D4" s="93" t="s">
        <v>999</v>
      </c>
      <c r="E4" s="57" t="str">
        <f>IF(AND(Initial_questions!$E$68&lt;&gt;Units!$T$84, Initial_questions!$E$68&lt;&gt;Units!$T$85, Initial_questions!$E$68&lt;&gt;Units!$T$86, Initial_questions!$E$68&lt;&gt;Units!$T$87),"NA",Biomass_Harvesting!O20)</f>
        <v>NA</v>
      </c>
      <c r="F4" s="168" t="e">
        <f>F5/E5</f>
        <v>#VALUE!</v>
      </c>
      <c r="G4" s="60">
        <f>Biomass_Harvesting!V33</f>
        <v>0</v>
      </c>
      <c r="H4" s="58" t="e">
        <f t="shared" ref="H4" si="0">G4*F4</f>
        <v>#VALUE!</v>
      </c>
      <c r="I4" s="313" t="str">
        <f>IF(AND(Initial_questions!$E$68&lt;&gt;Units!$T$84, Initial_questions!$E$68&lt;&gt;Units!$T$85, Initial_questions!$E$68&lt;&gt;Units!$T$86, Initial_questions!$E$68&lt;&gt;Units!$T$87),"NA",Biomass_Harvesting!R20)</f>
        <v>NA</v>
      </c>
      <c r="J4" s="57" t="str">
        <f>IF(AND(Initial_questions!$E$68&lt;&gt;Units!$T$84, Initial_questions!$E$68&lt;&gt;Units!$T$85, Initial_questions!$E$68&lt;&gt;Units!$T$86, Initial_questions!$E$68&lt;&gt;Units!$T$87),"NA",J5*I4)</f>
        <v>NA</v>
      </c>
      <c r="K4" s="59">
        <f>IF(AND(Initial_questions!$E$68&lt;&gt;Units!$T$84, Initial_questions!$E$68&lt;&gt;Units!$T$85, Initial_questions!$E$68&lt;&gt;Units!$T$86, Initial_questions!$E$68&lt;&gt;Units!$T$87),0,H4*J4)</f>
        <v>0</v>
      </c>
      <c r="L4" s="56" t="s">
        <v>563</v>
      </c>
      <c r="M4" s="718"/>
      <c r="O4" s="163" t="s">
        <v>563</v>
      </c>
      <c r="P4" s="163" t="s">
        <v>563</v>
      </c>
      <c r="Q4" s="163" t="s">
        <v>563</v>
      </c>
    </row>
    <row r="5" spans="1:17">
      <c r="B5" s="61" t="s">
        <v>83</v>
      </c>
      <c r="C5" s="704"/>
      <c r="D5" s="712" t="str">
        <f>IF(Initial_questions!E$113="", IF(Initial_questions!E$112="", "User to enter in Initial Qus", Initial_questions!E$112), Initial_questions!E$113)</f>
        <v>User to enter in Initial Qus</v>
      </c>
      <c r="E5" s="57" t="str">
        <f>Biomass_Collection!O20</f>
        <v/>
      </c>
      <c r="F5" s="168" t="e">
        <f>F6/E6</f>
        <v>#VALUE!</v>
      </c>
      <c r="G5" s="60">
        <f>Biomass_Collection!V33</f>
        <v>0</v>
      </c>
      <c r="H5" s="58" t="e">
        <f>G5*F5</f>
        <v>#VALUE!</v>
      </c>
      <c r="I5" s="313" t="str">
        <f>Biomass_Collection!R20</f>
        <v/>
      </c>
      <c r="J5" s="57" t="e">
        <f>J6*I5</f>
        <v>#VALUE!</v>
      </c>
      <c r="K5" s="59" t="e">
        <f>H5*J5</f>
        <v>#VALUE!</v>
      </c>
      <c r="L5" s="686" t="str" cm="1">
        <f t="array" ref="L5">IF(Initial_questions!$E$111="No", "Feedstock does not match default", IF(OR(Path=Units!$B$99:$B$100),'Default data'!$D$21,"Pathway not chosen"))</f>
        <v>Pathway not chosen</v>
      </c>
      <c r="M5" s="718"/>
      <c r="O5" s="707" t="str">
        <f>IF(Path=Units!$B$99,'Default data'!E$21,IF(Path=Units!$B$100, "Pathway not available from LCA tool", "Pathway not chosen"))</f>
        <v>Pathway not chosen</v>
      </c>
      <c r="P5" s="707" t="str">
        <f>IF(Path=Units!$B$99,'Default data'!F$21,IF(Path=Units!$B$100, "Pathway not available from LCA tool", "Pathway not chosen"))</f>
        <v>Pathway not chosen</v>
      </c>
      <c r="Q5" s="707" t="str">
        <f>IF(Path=Units!$B$99,'Default data'!G$21,IF(Path=Units!$B$100, "Pathway not available from LCA tool", "Pathway not chosen"))</f>
        <v>Pathway not chosen</v>
      </c>
    </row>
    <row r="6" spans="1:17">
      <c r="B6" s="61" t="s">
        <v>84</v>
      </c>
      <c r="C6" s="704"/>
      <c r="D6" s="713"/>
      <c r="E6" s="57" t="str">
        <f>Biomass_Transport!O20</f>
        <v/>
      </c>
      <c r="F6" s="168" t="e">
        <f>F7/E7</f>
        <v>#VALUE!</v>
      </c>
      <c r="G6" s="60">
        <f>Biomass_Transport!V33</f>
        <v>0</v>
      </c>
      <c r="H6" s="58" t="e">
        <f t="shared" ref="H6:H8" si="1">G6*F6</f>
        <v>#VALUE!</v>
      </c>
      <c r="I6" s="313" t="str">
        <f>Biomass_Transport!R20</f>
        <v/>
      </c>
      <c r="J6" s="57" t="e">
        <f t="shared" ref="J6" si="2">J7*I6</f>
        <v>#VALUE!</v>
      </c>
      <c r="K6" s="59" t="e">
        <f t="shared" ref="K6:K8" si="3">H6*J6</f>
        <v>#VALUE!</v>
      </c>
      <c r="L6" s="687"/>
      <c r="M6" s="718"/>
      <c r="O6" s="708"/>
      <c r="P6" s="708"/>
      <c r="Q6" s="708"/>
    </row>
    <row r="7" spans="1:17">
      <c r="B7" s="61" t="s">
        <v>85</v>
      </c>
      <c r="C7" s="704"/>
      <c r="D7" s="713"/>
      <c r="E7" s="57" t="str">
        <f>'Biomass_Pre-Processing'!O20</f>
        <v/>
      </c>
      <c r="F7" s="168" t="e">
        <f>F8/E8</f>
        <v>#VALUE!</v>
      </c>
      <c r="G7" s="60">
        <f>'Biomass_Pre-Processing'!V36</f>
        <v>0</v>
      </c>
      <c r="H7" s="58" t="e">
        <f t="shared" si="1"/>
        <v>#VALUE!</v>
      </c>
      <c r="I7" s="313" t="str">
        <f>'Biomass_Pre-Processing'!R20</f>
        <v/>
      </c>
      <c r="J7" s="57" t="e">
        <f>J8*I7</f>
        <v>#VALUE!</v>
      </c>
      <c r="K7" s="59" t="e">
        <f t="shared" si="3"/>
        <v>#VALUE!</v>
      </c>
      <c r="L7" s="687"/>
      <c r="M7" s="718"/>
      <c r="O7" s="708"/>
      <c r="P7" s="708"/>
      <c r="Q7" s="708"/>
    </row>
    <row r="8" spans="1:17">
      <c r="B8" s="61" t="s">
        <v>86</v>
      </c>
      <c r="C8" s="705"/>
      <c r="D8" s="714"/>
      <c r="E8" s="57" t="str">
        <f>Biomass_Further_Transport!O20</f>
        <v/>
      </c>
      <c r="F8" s="168" t="e">
        <f>F9/E9</f>
        <v>#VALUE!</v>
      </c>
      <c r="G8" s="60">
        <f>Biomass_Further_Transport!V33</f>
        <v>0</v>
      </c>
      <c r="H8" s="58" t="e">
        <f t="shared" si="1"/>
        <v>#VALUE!</v>
      </c>
      <c r="I8" s="313" t="str">
        <f>Biomass_Further_Transport!R20</f>
        <v/>
      </c>
      <c r="J8" s="57" t="e">
        <f>J9*I8</f>
        <v>#VALUE!</v>
      </c>
      <c r="K8" s="59" t="e">
        <f t="shared" si="3"/>
        <v>#VALUE!</v>
      </c>
      <c r="L8" s="688"/>
      <c r="M8" s="719"/>
      <c r="O8" s="709"/>
      <c r="P8" s="709"/>
      <c r="Q8" s="709"/>
    </row>
    <row r="9" spans="1:17">
      <c r="B9" s="703" t="s">
        <v>1007</v>
      </c>
      <c r="C9" s="61" t="s">
        <v>129</v>
      </c>
      <c r="D9" s="311" t="str">
        <f>IF(Initial_questions!E$114="", IF(Initial_questions!E$112="", "User to enter in Initial Qus", Initial_questions!E$112), Initial_questions!E$114)</f>
        <v>User to enter in Initial Qus</v>
      </c>
      <c r="E9" s="683" t="str">
        <f>Biomass_Gasification_CCS!O9</f>
        <v/>
      </c>
      <c r="F9" s="686">
        <v>1</v>
      </c>
      <c r="G9" s="60">
        <f>Biomass_Gasification_CCS!V20</f>
        <v>0</v>
      </c>
      <c r="H9" s="58">
        <f>G9*$F$9</f>
        <v>0</v>
      </c>
      <c r="I9" s="726" t="str">
        <f>Biomass_Gasification_CCS!R9</f>
        <v/>
      </c>
      <c r="J9" s="683" t="str">
        <f>I9</f>
        <v/>
      </c>
      <c r="K9" s="59" t="e">
        <f>H9*$J$9</f>
        <v>#VALUE!</v>
      </c>
      <c r="L9" s="168" t="str" cm="1">
        <f t="array" ref="L9">IF(Initial_questions!$E$111="No", "Feedstock does not match default", IF(OR(Path=Units!$B$99:$B$100),'Default data'!$D$37,"Pathway not chosen"))</f>
        <v>Pathway not chosen</v>
      </c>
      <c r="M9" s="312" t="e">
        <f>IF(D9="Default",L9,K9)</f>
        <v>#VALUE!</v>
      </c>
      <c r="O9" s="163" t="str">
        <f>IF(Path=Units!$B$99,'Default data'!E$37,IF(Path=Units!$B$100, "Pathway not available from LCA tool","Pathway not chosen"))</f>
        <v>Pathway not chosen</v>
      </c>
      <c r="P9" s="163" t="str">
        <f>IF(Path=Units!$B$99,'Default data'!F$37,IF(Path=Units!$B$100, "Pathway not available from LCA tool","Pathway not chosen"))</f>
        <v>Pathway not chosen</v>
      </c>
      <c r="Q9" s="163" t="str">
        <f>IF(Path=Units!$B$99,'Default data'!G$37,IF(Path=Units!$B$100, "Pathway not available from LCA tool","Pathway not chosen"))</f>
        <v>Pathway not chosen</v>
      </c>
    </row>
    <row r="10" spans="1:17">
      <c r="B10" s="704"/>
      <c r="C10" s="61" t="s">
        <v>130</v>
      </c>
      <c r="D10" s="311" t="str">
        <f>IF(Initial_questions!E$115="", IF(Initial_questions!E$112="", "User to enter in Initial Qus", Initial_questions!E$112), Initial_questions!E$115)</f>
        <v>User to enter in Initial Qus</v>
      </c>
      <c r="E10" s="684"/>
      <c r="F10" s="687"/>
      <c r="G10" s="60">
        <f>Biomass_Gasification_CCS!V33</f>
        <v>0</v>
      </c>
      <c r="H10" s="58">
        <f t="shared" ref="H10:H14" si="4">G10*$F$9</f>
        <v>0</v>
      </c>
      <c r="I10" s="727"/>
      <c r="J10" s="684"/>
      <c r="K10" s="59" t="e">
        <f t="shared" ref="K10:K14" si="5">H10*$J$9</f>
        <v>#VALUE!</v>
      </c>
      <c r="L10" s="168" t="str" cm="1">
        <f t="array" ref="L10">IF(Initial_questions!$E$111="No", "Feedstock does not match default", IF(OR(Path=Units!$B$99:$B$100),'Default data'!$D$53,"Pathway not chosen"))</f>
        <v>Pathway not chosen</v>
      </c>
      <c r="M10" s="312" t="e">
        <f>IF(D10="Default",L10,K10)</f>
        <v>#VALUE!</v>
      </c>
      <c r="O10" s="163" t="str">
        <f>IF(Path=Units!$B$99,'Default data'!E$53,IF(Path=Units!$B$100, "Pathway not available from LCA tool","Pathway not chosen"))</f>
        <v>Pathway not chosen</v>
      </c>
      <c r="P10" s="163" t="str">
        <f>IF(Path=Units!$B$99,'Default data'!F$53,IF(Path=Units!$B$100, "Pathway not available from LCA tool","Pathway not chosen"))</f>
        <v>Pathway not chosen</v>
      </c>
      <c r="Q10" s="163" t="str">
        <f>IF(Path=Units!$B$99,'Default data'!G$53,IF(Path=Units!$B$100, "Pathway not available from LCA tool","Pathway not chosen"))</f>
        <v>Pathway not chosen</v>
      </c>
    </row>
    <row r="11" spans="1:17" ht="16.5">
      <c r="B11" s="704"/>
      <c r="C11" s="61" t="s">
        <v>963</v>
      </c>
      <c r="D11" s="61" t="s">
        <v>964</v>
      </c>
      <c r="E11" s="684"/>
      <c r="F11" s="687"/>
      <c r="G11" s="60">
        <f>Biomass_Gasification_CCS!V45</f>
        <v>0</v>
      </c>
      <c r="H11" s="58">
        <f>G11*$F$9</f>
        <v>0</v>
      </c>
      <c r="I11" s="727"/>
      <c r="J11" s="684"/>
      <c r="K11" s="59" t="e">
        <f t="shared" si="5"/>
        <v>#VALUE!</v>
      </c>
      <c r="L11" s="56" t="s">
        <v>563</v>
      </c>
      <c r="M11" s="312" t="e">
        <f>IF(D11="Default",L11,K11)</f>
        <v>#VALUE!</v>
      </c>
      <c r="O11" s="163" t="str">
        <f>IF(Path=Units!$B$99,'Default data'!E$69,IF(Path=Units!$B$100, "Pathway not available from LCA tool","Pathway not chosen"))</f>
        <v>Pathway not chosen</v>
      </c>
      <c r="P11" s="163" t="str">
        <f>IF(Path=Units!$B$99,'Default data'!F$69,IF(Path=Units!$B$100, "Pathway not available from LCA tool","Pathway not chosen"))</f>
        <v>Pathway not chosen</v>
      </c>
      <c r="Q11" s="163" t="str">
        <f>IF(Path=Units!$B$99,'Default data'!G$69,IF(Path=Units!$B$100, "Pathway not available from LCA tool","Pathway not chosen"))</f>
        <v>Pathway not chosen</v>
      </c>
    </row>
    <row r="12" spans="1:17" ht="16.5">
      <c r="B12" s="704"/>
      <c r="C12" s="93" t="s">
        <v>965</v>
      </c>
      <c r="D12" s="61" t="s">
        <v>964</v>
      </c>
      <c r="E12" s="684"/>
      <c r="F12" s="687"/>
      <c r="G12" s="60">
        <f>Biomass_Gasification_CCS!V52</f>
        <v>0</v>
      </c>
      <c r="H12" s="58">
        <f t="shared" si="4"/>
        <v>0</v>
      </c>
      <c r="I12" s="727"/>
      <c r="J12" s="684"/>
      <c r="K12" s="59" t="e">
        <f t="shared" si="5"/>
        <v>#VALUE!</v>
      </c>
      <c r="L12" s="56" t="s">
        <v>563</v>
      </c>
      <c r="M12" s="312" t="e">
        <f>IF(D12="Default",L12,K12)</f>
        <v>#VALUE!</v>
      </c>
      <c r="O12" s="163" t="str">
        <f>IF(Path=Units!$B$99,'Default data'!E$85,IF(Path=Units!$B$100, "Pathway not available from LCA tool","Pathway not chosen"))</f>
        <v>Pathway not chosen</v>
      </c>
      <c r="P12" s="163" t="str">
        <f>IF(Path=Units!$B$99,'Default data'!F$85,IF(Path=Units!$B$100, "Pathway not available from LCA tool","Pathway not chosen"))</f>
        <v>Pathway not chosen</v>
      </c>
      <c r="Q12" s="163" t="str">
        <f>IF(Path=Units!$B$99,'Default data'!G$85,IF(Path=Units!$B$100, "Pathway not available from LCA tool","Pathway not chosen"))</f>
        <v>Pathway not chosen</v>
      </c>
    </row>
    <row r="13" spans="1:17" ht="16.5">
      <c r="B13" s="704"/>
      <c r="C13" s="93" t="s">
        <v>966</v>
      </c>
      <c r="D13" s="61" t="s">
        <v>964</v>
      </c>
      <c r="E13" s="684"/>
      <c r="F13" s="687"/>
      <c r="G13" s="60">
        <f>Biomass_Gasification_CCS!V60</f>
        <v>0</v>
      </c>
      <c r="H13" s="58">
        <f t="shared" si="4"/>
        <v>0</v>
      </c>
      <c r="I13" s="727"/>
      <c r="J13" s="684"/>
      <c r="K13" s="59" t="e">
        <f t="shared" si="5"/>
        <v>#VALUE!</v>
      </c>
      <c r="L13" s="56" t="s">
        <v>563</v>
      </c>
      <c r="M13" s="312" t="e">
        <f t="shared" ref="M13" si="6">IF(D13="Default",L13,K13)</f>
        <v>#VALUE!</v>
      </c>
      <c r="O13" s="163" t="str">
        <f>IF(Path=Units!$B$99,'Default data'!E$101,IF(Path=Units!$B$100, "Pathway not available from LCA tool","Pathway not chosen"))</f>
        <v>Pathway not chosen</v>
      </c>
      <c r="P13" s="163" t="str">
        <f>IF(Path=Units!$B$99,'Default data'!F$101,IF(Path=Units!$B$100, "Pathway not available from LCA tool","Pathway not chosen"))</f>
        <v>Pathway not chosen</v>
      </c>
      <c r="Q13" s="163" t="str">
        <f>IF(Path=Units!$B$99,'Default data'!G$101,IF(Path=Units!$B$100, "Pathway not available from LCA tool","Pathway not chosen"))</f>
        <v>Pathway not chosen</v>
      </c>
    </row>
    <row r="14" spans="1:17" ht="16.5">
      <c r="B14" s="705"/>
      <c r="C14" s="61" t="s">
        <v>967</v>
      </c>
      <c r="D14" s="61" t="s">
        <v>964</v>
      </c>
      <c r="E14" s="685"/>
      <c r="F14" s="688"/>
      <c r="G14" s="60">
        <f>Biomass_Gasification_CCS!V67</f>
        <v>0</v>
      </c>
      <c r="H14" s="58">
        <f t="shared" si="4"/>
        <v>0</v>
      </c>
      <c r="I14" s="728"/>
      <c r="J14" s="685"/>
      <c r="K14" s="59" t="e">
        <f t="shared" si="5"/>
        <v>#VALUE!</v>
      </c>
      <c r="L14" s="56" t="s">
        <v>563</v>
      </c>
      <c r="M14" s="312" t="e">
        <f>IF(D14="Default",L14,K14)</f>
        <v>#VALUE!</v>
      </c>
      <c r="O14" s="163" t="str">
        <f>IF(Path=Units!$B$99,'Default data'!E$117,IF(Path=Units!$B$100, "Pathway not available from LCA tool","Pathway not chosen"))</f>
        <v>Pathway not chosen</v>
      </c>
      <c r="P14" s="163" t="str">
        <f>IF(Path=Units!$B$99,'Default data'!F$117,IF(Path=Units!$B$100, "Pathway not available from LCA tool","Pathway not chosen"))</f>
        <v>Pathway not chosen</v>
      </c>
      <c r="Q14" s="163" t="str">
        <f>IF(Path=Units!$B$99,'Default data'!G$117,IF(Path=Units!$B$100, "Pathway not available from LCA tool","Pathway not chosen"))</f>
        <v>Pathway not chosen</v>
      </c>
    </row>
    <row r="15" spans="1:17" ht="29.1">
      <c r="B15" s="61" t="s">
        <v>968</v>
      </c>
      <c r="C15" s="692" t="s">
        <v>969</v>
      </c>
      <c r="D15" s="540" t="s">
        <v>970</v>
      </c>
      <c r="E15" s="62"/>
      <c r="F15" s="62"/>
      <c r="G15" s="62"/>
      <c r="H15" s="62"/>
      <c r="I15" s="62"/>
      <c r="J15" s="62"/>
      <c r="K15" s="62"/>
      <c r="L15" s="518" t="str">
        <f>'Typical data'!$D$389</f>
        <v>Yet to provide pressure or electricity source</v>
      </c>
      <c r="M15" s="517" t="str">
        <f>L15</f>
        <v>Yet to provide pressure or electricity source</v>
      </c>
      <c r="O15" s="163" t="s">
        <v>971</v>
      </c>
      <c r="P15" s="163" t="s">
        <v>971</v>
      </c>
      <c r="Q15" s="163" t="s">
        <v>971</v>
      </c>
    </row>
    <row r="16" spans="1:17" ht="29.1">
      <c r="B16" s="61" t="s">
        <v>972</v>
      </c>
      <c r="C16" s="693"/>
      <c r="D16" s="540" t="s">
        <v>973</v>
      </c>
      <c r="E16" s="62"/>
      <c r="F16" s="62"/>
      <c r="G16" s="62"/>
      <c r="H16" s="62"/>
      <c r="I16" s="62"/>
      <c r="J16" s="62"/>
      <c r="K16" s="62"/>
      <c r="L16" s="520" t="str">
        <f>'Typical data'!$D$407</f>
        <v>Yet to provide electricity source</v>
      </c>
      <c r="M16" s="517" t="str">
        <f>L16</f>
        <v>Yet to provide electricity source</v>
      </c>
      <c r="O16" s="163" t="s">
        <v>971</v>
      </c>
      <c r="P16" s="163" t="s">
        <v>971</v>
      </c>
      <c r="Q16" s="163" t="s">
        <v>971</v>
      </c>
    </row>
    <row r="17" spans="2:17">
      <c r="O17" s="53"/>
    </row>
    <row r="18" spans="2:17" ht="18.600000000000001">
      <c r="B18" s="97" t="s">
        <v>974</v>
      </c>
      <c r="C18" s="98"/>
      <c r="D18" s="98"/>
      <c r="E18" s="99">
        <f>PRODUCT(E3:E16)</f>
        <v>0</v>
      </c>
      <c r="F18" s="100"/>
      <c r="G18" s="100"/>
      <c r="H18" s="100"/>
      <c r="I18" s="101"/>
      <c r="J18" s="101"/>
      <c r="K18" s="101"/>
      <c r="L18" s="101"/>
      <c r="M18" s="102" t="str">
        <f>IF(COUNTIF(M3:M16,"*")&gt;0,"Pathway not chosen",SUM(M3:M16))</f>
        <v>Pathway not chosen</v>
      </c>
      <c r="N18" s="53"/>
      <c r="O18" s="163" t="str">
        <f>IF(Path=Units!$B$99,'Default data'!E$149,IF(Path=Units!$B$100, "Pathway not available from LCA tool","Pathway not chosen"))</f>
        <v>Pathway not chosen</v>
      </c>
      <c r="P18" s="163" t="str">
        <f>IF(Path=Units!$B$99,'Default data'!F$149,IF(Path=Units!$B$100, "Pathway not available from LCA tool","Pathway not chosen"))</f>
        <v>Pathway not chosen</v>
      </c>
      <c r="Q18" s="163" t="str">
        <f>IF(Path=Units!$B$99,'Default data'!G$149,IF(Path=Units!$B$100, "Pathway not available from LCA tool","Pathway not chosen"))</f>
        <v>Pathway not chosen</v>
      </c>
    </row>
    <row r="19" spans="2:17" ht="18.600000000000001">
      <c r="B19" s="97" t="s">
        <v>975</v>
      </c>
      <c r="C19" s="98"/>
      <c r="D19" s="98"/>
      <c r="E19" s="101"/>
      <c r="F19" s="101"/>
      <c r="G19" s="101"/>
      <c r="H19" s="101"/>
      <c r="I19" s="101"/>
      <c r="J19" s="101"/>
      <c r="K19" s="101"/>
      <c r="L19" s="101"/>
      <c r="M19" s="103">
        <v>20</v>
      </c>
      <c r="O19" s="706" t="s">
        <v>1008</v>
      </c>
      <c r="P19" s="706"/>
      <c r="Q19" s="706"/>
    </row>
    <row r="20" spans="2:17">
      <c r="O20" s="706"/>
      <c r="P20" s="706"/>
      <c r="Q20" s="706"/>
    </row>
    <row r="21" spans="2:17">
      <c r="O21" s="706"/>
      <c r="P21" s="706"/>
      <c r="Q21" s="706"/>
    </row>
    <row r="23" spans="2:17">
      <c r="O23" s="273"/>
    </row>
  </sheetData>
  <customSheetViews>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1"/>
    </customSheetView>
    <customSheetView guid="{EECBF9DF-6D77-4263-85DA-71E40216BADD}" showGridLines="0" state="hidden">
      <pane xSplit="3" topLeftCell="D1" activePane="topRight" state="frozen"/>
      <selection pane="topRight"/>
      <pageMargins left="0" right="0" top="0" bottom="0" header="0" footer="0"/>
      <pageSetup paperSize="9" orientation="portrait" r:id="rId2"/>
    </customSheetView>
    <customSheetView guid="{1C16EB38-F785-4168-9938-104594734038}" showGridLines="0" state="hidden">
      <pane xSplit="3" topLeftCell="D1" activePane="topRight" state="frozen"/>
      <selection pane="topRight"/>
      <pageMargins left="0" right="0" top="0" bottom="0" header="0" footer="0"/>
      <pageSetup paperSize="9" orientation="portrait" r:id="rId3"/>
    </customSheetView>
    <customSheetView guid="{0E935136-9A80-44B6-88D5-61E64D742049}" showGridLines="0" state="hidden">
      <pane xSplit="3" topLeftCell="D1" activePane="topRight" state="frozen"/>
      <selection pane="topRight"/>
      <pageMargins left="0" right="0" top="0" bottom="0" header="0" footer="0"/>
      <pageSetup paperSize="9" orientation="portrait" r:id="rId4"/>
    </customSheetView>
    <customSheetView guid="{E6EFD927-84B2-4D06-BB59-59D9DF522DA2}" showGridLines="0">
      <pane xSplit="3" topLeftCell="D1" activePane="topRight" state="frozen"/>
      <selection pane="topRight"/>
      <pageMargins left="0" right="0" top="0" bottom="0" header="0" footer="0"/>
      <pageSetup paperSize="9" orientation="portrait" r:id="rId5"/>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6"/>
    </customSheetView>
    <customSheetView guid="{D97B1299-69D0-4EE0-B673-CCF74742F96B}" state="hidden">
      <selection activeCell="D2" sqref="D2"/>
      <pageMargins left="0" right="0" top="0" bottom="0" header="0" footer="0"/>
      <pageSetup paperSize="9" orientation="portrait" r:id="rId7"/>
    </customSheetView>
    <customSheetView guid="{F468A2FD-7987-4A9D-8BAE-1AACE523607F}" showGridLines="0" state="hidden">
      <pane xSplit="3" topLeftCell="D1" activePane="topRight" state="frozen"/>
      <selection pane="topRight"/>
      <pageMargins left="0" right="0" top="0" bottom="0" header="0" footer="0"/>
      <pageSetup paperSize="9" orientation="portrait" r:id="rId8"/>
    </customSheetView>
    <customSheetView guid="{2D920366-22B2-4182-A65D-0EDBE614FB37}" showGridLines="0">
      <pane xSplit="3" topLeftCell="D1" activePane="topRight" state="frozen"/>
      <selection pane="topRight"/>
      <pageMargins left="0" right="0" top="0" bottom="0" header="0" footer="0"/>
      <pageSetup paperSize="9" orientation="portrait" r:id="rId9"/>
    </customSheetView>
  </customSheetViews>
  <mergeCells count="14">
    <mergeCell ref="O19:Q21"/>
    <mergeCell ref="B9:B14"/>
    <mergeCell ref="E9:E14"/>
    <mergeCell ref="O5:O8"/>
    <mergeCell ref="P5:P8"/>
    <mergeCell ref="Q5:Q8"/>
    <mergeCell ref="L5:L8"/>
    <mergeCell ref="F9:F14"/>
    <mergeCell ref="I9:I14"/>
    <mergeCell ref="J9:J14"/>
    <mergeCell ref="C15:C16"/>
    <mergeCell ref="C3:C8"/>
    <mergeCell ref="D5:D8"/>
    <mergeCell ref="M3:M8"/>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20" id="{195A97A3-B836-469D-A109-FAA6D705B23D}">
            <xm:f>AND(Path&lt;&gt;Units!$B$99,Path&lt;&gt;Units!$B$100,Master_Switch="On")</xm:f>
            <x14:dxf>
              <font>
                <color theme="0"/>
              </font>
              <fill>
                <patternFill patternType="solid">
                  <fgColor theme="0"/>
                  <bgColor theme="0"/>
                </patternFill>
              </fill>
              <border>
                <left/>
                <right/>
                <top/>
                <bottom/>
                <vertical/>
                <horizontal/>
              </border>
            </x14:dxf>
          </x14:cfRule>
          <xm:sqref>A2:XFD100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B33BC-916D-4389-A6F5-F8D4C26EEB0D}">
  <sheetPr codeName="Sheet8">
    <tabColor theme="8" tint="0.59999389629810485"/>
  </sheetPr>
  <dimension ref="B1:C116"/>
  <sheetViews>
    <sheetView showGridLines="0" zoomScaleNormal="100" workbookViewId="0"/>
  </sheetViews>
  <sheetFormatPr defaultColWidth="7.140625" defaultRowHeight="14.45"/>
  <cols>
    <col min="2" max="2" width="62.140625" customWidth="1"/>
    <col min="3" max="3" width="166.5703125" customWidth="1"/>
    <col min="7" max="7" width="17.5703125" customWidth="1"/>
    <col min="8" max="8" width="18.42578125" customWidth="1"/>
    <col min="9" max="9" width="22.85546875" customWidth="1"/>
  </cols>
  <sheetData>
    <row r="1" spans="2:3">
      <c r="B1" s="28"/>
    </row>
    <row r="2" spans="2:3">
      <c r="B2" s="28" t="s">
        <v>17</v>
      </c>
    </row>
    <row r="3" spans="2:3">
      <c r="B3" s="356" t="s">
        <v>18</v>
      </c>
      <c r="C3" s="31" t="s">
        <v>19</v>
      </c>
    </row>
    <row r="4" spans="2:3">
      <c r="B4" s="295" t="s">
        <v>20</v>
      </c>
      <c r="C4" s="31" t="s">
        <v>21</v>
      </c>
    </row>
    <row r="5" spans="2:3">
      <c r="B5" s="295" t="s">
        <v>22</v>
      </c>
      <c r="C5" s="331" t="s">
        <v>23</v>
      </c>
    </row>
    <row r="6" spans="2:3">
      <c r="B6" s="295" t="s">
        <v>24</v>
      </c>
      <c r="C6" s="331" t="s">
        <v>25</v>
      </c>
    </row>
    <row r="7" spans="2:3">
      <c r="B7" s="295" t="s">
        <v>26</v>
      </c>
      <c r="C7" s="331" t="s">
        <v>27</v>
      </c>
    </row>
    <row r="8" spans="2:3">
      <c r="B8" s="295" t="s">
        <v>28</v>
      </c>
      <c r="C8" s="331" t="s">
        <v>29</v>
      </c>
    </row>
    <row r="9" spans="2:3">
      <c r="B9" s="292" t="s">
        <v>30</v>
      </c>
      <c r="C9" s="331" t="s">
        <v>31</v>
      </c>
    </row>
    <row r="10" spans="2:3">
      <c r="B10" s="353" t="s">
        <v>32</v>
      </c>
      <c r="C10" s="357" t="s">
        <v>33</v>
      </c>
    </row>
    <row r="11" spans="2:3">
      <c r="B11" s="353" t="s">
        <v>34</v>
      </c>
      <c r="C11" s="357" t="s">
        <v>35</v>
      </c>
    </row>
    <row r="12" spans="2:3">
      <c r="B12" s="446" t="s">
        <v>36</v>
      </c>
      <c r="C12" s="357" t="s">
        <v>37</v>
      </c>
    </row>
    <row r="13" spans="2:3">
      <c r="B13" s="265" t="s">
        <v>38</v>
      </c>
      <c r="C13" s="357" t="s">
        <v>39</v>
      </c>
    </row>
    <row r="14" spans="2:3">
      <c r="B14" s="265" t="s">
        <v>40</v>
      </c>
      <c r="C14" s="357" t="s">
        <v>41</v>
      </c>
    </row>
    <row r="15" spans="2:3">
      <c r="B15" s="265" t="s">
        <v>42</v>
      </c>
      <c r="C15" s="357" t="s">
        <v>43</v>
      </c>
    </row>
    <row r="16" spans="2:3">
      <c r="B16" s="180" t="s">
        <v>44</v>
      </c>
      <c r="C16" s="646" t="s">
        <v>45</v>
      </c>
    </row>
    <row r="17" spans="2:3">
      <c r="B17" s="180" t="s">
        <v>46</v>
      </c>
      <c r="C17" s="646"/>
    </row>
    <row r="18" spans="2:3">
      <c r="B18" s="180" t="s">
        <v>47</v>
      </c>
      <c r="C18" s="646"/>
    </row>
    <row r="19" spans="2:3">
      <c r="B19" s="180" t="s">
        <v>48</v>
      </c>
      <c r="C19" s="646"/>
    </row>
    <row r="20" spans="2:3">
      <c r="B20" s="180" t="s">
        <v>49</v>
      </c>
      <c r="C20" s="646"/>
    </row>
    <row r="21" spans="2:3">
      <c r="B21" s="180" t="s">
        <v>50</v>
      </c>
      <c r="C21" s="646"/>
    </row>
    <row r="22" spans="2:3">
      <c r="B22" s="181" t="s">
        <v>51</v>
      </c>
      <c r="C22" s="646"/>
    </row>
    <row r="23" spans="2:3">
      <c r="B23" s="180" t="s">
        <v>52</v>
      </c>
      <c r="C23" s="646"/>
    </row>
    <row r="25" spans="2:3">
      <c r="B25" s="439" t="s">
        <v>53</v>
      </c>
      <c r="C25" s="646" t="s">
        <v>54</v>
      </c>
    </row>
    <row r="26" spans="2:3">
      <c r="B26" s="416" t="s">
        <v>55</v>
      </c>
      <c r="C26" s="646"/>
    </row>
    <row r="27" spans="2:3">
      <c r="B27" s="293"/>
      <c r="C27" s="646"/>
    </row>
    <row r="28" spans="2:3">
      <c r="B28" s="440" t="s">
        <v>56</v>
      </c>
      <c r="C28" s="646"/>
    </row>
    <row r="29" spans="2:3">
      <c r="B29" s="417" t="s">
        <v>57</v>
      </c>
      <c r="C29" s="646"/>
    </row>
    <row r="30" spans="2:3">
      <c r="B30" s="417" t="s">
        <v>58</v>
      </c>
      <c r="C30" s="646"/>
    </row>
    <row r="31" spans="2:3">
      <c r="B31" s="417" t="s">
        <v>59</v>
      </c>
      <c r="C31" s="646"/>
    </row>
    <row r="32" spans="2:3">
      <c r="B32" s="417" t="s">
        <v>60</v>
      </c>
      <c r="C32" s="646"/>
    </row>
    <row r="33" spans="2:3">
      <c r="B33" s="417" t="s">
        <v>61</v>
      </c>
      <c r="C33" s="646"/>
    </row>
    <row r="34" spans="2:3">
      <c r="B34" s="293"/>
      <c r="C34" s="646"/>
    </row>
    <row r="35" spans="2:3">
      <c r="B35" s="440" t="s">
        <v>62</v>
      </c>
      <c r="C35" s="646"/>
    </row>
    <row r="36" spans="2:3">
      <c r="B36" s="597" t="s">
        <v>63</v>
      </c>
      <c r="C36" s="646"/>
    </row>
    <row r="37" spans="2:3">
      <c r="B37" s="597" t="s">
        <v>64</v>
      </c>
      <c r="C37" s="646"/>
    </row>
    <row r="38" spans="2:3">
      <c r="B38" s="597" t="s">
        <v>65</v>
      </c>
      <c r="C38" s="646"/>
    </row>
    <row r="39" spans="2:3">
      <c r="B39" s="597" t="s">
        <v>66</v>
      </c>
      <c r="C39" s="646"/>
    </row>
    <row r="40" spans="2:3">
      <c r="B40" s="597" t="s">
        <v>67</v>
      </c>
      <c r="C40" s="646"/>
    </row>
    <row r="41" spans="2:3">
      <c r="B41" s="597" t="s">
        <v>68</v>
      </c>
      <c r="C41" s="646"/>
    </row>
    <row r="42" spans="2:3">
      <c r="B42" s="598" t="s">
        <v>69</v>
      </c>
      <c r="C42" s="646"/>
    </row>
    <row r="43" spans="2:3">
      <c r="B43" s="293"/>
      <c r="C43" s="646"/>
    </row>
    <row r="44" spans="2:3">
      <c r="B44" s="440" t="s">
        <v>70</v>
      </c>
      <c r="C44" s="646"/>
    </row>
    <row r="45" spans="2:3">
      <c r="B45" s="417" t="s">
        <v>57</v>
      </c>
      <c r="C45" s="646"/>
    </row>
    <row r="46" spans="2:3">
      <c r="B46" s="417" t="s">
        <v>58</v>
      </c>
      <c r="C46" s="646"/>
    </row>
    <row r="47" spans="2:3">
      <c r="B47" s="417" t="s">
        <v>59</v>
      </c>
      <c r="C47" s="646"/>
    </row>
    <row r="48" spans="2:3">
      <c r="B48" s="417" t="s">
        <v>60</v>
      </c>
      <c r="C48" s="646"/>
    </row>
    <row r="49" spans="2:3">
      <c r="B49" s="565" t="s">
        <v>71</v>
      </c>
      <c r="C49" s="646"/>
    </row>
    <row r="50" spans="2:3">
      <c r="B50" s="293"/>
      <c r="C50" s="646"/>
    </row>
    <row r="51" spans="2:3">
      <c r="B51" s="440" t="s">
        <v>72</v>
      </c>
      <c r="C51" s="646"/>
    </row>
    <row r="52" spans="2:3">
      <c r="B52" s="418" t="s">
        <v>73</v>
      </c>
      <c r="C52" s="646"/>
    </row>
    <row r="53" spans="2:3">
      <c r="B53" s="418" t="s">
        <v>74</v>
      </c>
      <c r="C53" s="646"/>
    </row>
    <row r="54" spans="2:3">
      <c r="B54" s="419" t="s">
        <v>75</v>
      </c>
      <c r="C54" s="646"/>
    </row>
    <row r="55" spans="2:3">
      <c r="B55" s="419" t="s">
        <v>76</v>
      </c>
      <c r="C55" s="646"/>
    </row>
    <row r="56" spans="2:3">
      <c r="B56" s="419" t="s">
        <v>77</v>
      </c>
      <c r="C56" s="646"/>
    </row>
    <row r="57" spans="2:3">
      <c r="B57" s="418" t="s">
        <v>78</v>
      </c>
      <c r="C57" s="646"/>
    </row>
    <row r="58" spans="2:3">
      <c r="B58" s="418" t="s">
        <v>79</v>
      </c>
      <c r="C58" s="646"/>
    </row>
    <row r="59" spans="2:3">
      <c r="B59" s="294"/>
      <c r="C59" s="646"/>
    </row>
    <row r="60" spans="2:3">
      <c r="B60" s="440" t="s">
        <v>80</v>
      </c>
      <c r="C60" s="646"/>
    </row>
    <row r="61" spans="2:3">
      <c r="B61" s="420" t="s">
        <v>81</v>
      </c>
      <c r="C61" s="646"/>
    </row>
    <row r="62" spans="2:3">
      <c r="B62" s="420" t="s">
        <v>82</v>
      </c>
      <c r="C62" s="646"/>
    </row>
    <row r="63" spans="2:3">
      <c r="B63" s="420" t="s">
        <v>83</v>
      </c>
      <c r="C63" s="646"/>
    </row>
    <row r="64" spans="2:3">
      <c r="B64" s="421" t="s">
        <v>84</v>
      </c>
      <c r="C64" s="646"/>
    </row>
    <row r="65" spans="2:3">
      <c r="B65" s="420" t="s">
        <v>85</v>
      </c>
      <c r="C65" s="646"/>
    </row>
    <row r="66" spans="2:3">
      <c r="B66" s="420" t="s">
        <v>86</v>
      </c>
      <c r="C66" s="646"/>
    </row>
    <row r="67" spans="2:3">
      <c r="B67" s="421" t="s">
        <v>87</v>
      </c>
      <c r="C67" s="646"/>
    </row>
    <row r="68" spans="2:3">
      <c r="B68" s="52"/>
      <c r="C68" s="646"/>
    </row>
    <row r="69" spans="2:3">
      <c r="B69" s="440" t="s">
        <v>88</v>
      </c>
      <c r="C69" s="646"/>
    </row>
    <row r="70" spans="2:3">
      <c r="B70" s="422" t="s">
        <v>89</v>
      </c>
      <c r="C70" s="646"/>
    </row>
    <row r="71" spans="2:3">
      <c r="B71" s="422" t="s">
        <v>90</v>
      </c>
      <c r="C71" s="646"/>
    </row>
    <row r="72" spans="2:3">
      <c r="B72" s="422" t="s">
        <v>91</v>
      </c>
      <c r="C72" s="646"/>
    </row>
    <row r="73" spans="2:3">
      <c r="B73" s="423" t="s">
        <v>92</v>
      </c>
      <c r="C73" s="646"/>
    </row>
    <row r="74" spans="2:3">
      <c r="B74" s="423" t="s">
        <v>93</v>
      </c>
      <c r="C74" s="646"/>
    </row>
    <row r="75" spans="2:3">
      <c r="B75" s="422" t="s">
        <v>94</v>
      </c>
      <c r="C75" s="646"/>
    </row>
    <row r="76" spans="2:3">
      <c r="B76" s="293"/>
      <c r="C76" s="646"/>
    </row>
    <row r="77" spans="2:3">
      <c r="B77" s="440" t="s">
        <v>95</v>
      </c>
      <c r="C77" s="646"/>
    </row>
    <row r="78" spans="2:3">
      <c r="B78" s="424" t="s">
        <v>96</v>
      </c>
      <c r="C78" s="646"/>
    </row>
    <row r="79" spans="2:3">
      <c r="B79" s="424" t="s">
        <v>97</v>
      </c>
      <c r="C79" s="646"/>
    </row>
    <row r="80" spans="2:3" ht="14.85" customHeight="1">
      <c r="B80" s="424" t="s">
        <v>98</v>
      </c>
      <c r="C80" s="646"/>
    </row>
    <row r="81" spans="2:3" ht="14.85" customHeight="1">
      <c r="B81" s="424" t="s">
        <v>99</v>
      </c>
      <c r="C81" s="646"/>
    </row>
    <row r="82" spans="2:3" ht="14.85" customHeight="1">
      <c r="B82" s="424" t="s">
        <v>100</v>
      </c>
      <c r="C82" s="646"/>
    </row>
    <row r="83" spans="2:3" ht="14.85" customHeight="1">
      <c r="B83" s="424" t="s">
        <v>101</v>
      </c>
      <c r="C83" s="646"/>
    </row>
    <row r="84" spans="2:3" ht="14.85" customHeight="1">
      <c r="B84" s="424" t="s">
        <v>102</v>
      </c>
      <c r="C84" s="646"/>
    </row>
    <row r="85" spans="2:3">
      <c r="B85" s="52"/>
    </row>
    <row r="86" spans="2:3">
      <c r="B86" s="51" t="s">
        <v>103</v>
      </c>
    </row>
    <row r="87" spans="2:3">
      <c r="B87" t="s">
        <v>104</v>
      </c>
    </row>
    <row r="89" spans="2:3" ht="18.600000000000001">
      <c r="B89" s="128"/>
      <c r="C89" s="4"/>
    </row>
    <row r="90" spans="2:3">
      <c r="B90" s="129"/>
      <c r="C90" s="4"/>
    </row>
    <row r="91" spans="2:3">
      <c r="B91" s="130"/>
      <c r="C91" s="130"/>
    </row>
    <row r="95" spans="2:3">
      <c r="C95" s="124"/>
    </row>
    <row r="96" spans="2:3">
      <c r="B96" s="28"/>
      <c r="C96" s="28"/>
    </row>
    <row r="97" spans="3:3">
      <c r="C97" s="124"/>
    </row>
    <row r="99" spans="3:3">
      <c r="C99" s="124"/>
    </row>
    <row r="100" spans="3:3">
      <c r="C100" s="124"/>
    </row>
    <row r="101" spans="3:3">
      <c r="C101" s="124"/>
    </row>
    <row r="102" spans="3:3">
      <c r="C102" s="124"/>
    </row>
    <row r="103" spans="3:3">
      <c r="C103" s="124"/>
    </row>
    <row r="104" spans="3:3">
      <c r="C104" s="124"/>
    </row>
    <row r="105" spans="3:3">
      <c r="C105" s="124"/>
    </row>
    <row r="106" spans="3:3">
      <c r="C106" s="124"/>
    </row>
    <row r="107" spans="3:3">
      <c r="C107" s="124"/>
    </row>
    <row r="108" spans="3:3">
      <c r="C108" s="124"/>
    </row>
    <row r="109" spans="3:3">
      <c r="C109" s="124"/>
    </row>
    <row r="110" spans="3:3">
      <c r="C110" s="124"/>
    </row>
    <row r="111" spans="3:3">
      <c r="C111" s="124"/>
    </row>
    <row r="112" spans="3:3">
      <c r="C112" s="124"/>
    </row>
    <row r="113" spans="3:3">
      <c r="C113" s="124"/>
    </row>
    <row r="114" spans="3:3">
      <c r="C114" s="124"/>
    </row>
    <row r="115" spans="3:3">
      <c r="C115" s="124"/>
    </row>
    <row r="116" spans="3:3">
      <c r="C116" s="124"/>
    </row>
  </sheetData>
  <customSheetViews>
    <customSheetView guid="{F03309BC-D3FA-4CF2-833B-D6D9A95FE1FB}" showGridLines="0">
      <selection activeCell="D2" sqref="D2"/>
      <pageMargins left="0" right="0" top="0" bottom="0" header="0" footer="0"/>
      <pageSetup paperSize="9" orientation="portrait" r:id="rId1"/>
    </customSheetView>
    <customSheetView guid="{EECBF9DF-6D77-4263-85DA-71E40216BADD}" showGridLines="0">
      <selection activeCell="D1" sqref="D1"/>
      <pageMargins left="0" right="0" top="0" bottom="0" header="0" footer="0"/>
      <pageSetup paperSize="9" orientation="portrait" r:id="rId2"/>
    </customSheetView>
    <customSheetView guid="{1C16EB38-F785-4168-9938-104594734038}" showGridLines="0">
      <selection activeCell="D1" sqref="D1"/>
      <pageMargins left="0" right="0" top="0" bottom="0" header="0" footer="0"/>
      <pageSetup paperSize="9" orientation="portrait" r:id="rId3"/>
    </customSheetView>
    <customSheetView guid="{0E935136-9A80-44B6-88D5-61E64D742049}" showGridLines="0">
      <selection activeCell="D1" sqref="D1"/>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3F0A4FBA-5323-448F-A023-B3E14C54064C}" showGridLines="0">
      <selection activeCell="D2" sqref="D2"/>
      <pageMargins left="0" right="0" top="0" bottom="0" header="0" footer="0"/>
      <pageSetup paperSize="9" orientation="portrait" r:id="rId6"/>
    </customSheetView>
    <customSheetView guid="{D97B1299-69D0-4EE0-B673-CCF74742F96B}">
      <selection activeCell="D2" sqref="D2"/>
      <pageMargins left="0" right="0" top="0" bottom="0" header="0" footer="0"/>
      <pageSetup paperSize="9" orientation="portrait" r:id="rId7"/>
    </customSheetView>
    <customSheetView guid="{F468A2FD-7987-4A9D-8BAE-1AACE523607F}" showGridLines="0">
      <selection activeCell="D1" sqref="D1"/>
      <pageMargins left="0" right="0" top="0" bottom="0" header="0" footer="0"/>
      <pageSetup paperSize="9" orientation="portrait" r:id="rId8"/>
    </customSheetView>
    <customSheetView guid="{2D920366-22B2-4182-A65D-0EDBE614FB37}" showGridLines="0">
      <pageMargins left="0" right="0" top="0" bottom="0" header="0" footer="0"/>
      <pageSetup paperSize="9" orientation="portrait" r:id="rId9"/>
    </customSheetView>
  </customSheetViews>
  <mergeCells count="2">
    <mergeCell ref="C16:C23"/>
    <mergeCell ref="C25:C84"/>
  </mergeCells>
  <hyperlinks>
    <hyperlink ref="B12" location="Units!A1" display="Units" xr:uid="{E37EA686-EA87-4C79-AD23-6925102A29C5}"/>
    <hyperlink ref="B15" location="'Non Typical data'!A1" display="Non Typical data" xr:uid="{064625B3-12CD-4009-8D99-F7D142D3EACC}"/>
    <hyperlink ref="B16" location="GHG_ELECTROLYSIS!A1" display="GHG_ELECTROLYSIS" xr:uid="{FC55BA50-A5F5-44CF-B6E5-C299F8555928}"/>
    <hyperlink ref="B17" location="GHG_FOSSIL_REFORM_CCS!A1" display="GHG_FOSSIL_REFORM_CCS" xr:uid="{439A0861-E4B8-4D50-8D56-FA22438782DF}"/>
    <hyperlink ref="B20" location="GHG_BIOMETHANE_REFORM!A1" display="GHG_BIOMETHANE_REFORM" xr:uid="{0A5AA8C7-0E36-4DEC-9BF7-70F47E3CCFAD}"/>
    <hyperlink ref="B21" location="GHG_BIOMASS_GASIFICATION!A1" display="GHG_BIOMASS_GASIFICATION" xr:uid="{547ED829-6217-41D8-9036-216F982F0929}"/>
    <hyperlink ref="B22" location="GHG_WASTE_GASIFICATION!A1" display="GHG_WASTE_GASIFICATION" xr:uid="{AA923DD2-5342-46B5-96D3-1BD64A5F5C46}"/>
    <hyperlink ref="B23" location="GHG_GENERIC_OTHER!A1" display="GHG_GENERIC_OTHER" xr:uid="{62125913-33C0-44BD-9E8B-04A0E2EFD926}"/>
    <hyperlink ref="B26" location="Electrolysis!A1" display="Electrolysis" xr:uid="{63D1464E-B193-456C-9227-9C5035C2F6A1}"/>
    <hyperlink ref="B29" location="NG_Collection!A1" display="NG Collection" xr:uid="{B4360640-332E-4331-A850-04C84B50D86C}"/>
    <hyperlink ref="B30" location="NG_Transport!A1" display="NG Transport" xr:uid="{5E1DDCE6-79D1-4C5C-8945-C127EC78852B}"/>
    <hyperlink ref="B31" location="NG_Processing!A1" display="NG Processing" xr:uid="{3AD7A6F6-AA19-4EF5-B067-99951FA4DD7D}"/>
    <hyperlink ref="B32" location="NG_Further_Transport!A1" display="NG Further Transport" xr:uid="{1BB3CCCB-9428-402E-97D9-BCBA65FE0C44}"/>
    <hyperlink ref="B33" location="NG_Reforming_CCS!A1" display="NG Reforming + CCS" xr:uid="{B359935B-CEE3-49C6-84DC-3B0BF2BC1731}"/>
    <hyperlink ref="B52" location="Biogas_Feedstock_Cultivation!A1" display="Biogas Feedstock Cultivation" xr:uid="{85246442-0285-4125-9D56-99D594F1D6DE}"/>
    <hyperlink ref="B54" location="Biogas_Feedstock_Collection!A1" display="Biogas Feedstock Collection" xr:uid="{CC348454-33E4-4EC2-A309-0EFE94F77155}"/>
    <hyperlink ref="B55" location="Biogas_Feedstock_Transport!A1" display="Biogas Feedstock Transport" xr:uid="{F87B6F84-24D6-4A1D-9459-53A125EA5631}"/>
    <hyperlink ref="B56" location="'Biogas+Biomethane_Upgrading'!A1" display="Biogas+Biomethane Upgrading" xr:uid="{AE740AA5-BE05-42C8-8081-679053ED2FD3}"/>
    <hyperlink ref="B57" location="Biomethane_Transport!A1" display="Biomethane Transport" xr:uid="{4D65713F-32D8-4EA3-AD33-59920B53C214}"/>
    <hyperlink ref="B58" location="Biomethane_Reforming_CCS!A1" display="Biomethane Reforming (+ CCS)" xr:uid="{A34E59A2-8D3B-4CBE-950D-5419DA3B62AB}"/>
    <hyperlink ref="B63" location="Biomass_Collection!A1" display="Biomass Collection" xr:uid="{9AAFDA45-9460-4925-9B19-18941C8D3F90}"/>
    <hyperlink ref="B61" location="Biomass_Cultivation!A1" display="Biomass Cultivation" xr:uid="{CD86146A-0FA4-4C19-A138-4415F9200D38}"/>
    <hyperlink ref="B64" location="Biomass_Transport!A1" display="Biomass Transport" xr:uid="{AE518C84-6609-4C0D-A0EC-6C82D268B0E2}"/>
    <hyperlink ref="B65" location="'Biomass_Pre-Processing'!A1" display="Biomass Pre-Processing" xr:uid="{4BE25332-B3EA-4976-AD07-B75B72B5B73C}"/>
    <hyperlink ref="B66" location="Biomass_Further_Transport!A1" display="Biomass Further Transport" xr:uid="{674C94F6-F688-4079-B5BF-3F512F263124}"/>
    <hyperlink ref="B67" location="Biomass_Gasification_CCS!A1" display="Biomass Gasification (+ CCS)" xr:uid="{ED4B6008-4D05-4BEC-B24D-6478F3B85EA3}"/>
    <hyperlink ref="B71" location="Waste_Collection!A1" display="Waste Collection" xr:uid="{33FD06AB-8BB0-4A84-A99A-680CC79B61CE}"/>
    <hyperlink ref="B72" location="Waste_Transport!A1" display="Waste Transport" xr:uid="{6A84C630-6B58-4F25-B22F-AA4C19BD88FD}"/>
    <hyperlink ref="B73" location="'Waste_Pre-Processing'!A1" display="Waste Pre-Processing" xr:uid="{D4EDB51C-E544-430A-91C2-2908C86FC16C}"/>
    <hyperlink ref="B74" location="Waste_Further_Transport!A1" display="Waste Further Transport" xr:uid="{9CBB4FBB-0543-4553-A228-F81A62FD2507}"/>
    <hyperlink ref="B75" location="Waste_Gasification_CCS!A1" display="Waste Gasification (+ CCS)" xr:uid="{2E259662-4A24-4142-A818-955CA81A96ED}"/>
    <hyperlink ref="B80" location="Generic_Feedstock_Collection!A1" display="Generic Feedstock Collection" xr:uid="{84344BB0-E223-452F-B3A6-BA633EB54F4A}"/>
    <hyperlink ref="B81" location="Generic_Feedstock_Transport!A1" display="Generic Feedstock Transport" xr:uid="{B9FFD7C9-5FD8-4C45-AE41-E6FE1B869AFF}"/>
    <hyperlink ref="B82" location="'Generic_Pre-Processing'!A1" display="Generic Pre-Processing" xr:uid="{791E891F-83F1-4EB5-84AF-8A9963EE86A4}"/>
    <hyperlink ref="B83" location="Generic_Further_Transport!A1" display="Generic Further Transport" xr:uid="{FC4C0A97-06C6-4C71-B54B-5C87223AD926}"/>
    <hyperlink ref="B84" location="Generic_Conversion!A1" display="Generic Conversion" xr:uid="{6C90B5DD-53C1-4C62-9414-666A19BA4136}"/>
    <hyperlink ref="B53" location="Biogas_Feedstock_Harvesting!A1" display="Biogas Feedstock Harvesting" xr:uid="{FF9C4054-5AE1-40B8-9E1C-C60335C95A71}"/>
    <hyperlink ref="B62" location="Biomass_Harvesting!A1" display="Biomass Harvesting" xr:uid="{4AFC986B-142D-4E78-BCCA-9E8E6B156736}"/>
    <hyperlink ref="B78" location="Generic_Feedstock_Cultivation!A1" display="Generic Feedstock Cultivation" xr:uid="{8FC2031C-C66F-4C7A-9572-07865EAAD8D2}"/>
    <hyperlink ref="B5" location="'Guidance Initial_questions'!A1" display="Guidance Initial Qus" xr:uid="{DDA4D3B7-DC27-40BA-A855-569BD2499D23}"/>
    <hyperlink ref="B79" location="Generic_Feedstock_Harvesting!A1" display="Generic Feedstock Harvesting" xr:uid="{5E4A07A6-277D-4BB9-B8A8-88B25F5172C0}"/>
    <hyperlink ref="B8" location="'Guidance Summary GHG'!A1" display="Guidance Summary GHG" xr:uid="{B5BD78D3-6545-4B09-94AC-6792BA811E40}"/>
    <hyperlink ref="B6" location="'Guidance Processing'!A1" display="Guidance Processing" xr:uid="{80C367A8-7B2D-47DD-B64B-D4E6D1C57DB0}"/>
    <hyperlink ref="B7" location="'Guidance Feedstock dLUC'!A1" display="Guidance Feedstock dLUC" xr:uid="{B85A42E1-9A4C-4743-A44D-590C3FA25840}"/>
    <hyperlink ref="B13" location="'Default data'!A1" display="Default data" xr:uid="{F8CEF998-F394-49C1-875F-9F0714B244AC}"/>
    <hyperlink ref="B10" location="System_Boundary!A1" display="System boundary" xr:uid="{7192F820-AC17-4BD7-AB4A-4A2CF9A34604}"/>
    <hyperlink ref="B9" location="Initial_questions!A1" display="Guidance 1" xr:uid="{6519E2B9-140C-4E57-A173-D928B753A54A}"/>
    <hyperlink ref="B3" location="Title!A1" display="Title" xr:uid="{DF624730-1AB1-407A-8C25-9DFAEC00CF2E}"/>
    <hyperlink ref="B4" location="Navigation!A1" display="Navigation" xr:uid="{94CADE7D-EAB3-46BD-A4E2-D66FAEA18628}"/>
    <hyperlink ref="B11" location="Dashboard!A1" display="Dashboard" xr:uid="{9A1843F1-4C95-4C12-BCDF-C9FC9CF8E05C}"/>
    <hyperlink ref="B45" location="NG_Collection!A1" display="NG Collection" xr:uid="{0FB5699C-87EE-4E96-BCC1-D70CD6BC7EDE}"/>
    <hyperlink ref="B46" location="NG_Transport!A1" display="NG Transport" xr:uid="{A5C64943-2186-4A1D-AC15-AC2832B8BA24}"/>
    <hyperlink ref="B47" location="NG_Processing!A1" display="NG Processing" xr:uid="{0142D342-8157-482D-BEB0-54AB370941C2}"/>
    <hyperlink ref="B48" location="NG_Further_Transport!A1" display="NG Further Transport" xr:uid="{3538F8C2-D457-41C8-9F05-87579412C7DB}"/>
    <hyperlink ref="B49" location="NG_Pyrolysis_SolidCarbon!A1" display="NG Pyrolysis SolidCarbon" xr:uid="{ABF5AC20-BC68-4C86-A23B-0D350717923A}"/>
    <hyperlink ref="B70" location="Waste_Fossil_Counterfactual!A1" display="Waste Fossil Counterfactual" xr:uid="{E19C278F-9BB3-4158-AE4B-D88F7031E0F2}"/>
    <hyperlink ref="B14" location="'Typical data'!A1" display="Typical data" xr:uid="{C4AC21B8-70E6-4E85-B664-43D0CDEA6264}"/>
    <hyperlink ref="B18" location="GHG_ROG_REFORM_CCS!A1" display="GHG_ROG_REFORM_CCS" xr:uid="{D2166A06-610C-4182-B23C-5FB4D5EC1103}"/>
    <hyperlink ref="B19" location="GHG_NG_PYROLYSIS!A1" display="GHG_NG_PYROLYSIS" xr:uid="{3B3C9C25-BBD9-4C28-B934-903882C1B74F}"/>
    <hyperlink ref="B37" location="Crude_Collection!A1" display="Crude Collection" xr:uid="{3A404577-D844-44BC-BED3-DBF769BDCDFB}"/>
    <hyperlink ref="B38" location="Crude_Transport!A1" display="Crude Transport" xr:uid="{11FD9892-D595-4AA3-9D48-81C7893FC191}"/>
    <hyperlink ref="B39" location="Crude_Refine!A1" display="Crude Refine" xr:uid="{7618FFE7-91F8-4166-ACAA-C2F26FF9BCAF}"/>
    <hyperlink ref="B40" location="ROG_Processing!A1" display="ROG Processing" xr:uid="{1A8A5549-B26F-468D-A6D2-CEA6EDF59499}"/>
    <hyperlink ref="B41" location="ROG_Transport!A1" display="ROG Further Transport" xr:uid="{04ED5AC6-36DD-4FD6-B4C1-73E172C7CB25}"/>
    <hyperlink ref="B36" location="ROG_Counterfactual!A1" display="ROG Counterfactual" xr:uid="{A35506A3-1839-4232-95CC-BC53E358E228}"/>
    <hyperlink ref="B42" location="ROG_Reforming_CCS!A1" display="ROG Reforming + CCS" xr:uid="{193CB276-5A01-483C-AB67-BF8E50CC1545}"/>
  </hyperlinks>
  <pageMargins left="0" right="0" top="0" bottom="0" header="0" footer="0"/>
  <pageSetup paperSize="9" orientation="portrait" r:id="rId10"/>
  <headerFooter>
    <oddHeader>&amp;C&amp;"Aptos"&amp;10&amp;K000000 OFFICIAL&amp;1#_x000D_</oddHeader>
    <oddFooter>&amp;C_x000D_&amp;1#&amp;"Aptos"&amp;10&amp;K000000 OFFICIAL</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907DF-AE51-4A22-8FF0-00E11C39E3E5}">
  <sheetPr codeName="Sheet14">
    <tabColor rgb="FFFF66CC"/>
  </sheetPr>
  <dimension ref="A1:Q47"/>
  <sheetViews>
    <sheetView showGridLines="0" zoomScaleNormal="100" workbookViewId="0">
      <pane xSplit="3" topLeftCell="D1" activePane="topRight" state="frozen"/>
      <selection pane="topRight"/>
    </sheetView>
  </sheetViews>
  <sheetFormatPr defaultColWidth="8.85546875" defaultRowHeight="14.45"/>
  <cols>
    <col min="1" max="1" width="4.5703125" customWidth="1"/>
    <col min="2" max="2" width="32.42578125" customWidth="1"/>
    <col min="3" max="3" width="30.5703125" customWidth="1"/>
    <col min="4" max="4" width="29.28515625" customWidth="1"/>
    <col min="5" max="5" width="15.85546875" customWidth="1"/>
    <col min="6" max="6" width="31.85546875" customWidth="1"/>
    <col min="7" max="7" width="28.5703125" customWidth="1"/>
    <col min="8" max="8" width="30.42578125" customWidth="1"/>
    <col min="9" max="10" width="26.85546875" customWidth="1"/>
    <col min="11" max="11" width="35.140625" customWidth="1"/>
    <col min="12" max="12" width="20.85546875" customWidth="1"/>
    <col min="13" max="13" width="29" customWidth="1"/>
    <col min="15" max="15" width="30.140625" customWidth="1"/>
    <col min="16" max="16" width="28.85546875" customWidth="1"/>
    <col min="17" max="17" width="29.42578125" customWidth="1"/>
  </cols>
  <sheetData>
    <row r="1" spans="1:17" ht="30.95">
      <c r="A1" s="80" t="str">
        <f>IF(AND(Path&lt;&gt;Units!$B$101,Path&lt;&gt;Units!$B$102,Master_Switch="On"),"User should not use this worksheet, but switch to a non-blank GHG summary worksheets","")</f>
        <v>User should not use this worksheet, but switch to a non-blank GHG summary worksheets</v>
      </c>
    </row>
    <row r="2" spans="1:17" s="274" customFormat="1">
      <c r="B2" s="161" t="s">
        <v>1009</v>
      </c>
      <c r="C2" s="161"/>
      <c r="I2" s="275"/>
    </row>
    <row r="4" spans="1:17" ht="84.6" customHeight="1">
      <c r="B4" s="106" t="s">
        <v>948</v>
      </c>
      <c r="C4" s="106" t="s">
        <v>949</v>
      </c>
      <c r="D4" s="106" t="s">
        <v>950</v>
      </c>
      <c r="E4" s="106" t="s">
        <v>951</v>
      </c>
      <c r="F4" s="106" t="s">
        <v>952</v>
      </c>
      <c r="G4" s="106" t="s">
        <v>953</v>
      </c>
      <c r="H4" s="106" t="s">
        <v>954</v>
      </c>
      <c r="I4" s="106" t="s">
        <v>955</v>
      </c>
      <c r="J4" s="106" t="s">
        <v>956</v>
      </c>
      <c r="K4" s="106" t="s">
        <v>957</v>
      </c>
      <c r="L4" s="106" t="s">
        <v>958</v>
      </c>
      <c r="M4" s="106" t="s">
        <v>959</v>
      </c>
      <c r="O4" s="173" t="s">
        <v>1010</v>
      </c>
      <c r="P4" s="173" t="s">
        <v>1011</v>
      </c>
      <c r="Q4" s="173" t="s">
        <v>1012</v>
      </c>
    </row>
    <row r="5" spans="1:17">
      <c r="B5" s="61" t="s">
        <v>90</v>
      </c>
      <c r="C5" s="703" t="s">
        <v>990</v>
      </c>
      <c r="D5" s="712" t="str">
        <f>IF(Initial_questions!E$113="", IF(Initial_questions!E$112="", "User to enter in Initial Qus", Initial_questions!E$112), Initial_questions!E$113)</f>
        <v>User to enter in Initial Qus</v>
      </c>
      <c r="E5" s="57" t="str">
        <f>Waste_Collection!O20</f>
        <v>NA</v>
      </c>
      <c r="F5" s="168" t="e">
        <f>F6/E6</f>
        <v>#VALUE!</v>
      </c>
      <c r="G5" s="60">
        <f>Waste_Collection!V33</f>
        <v>0</v>
      </c>
      <c r="H5" s="58" t="e">
        <f t="shared" ref="H5:H8" si="0">G5*F5</f>
        <v>#VALUE!</v>
      </c>
      <c r="I5" s="313" t="str">
        <f>Waste_Collection!R20</f>
        <v/>
      </c>
      <c r="J5" s="57" t="e">
        <f t="shared" ref="J5:J6" si="1">J6*I5</f>
        <v>#VALUE!</v>
      </c>
      <c r="K5" s="59" t="e">
        <f t="shared" ref="K5:K8" si="2">H5*J5</f>
        <v>#VALUE!</v>
      </c>
      <c r="L5" s="715" t="str" cm="1">
        <f t="array" ref="L5">IF(Initial_questions!$E$111="No", "Feedstock does not match default", IF(OR(Path=Units!$B$101:$B$102),'Default data'!$D$22,"Pathway not chosen"))</f>
        <v>Pathway not chosen</v>
      </c>
      <c r="M5" s="717" t="e">
        <f>MAX(0,IF($D$5="Default",L5,SUM(K5:K8)))</f>
        <v>#VALUE!</v>
      </c>
      <c r="O5" s="707" t="str">
        <f>IF(Path=Units!$B$101,'Default data'!E$22,IF(Path=Units!$B$102, "Pathway not available from LCA tool","Pathway not chosen"))</f>
        <v>Pathway not chosen</v>
      </c>
      <c r="P5" s="707" t="str">
        <f>IF(Path=Units!$B$101,'Default data'!F$22,IF(Path=Units!$B$102, "Pathway not available from LCA tool","Pathway not chosen"))</f>
        <v>Pathway not chosen</v>
      </c>
      <c r="Q5" s="707" t="str">
        <f>IF(Path=Units!$B$101,'Default data'!G$22,IF(Path=Units!$B$102, "Pathway not available from LCA tool","Pathway not chosen"))</f>
        <v>Pathway not chosen</v>
      </c>
    </row>
    <row r="6" spans="1:17">
      <c r="B6" s="61" t="s">
        <v>91</v>
      </c>
      <c r="C6" s="704"/>
      <c r="D6" s="713"/>
      <c r="E6" s="57" t="str">
        <f>Waste_Transport!O20</f>
        <v/>
      </c>
      <c r="F6" s="168" t="e">
        <f>F7/E7</f>
        <v>#VALUE!</v>
      </c>
      <c r="G6" s="60">
        <f>Waste_Transport!V33</f>
        <v>0</v>
      </c>
      <c r="H6" s="58" t="e">
        <f t="shared" si="0"/>
        <v>#VALUE!</v>
      </c>
      <c r="I6" s="313" t="str">
        <f>Waste_Transport!R20</f>
        <v/>
      </c>
      <c r="J6" s="57" t="e">
        <f t="shared" si="1"/>
        <v>#VALUE!</v>
      </c>
      <c r="K6" s="59" t="e">
        <f t="shared" si="2"/>
        <v>#VALUE!</v>
      </c>
      <c r="L6" s="716"/>
      <c r="M6" s="718"/>
      <c r="O6" s="708"/>
      <c r="P6" s="708"/>
      <c r="Q6" s="708"/>
    </row>
    <row r="7" spans="1:17">
      <c r="B7" s="61" t="s">
        <v>92</v>
      </c>
      <c r="C7" s="704"/>
      <c r="D7" s="713"/>
      <c r="E7" s="57" t="str">
        <f>'Waste_Pre-Processing'!O20</f>
        <v/>
      </c>
      <c r="F7" s="168" t="e">
        <f>F8/E8</f>
        <v>#VALUE!</v>
      </c>
      <c r="G7" s="60">
        <f>'Waste_Pre-Processing'!V46</f>
        <v>0</v>
      </c>
      <c r="H7" s="58" t="e">
        <f t="shared" si="0"/>
        <v>#VALUE!</v>
      </c>
      <c r="I7" s="313" t="str">
        <f>'Waste_Pre-Processing'!R20</f>
        <v/>
      </c>
      <c r="J7" s="57" t="e">
        <f>J8*I7</f>
        <v>#VALUE!</v>
      </c>
      <c r="K7" s="59" t="e">
        <f t="shared" si="2"/>
        <v>#VALUE!</v>
      </c>
      <c r="L7" s="716"/>
      <c r="M7" s="718"/>
      <c r="O7" s="708"/>
      <c r="P7" s="708"/>
      <c r="Q7" s="708"/>
    </row>
    <row r="8" spans="1:17">
      <c r="B8" s="61" t="s">
        <v>93</v>
      </c>
      <c r="C8" s="705"/>
      <c r="D8" s="714"/>
      <c r="E8" s="57" t="str">
        <f>Waste_Further_Transport!O20</f>
        <v/>
      </c>
      <c r="F8" s="168" t="e">
        <f>F9/E9</f>
        <v>#VALUE!</v>
      </c>
      <c r="G8" s="60">
        <f>Waste_Further_Transport!V33</f>
        <v>0</v>
      </c>
      <c r="H8" s="58" t="e">
        <f t="shared" si="0"/>
        <v>#VALUE!</v>
      </c>
      <c r="I8" s="313" t="str">
        <f>Waste_Further_Transport!R20</f>
        <v/>
      </c>
      <c r="J8" s="57" t="e">
        <f>J9*I8</f>
        <v>#VALUE!</v>
      </c>
      <c r="K8" s="59" t="e">
        <f t="shared" si="2"/>
        <v>#VALUE!</v>
      </c>
      <c r="L8" s="716"/>
      <c r="M8" s="719"/>
      <c r="O8" s="709"/>
      <c r="P8" s="709"/>
      <c r="Q8" s="709"/>
    </row>
    <row r="9" spans="1:17">
      <c r="B9" s="703" t="s">
        <v>1013</v>
      </c>
      <c r="C9" s="61" t="s">
        <v>129</v>
      </c>
      <c r="D9" s="311" t="str">
        <f>IF(Initial_questions!E$114="", IF(Initial_questions!E$112="", "User to enter in Initial Qus", Initial_questions!E$112), Initial_questions!E$114)</f>
        <v>User to enter in Initial Qus</v>
      </c>
      <c r="E9" s="683" t="str">
        <f>Waste_Gasification_CCS!O9</f>
        <v/>
      </c>
      <c r="F9" s="686">
        <v>1</v>
      </c>
      <c r="G9" s="60">
        <f>Waste_Gasification_CCS!V20</f>
        <v>0</v>
      </c>
      <c r="H9" s="58">
        <f>G9*$F$9</f>
        <v>0</v>
      </c>
      <c r="I9" s="726" t="str">
        <f>Waste_Gasification_CCS!R9</f>
        <v/>
      </c>
      <c r="J9" s="683" t="str">
        <f>I9</f>
        <v/>
      </c>
      <c r="K9" s="59" t="e">
        <f>H9*$J$9</f>
        <v>#VALUE!</v>
      </c>
      <c r="L9" s="168" t="str" cm="1">
        <f t="array" ref="L9">IF(Initial_questions!$E$111="No", "Feedstock does not match default", IF(OR(Path=Units!$B$101:$B$102),'Default data'!$D$38,"Pathway not chosen"))</f>
        <v>Pathway not chosen</v>
      </c>
      <c r="M9" s="312" t="e">
        <f>IF(D9="Default",L9,K9)</f>
        <v>#VALUE!</v>
      </c>
      <c r="O9" s="163" t="str">
        <f>IF(Path=Units!$B$101,'Default data'!E$38,IF(Path=Units!$B$102, "Pathway not available from LCA tool","Pathway not chosen"))</f>
        <v>Pathway not chosen</v>
      </c>
      <c r="P9" s="163" t="str">
        <f>IF(Path=Units!$B$101,'Default data'!F$38,IF(Path=Units!$B$102, "Pathway not available from LCA tool","Pathway not chosen"))</f>
        <v>Pathway not chosen</v>
      </c>
      <c r="Q9" s="163" t="str">
        <f>IF(Path=Units!$B$101,'Default data'!G$38,IF(Path=Units!$B$102, "Pathway not available from LCA tool","Pathway not chosen"))</f>
        <v>Pathway not chosen</v>
      </c>
    </row>
    <row r="10" spans="1:17">
      <c r="B10" s="704"/>
      <c r="C10" s="61" t="s">
        <v>130</v>
      </c>
      <c r="D10" s="311" t="str">
        <f>IF(Initial_questions!E$115="", IF(Initial_questions!E$112="", "User to enter in Initial Qus", Initial_questions!E$112), Initial_questions!E$115)</f>
        <v>User to enter in Initial Qus</v>
      </c>
      <c r="E10" s="684"/>
      <c r="F10" s="687"/>
      <c r="G10" s="60">
        <f>Waste_Gasification_CCS!V33</f>
        <v>0</v>
      </c>
      <c r="H10" s="58">
        <f t="shared" ref="H10:H14" si="3">G10*$F$9</f>
        <v>0</v>
      </c>
      <c r="I10" s="727"/>
      <c r="J10" s="684"/>
      <c r="K10" s="59" t="e">
        <f t="shared" ref="K10:K14" si="4">H10*$J$9</f>
        <v>#VALUE!</v>
      </c>
      <c r="L10" s="168" t="str" cm="1">
        <f t="array" ref="L10">IF(Initial_questions!$E$111="No", "Feedstock does not match default", IF(OR(Path=Units!$B$101:$B$102),'Default data'!$D$54,"Pathway not chosen"))</f>
        <v>Pathway not chosen</v>
      </c>
      <c r="M10" s="312" t="e">
        <f>IF(D10="Default",L10,K10)</f>
        <v>#VALUE!</v>
      </c>
      <c r="O10" s="163" t="str">
        <f>IF(Path=Units!$B$101,'Default data'!$E$54,IF(Path=Units!$B$102, "Pathway not available from LCA tool","Pathway not chosen"))</f>
        <v>Pathway not chosen</v>
      </c>
      <c r="P10" s="163" t="str">
        <f>IF(Path=Units!$B$101,'Default data'!$E$54,IF(Path=Units!$B$102, "Pathway not available from LCA tool","Pathway not chosen"))</f>
        <v>Pathway not chosen</v>
      </c>
      <c r="Q10" s="163" t="str">
        <f>IF(Path=Units!$B$101,'Default data'!$E$54,IF(Path=Units!$B$102, "Pathway not available from LCA tool","Pathway not chosen"))</f>
        <v>Pathway not chosen</v>
      </c>
    </row>
    <row r="11" spans="1:17" ht="16.5">
      <c r="B11" s="704"/>
      <c r="C11" s="61" t="s">
        <v>963</v>
      </c>
      <c r="D11" s="61" t="s">
        <v>964</v>
      </c>
      <c r="E11" s="684"/>
      <c r="F11" s="687"/>
      <c r="G11" s="60">
        <f>Waste_Gasification_CCS!V46</f>
        <v>0</v>
      </c>
      <c r="H11" s="58">
        <f>G11*$F$9</f>
        <v>0</v>
      </c>
      <c r="I11" s="727"/>
      <c r="J11" s="684"/>
      <c r="K11" s="59" t="e">
        <f t="shared" si="4"/>
        <v>#VALUE!</v>
      </c>
      <c r="L11" s="56" t="s">
        <v>563</v>
      </c>
      <c r="M11" s="312" t="e">
        <f>IF(D11="Default",L11,K11)</f>
        <v>#VALUE!</v>
      </c>
      <c r="O11" s="163" t="str">
        <f>IF(Path=Units!$B$101,'Default data'!$E$70,IF(Path=Units!$B$102, "Pathway not available from LCA tool","Pathway not chosen"))</f>
        <v>Pathway not chosen</v>
      </c>
      <c r="P11" s="163" t="str">
        <f>IF(Path=Units!$B$101,'Default data'!$E$70,IF(Path=Units!$B$102, "Pathway not available from LCA tool","Pathway not chosen"))</f>
        <v>Pathway not chosen</v>
      </c>
      <c r="Q11" s="163" t="str">
        <f>IF(Path=Units!$B$101,'Default data'!$E$70,IF(Path=Units!$B$102, "Pathway not available from LCA tool","Pathway not chosen"))</f>
        <v>Pathway not chosen</v>
      </c>
    </row>
    <row r="12" spans="1:17" ht="16.5">
      <c r="B12" s="704"/>
      <c r="C12" s="93" t="s">
        <v>965</v>
      </c>
      <c r="D12" s="61" t="s">
        <v>964</v>
      </c>
      <c r="E12" s="684"/>
      <c r="F12" s="687"/>
      <c r="G12" s="60">
        <f>Waste_Gasification_CCS!V64</f>
        <v>0</v>
      </c>
      <c r="H12" s="58">
        <f t="shared" si="3"/>
        <v>0</v>
      </c>
      <c r="I12" s="727"/>
      <c r="J12" s="684"/>
      <c r="K12" s="59" t="e">
        <f t="shared" si="4"/>
        <v>#VALUE!</v>
      </c>
      <c r="L12" s="56" t="s">
        <v>563</v>
      </c>
      <c r="M12" s="312" t="e">
        <f>IF(D12="Default",L12,K12)</f>
        <v>#VALUE!</v>
      </c>
      <c r="O12" s="163" t="str">
        <f>IF(Path=Units!$B$101,'Default data'!$E$86,IF(Path=Units!$B$102, "Pathway not available from LCA tool","Pathway not chosen"))</f>
        <v>Pathway not chosen</v>
      </c>
      <c r="P12" s="163" t="str">
        <f>IF(Path=Units!$B$101,'Default data'!$E$86,IF(Path=Units!$B$102, "Pathway not available from LCA tool","Pathway not chosen"))</f>
        <v>Pathway not chosen</v>
      </c>
      <c r="Q12" s="163" t="str">
        <f>IF(Path=Units!$B$101,'Default data'!$E$86,IF(Path=Units!$B$102, "Pathway not available from LCA tool","Pathway not chosen"))</f>
        <v>Pathway not chosen</v>
      </c>
    </row>
    <row r="13" spans="1:17" ht="16.5">
      <c r="B13" s="704"/>
      <c r="C13" s="93" t="s">
        <v>966</v>
      </c>
      <c r="D13" s="61" t="s">
        <v>964</v>
      </c>
      <c r="E13" s="684"/>
      <c r="F13" s="687"/>
      <c r="G13" s="60">
        <f>Waste_Gasification_CCS!V73</f>
        <v>0</v>
      </c>
      <c r="H13" s="58">
        <f t="shared" si="3"/>
        <v>0</v>
      </c>
      <c r="I13" s="727"/>
      <c r="J13" s="684"/>
      <c r="K13" s="59" t="e">
        <f t="shared" si="4"/>
        <v>#VALUE!</v>
      </c>
      <c r="L13" s="56" t="s">
        <v>563</v>
      </c>
      <c r="M13" s="312" t="e">
        <f t="shared" ref="M13" si="5">IF(D13="Default",L13,K13)</f>
        <v>#VALUE!</v>
      </c>
      <c r="O13" s="163" t="str">
        <f>IF(Path=Units!$B$101,'Default data'!$E$102,IF(Path=Units!$B$102, "Pathway not available from LCA tool","Pathway not chosen"))</f>
        <v>Pathway not chosen</v>
      </c>
      <c r="P13" s="163" t="str">
        <f>IF(Path=Units!$B$101,'Default data'!$E$102,IF(Path=Units!$B$102, "Pathway not available from LCA tool","Pathway not chosen"))</f>
        <v>Pathway not chosen</v>
      </c>
      <c r="Q13" s="163" t="str">
        <f>IF(Path=Units!$B$101,'Default data'!$E$102,IF(Path=Units!$B$102, "Pathway not available from LCA tool","Pathway not chosen"))</f>
        <v>Pathway not chosen</v>
      </c>
    </row>
    <row r="14" spans="1:17" ht="16.5">
      <c r="B14" s="705"/>
      <c r="C14" s="61" t="s">
        <v>967</v>
      </c>
      <c r="D14" s="61" t="s">
        <v>964</v>
      </c>
      <c r="E14" s="685"/>
      <c r="F14" s="688"/>
      <c r="G14" s="60">
        <f>Waste_Gasification_CCS!V91</f>
        <v>0</v>
      </c>
      <c r="H14" s="58">
        <f t="shared" si="3"/>
        <v>0</v>
      </c>
      <c r="I14" s="728"/>
      <c r="J14" s="685"/>
      <c r="K14" s="59" t="e">
        <f t="shared" si="4"/>
        <v>#VALUE!</v>
      </c>
      <c r="L14" s="56" t="s">
        <v>563</v>
      </c>
      <c r="M14" s="312" t="e">
        <f>IF(D14="Default",L14,K14)</f>
        <v>#VALUE!</v>
      </c>
      <c r="O14" s="163" t="str">
        <f>IF(Path=Units!$B$101,'Default data'!$E$118,IF(Path=Units!$B$102, "Pathway not available from LCA tool","Pathway not chosen"))</f>
        <v>Pathway not chosen</v>
      </c>
      <c r="P14" s="163" t="str">
        <f>IF(Path=Units!$B$101,'Default data'!$E$118,IF(Path=Units!$B$102, "Pathway not available from LCA tool","Pathway not chosen"))</f>
        <v>Pathway not chosen</v>
      </c>
      <c r="Q14" s="163" t="str">
        <f>IF(Path=Units!$B$101,'Default data'!$E$118,IF(Path=Units!$B$102, "Pathway not available from LCA tool","Pathway not chosen"))</f>
        <v>Pathway not chosen</v>
      </c>
    </row>
    <row r="15" spans="1:17" ht="29.1">
      <c r="B15" s="61" t="s">
        <v>968</v>
      </c>
      <c r="C15" s="692" t="s">
        <v>969</v>
      </c>
      <c r="D15" s="540" t="s">
        <v>970</v>
      </c>
      <c r="E15" s="28"/>
      <c r="F15" s="28"/>
      <c r="G15" s="28"/>
      <c r="H15" s="28"/>
      <c r="I15" s="28"/>
      <c r="J15" s="28"/>
      <c r="K15" s="28"/>
      <c r="L15" s="518" t="str">
        <f>'Typical data'!$D$389</f>
        <v>Yet to provide pressure or electricity source</v>
      </c>
      <c r="M15" s="517" t="str">
        <f>L15</f>
        <v>Yet to provide pressure or electricity source</v>
      </c>
      <c r="O15" s="163" t="s">
        <v>971</v>
      </c>
      <c r="P15" s="163" t="s">
        <v>971</v>
      </c>
      <c r="Q15" s="163" t="s">
        <v>971</v>
      </c>
    </row>
    <row r="16" spans="1:17" ht="29.1">
      <c r="B16" s="61" t="s">
        <v>972</v>
      </c>
      <c r="C16" s="693"/>
      <c r="D16" s="540" t="s">
        <v>973</v>
      </c>
      <c r="E16" s="28"/>
      <c r="F16" s="28"/>
      <c r="G16" s="28"/>
      <c r="H16" s="28"/>
      <c r="I16" s="28"/>
      <c r="J16" s="28"/>
      <c r="K16" s="28"/>
      <c r="L16" s="519" t="str">
        <f>'Typical data'!$D$407</f>
        <v>Yet to provide electricity source</v>
      </c>
      <c r="M16" s="517" t="str">
        <f>L16</f>
        <v>Yet to provide electricity source</v>
      </c>
      <c r="O16" s="163" t="s">
        <v>971</v>
      </c>
      <c r="P16" s="163" t="s">
        <v>971</v>
      </c>
      <c r="Q16" s="163" t="s">
        <v>971</v>
      </c>
    </row>
    <row r="17" spans="2:17">
      <c r="O17" s="273"/>
    </row>
    <row r="18" spans="2:17" ht="18.600000000000001">
      <c r="B18" s="97" t="s">
        <v>974</v>
      </c>
      <c r="C18" s="98"/>
      <c r="D18" s="98"/>
      <c r="E18" s="99">
        <f>PRODUCT(E5:E16)</f>
        <v>0</v>
      </c>
      <c r="F18" s="100"/>
      <c r="G18" s="100"/>
      <c r="H18" s="100"/>
      <c r="I18" s="101"/>
      <c r="J18" s="101"/>
      <c r="K18" s="101"/>
      <c r="L18" s="101"/>
      <c r="M18" s="102" t="str">
        <f>IF(COUNTIF(M5:M16,"*")&gt;0,"Pathway not chosen",SUM(M5:M16))</f>
        <v>Pathway not chosen</v>
      </c>
      <c r="O18" s="163" t="str">
        <f>IF(Path=Units!$B$101,'Default data'!E$150,IF(Path=Units!$B$102, "Pathway not available from LCA tool","Pathway not chosen"))</f>
        <v>Pathway not chosen</v>
      </c>
      <c r="P18" s="163" t="str">
        <f>IF(Path=Units!$B$101,'Default data'!F$150,IF(Path=Units!$B$102, "Pathway not available from LCA tool","Pathway not chosen"))</f>
        <v>Pathway not chosen</v>
      </c>
      <c r="Q18" s="163" t="str">
        <f>IF(Path=Units!$B$101,'Default data'!G$150,IF(Path=Units!$B$102, "Pathway not available from LCA tool","Pathway not chosen"))</f>
        <v>Pathway not chosen</v>
      </c>
    </row>
    <row r="19" spans="2:17" ht="18.600000000000001">
      <c r="B19" s="97" t="s">
        <v>975</v>
      </c>
      <c r="C19" s="98"/>
      <c r="D19" s="98"/>
      <c r="E19" s="101"/>
      <c r="F19" s="101"/>
      <c r="G19" s="101"/>
      <c r="H19" s="101"/>
      <c r="I19" s="101"/>
      <c r="J19" s="101"/>
      <c r="K19" s="101"/>
      <c r="L19" s="101"/>
      <c r="M19" s="103">
        <v>20</v>
      </c>
      <c r="O19" s="706" t="s">
        <v>1014</v>
      </c>
      <c r="P19" s="706"/>
      <c r="Q19" s="706"/>
    </row>
    <row r="20" spans="2:17" ht="14.45" customHeight="1">
      <c r="O20" s="706"/>
      <c r="P20" s="706"/>
      <c r="Q20" s="706"/>
    </row>
    <row r="21" spans="2:17">
      <c r="O21" s="706"/>
      <c r="P21" s="706"/>
      <c r="Q21" s="706"/>
    </row>
    <row r="22" spans="2:17">
      <c r="O22" s="90"/>
    </row>
    <row r="23" spans="2:17" s="277" customFormat="1">
      <c r="B23" s="276" t="s">
        <v>1015</v>
      </c>
      <c r="C23" s="276"/>
      <c r="O23" s="278"/>
    </row>
    <row r="25" spans="2:17" ht="84.6" customHeight="1">
      <c r="B25" s="106" t="s">
        <v>948</v>
      </c>
      <c r="C25" s="106" t="s">
        <v>949</v>
      </c>
      <c r="D25" s="106" t="s">
        <v>950</v>
      </c>
      <c r="E25" s="106" t="s">
        <v>951</v>
      </c>
      <c r="F25" s="106" t="s">
        <v>952</v>
      </c>
      <c r="G25" s="106" t="s">
        <v>953</v>
      </c>
      <c r="H25" s="106" t="s">
        <v>954</v>
      </c>
      <c r="I25" s="106" t="s">
        <v>955</v>
      </c>
      <c r="J25" s="106" t="s">
        <v>956</v>
      </c>
      <c r="K25" s="106" t="s">
        <v>957</v>
      </c>
      <c r="L25" s="106" t="s">
        <v>958</v>
      </c>
      <c r="M25" s="106" t="s">
        <v>959</v>
      </c>
      <c r="O25" s="173" t="s">
        <v>1016</v>
      </c>
      <c r="P25" s="173" t="s">
        <v>1017</v>
      </c>
      <c r="Q25" s="173" t="s">
        <v>1018</v>
      </c>
    </row>
    <row r="26" spans="2:17">
      <c r="B26" s="61" t="s">
        <v>89</v>
      </c>
      <c r="C26" s="93" t="s">
        <v>1019</v>
      </c>
      <c r="D26" s="93" t="s">
        <v>964</v>
      </c>
      <c r="E26" s="560" t="s">
        <v>563</v>
      </c>
      <c r="F26" s="168" t="e">
        <f>F27</f>
        <v>#VALUE!</v>
      </c>
      <c r="G26" s="60">
        <f>IF(OR(Initial_questions!E$21="Waste Gasification with CCS",Initial_questions!E$21="Waste Gasification without CCS"),Waste_Fossil_Counterfactual!$C$8*Waste_Fossil_Counterfactual!$C$9-Waste_Fossil_Counterfactual!$C$10,0)</f>
        <v>0</v>
      </c>
      <c r="H26" s="58" t="e">
        <f>G26*F26</f>
        <v>#VALUE!</v>
      </c>
      <c r="I26" s="313" t="str">
        <f>IF(OR(Initial_questions!E$21="Waste Gasification with CCS",Initial_questions!E$21="Waste Gasification without CCS"),100%,"")</f>
        <v/>
      </c>
      <c r="J26" s="564" t="e">
        <f>J27*I26</f>
        <v>#VALUE!</v>
      </c>
      <c r="K26" s="59" t="e">
        <f>H26*J26</f>
        <v>#VALUE!</v>
      </c>
      <c r="L26" s="56" t="s">
        <v>563</v>
      </c>
      <c r="M26" s="312" t="e">
        <f>IF(D26="Default",L26,K26)</f>
        <v>#VALUE!</v>
      </c>
      <c r="O26" s="163" t="e" cm="1">
        <f t="array" ref="O26">IFERROR(INDEX(Proj_grid_intensity,MATCH(Operations_year,Proj_grid_year,0))/Conversion_kWh_to_MJ,"Yet to provide year")*22%/$E$40</f>
        <v>#VALUE!</v>
      </c>
      <c r="P26" s="163" t="e" cm="1">
        <f t="array" ref="P26">IFERROR(INDEX(Proj_grid_intensity,MATCH(Operations_year,Proj_grid_year,0))/Conversion_kWh_to_MJ,"Yet to provide year")*22%/$E$40</f>
        <v>#VALUE!</v>
      </c>
      <c r="Q26" s="163" t="e" cm="1">
        <f t="array" ref="Q26">IFERROR(INDEX(Proj_grid_intensity,MATCH(Operations_year,Proj_grid_year,0))/Conversion_kWh_to_MJ,"Yet to provide year")*22%/$E$40</f>
        <v>#VALUE!</v>
      </c>
    </row>
    <row r="27" spans="2:17">
      <c r="B27" s="61" t="s">
        <v>90</v>
      </c>
      <c r="C27" s="703" t="s">
        <v>990</v>
      </c>
      <c r="D27" s="712" t="str">
        <f>IF(Initial_questions!E$113="", IF(Initial_questions!E$112="", "User to enter in Initial Qus", Initial_questions!E$112), Initial_questions!E$113)</f>
        <v>User to enter in Initial Qus</v>
      </c>
      <c r="E27" s="57" t="str">
        <f>Waste_Collection!O20</f>
        <v>NA</v>
      </c>
      <c r="F27" s="168" t="e">
        <f>F28/E28</f>
        <v>#VALUE!</v>
      </c>
      <c r="G27" s="60">
        <f>Waste_Collection!V33</f>
        <v>0</v>
      </c>
      <c r="H27" s="58" t="e">
        <f t="shared" ref="H27:H30" si="6">G27*F27</f>
        <v>#VALUE!</v>
      </c>
      <c r="I27" s="313" t="str">
        <f>Waste_Collection!R20</f>
        <v/>
      </c>
      <c r="J27" s="57" t="e">
        <f t="shared" ref="J27:J28" si="7">J28*I27</f>
        <v>#VALUE!</v>
      </c>
      <c r="K27" s="59" t="e">
        <f t="shared" ref="K27:K30" si="8">H27*J27</f>
        <v>#VALUE!</v>
      </c>
      <c r="L27" s="715" t="str" cm="1">
        <f t="array" ref="L27">IF(Initial_questions!$E$111="No", "Feedstock does not match default", IF(OR(Path=Units!$B$101:$B$102),'Default data'!$D$23,"Pathway not chosen"))</f>
        <v>Pathway not chosen</v>
      </c>
      <c r="M27" s="717" t="e">
        <f>MAX(0,IF($D$27="Default",L27,SUM(K27:K30)))</f>
        <v>#VALUE!</v>
      </c>
      <c r="O27" s="707" t="str">
        <f>IF(Path=Units!$B$101,'Default data'!E$23,IF(Path=Units!$B$102, "Pathway not available from LCA tool","Pathway not chosen"))</f>
        <v>Pathway not chosen</v>
      </c>
      <c r="P27" s="707" t="str">
        <f>IF(Path=Units!$B$101,'Default data'!F$23,IF(Path=Units!$B$102, "Pathway not available from LCA tool","Pathway not chosen"))</f>
        <v>Pathway not chosen</v>
      </c>
      <c r="Q27" s="707" t="str">
        <f>IF(Path=Units!$B$101,'Default data'!G$23,IF(Path=Units!$B$102, "Pathway not available from LCA tool","Pathway not chosen"))</f>
        <v>Pathway not chosen</v>
      </c>
    </row>
    <row r="28" spans="2:17">
      <c r="B28" s="61" t="s">
        <v>91</v>
      </c>
      <c r="C28" s="704"/>
      <c r="D28" s="713"/>
      <c r="E28" s="57" t="str">
        <f>Waste_Transport!O20</f>
        <v/>
      </c>
      <c r="F28" s="168" t="e">
        <f>F29/E29</f>
        <v>#VALUE!</v>
      </c>
      <c r="G28" s="60">
        <f>Waste_Transport!V33</f>
        <v>0</v>
      </c>
      <c r="H28" s="58" t="e">
        <f t="shared" si="6"/>
        <v>#VALUE!</v>
      </c>
      <c r="I28" s="313" t="str">
        <f>Waste_Transport!R20</f>
        <v/>
      </c>
      <c r="J28" s="57" t="e">
        <f t="shared" si="7"/>
        <v>#VALUE!</v>
      </c>
      <c r="K28" s="59" t="e">
        <f t="shared" si="8"/>
        <v>#VALUE!</v>
      </c>
      <c r="L28" s="716"/>
      <c r="M28" s="718"/>
      <c r="O28" s="708"/>
      <c r="P28" s="708"/>
      <c r="Q28" s="708"/>
    </row>
    <row r="29" spans="2:17">
      <c r="B29" s="61" t="s">
        <v>92</v>
      </c>
      <c r="C29" s="704"/>
      <c r="D29" s="713"/>
      <c r="E29" s="57" t="str">
        <f>'Waste_Pre-Processing'!O20</f>
        <v/>
      </c>
      <c r="F29" s="168" t="e">
        <f>F30/E30</f>
        <v>#VALUE!</v>
      </c>
      <c r="G29" s="60">
        <f>'Waste_Pre-Processing'!V47</f>
        <v>0</v>
      </c>
      <c r="H29" s="58" t="e">
        <f t="shared" si="6"/>
        <v>#VALUE!</v>
      </c>
      <c r="I29" s="313" t="str">
        <f>'Waste_Pre-Processing'!R20</f>
        <v/>
      </c>
      <c r="J29" s="57" t="e">
        <f>J30*I29</f>
        <v>#VALUE!</v>
      </c>
      <c r="K29" s="59" t="e">
        <f t="shared" si="8"/>
        <v>#VALUE!</v>
      </c>
      <c r="L29" s="716"/>
      <c r="M29" s="718"/>
      <c r="O29" s="708"/>
      <c r="P29" s="708"/>
      <c r="Q29" s="708"/>
    </row>
    <row r="30" spans="2:17">
      <c r="B30" s="61" t="s">
        <v>93</v>
      </c>
      <c r="C30" s="705"/>
      <c r="D30" s="714"/>
      <c r="E30" s="57" t="str">
        <f>Waste_Further_Transport!O20</f>
        <v/>
      </c>
      <c r="F30" s="168" t="e">
        <f>F31/E31</f>
        <v>#VALUE!</v>
      </c>
      <c r="G30" s="60">
        <f>Waste_Further_Transport!V33</f>
        <v>0</v>
      </c>
      <c r="H30" s="58" t="e">
        <f t="shared" si="6"/>
        <v>#VALUE!</v>
      </c>
      <c r="I30" s="313" t="str">
        <f>Waste_Further_Transport!R20</f>
        <v/>
      </c>
      <c r="J30" s="57" t="e">
        <f>J31*I30</f>
        <v>#VALUE!</v>
      </c>
      <c r="K30" s="59" t="e">
        <f t="shared" si="8"/>
        <v>#VALUE!</v>
      </c>
      <c r="L30" s="716"/>
      <c r="M30" s="719"/>
      <c r="O30" s="709"/>
      <c r="P30" s="709"/>
      <c r="Q30" s="709"/>
    </row>
    <row r="31" spans="2:17">
      <c r="B31" s="703" t="s">
        <v>1020</v>
      </c>
      <c r="C31" s="61" t="s">
        <v>129</v>
      </c>
      <c r="D31" s="311" t="str">
        <f>IF(Initial_questions!E$114="", IF(Initial_questions!E$112="", "User to enter in Initial Qus", Initial_questions!E$112), Initial_questions!E$114)</f>
        <v>User to enter in Initial Qus</v>
      </c>
      <c r="E31" s="683" t="str">
        <f>Waste_Gasification_CCS!O9</f>
        <v/>
      </c>
      <c r="F31" s="686">
        <v>1</v>
      </c>
      <c r="G31" s="60">
        <f>Waste_Gasification_CCS!V20</f>
        <v>0</v>
      </c>
      <c r="H31" s="58">
        <f>G31*$F$31</f>
        <v>0</v>
      </c>
      <c r="I31" s="726" t="str">
        <f>Waste_Gasification_CCS!R9</f>
        <v/>
      </c>
      <c r="J31" s="683" t="str">
        <f>I31</f>
        <v/>
      </c>
      <c r="K31" s="59" t="e">
        <f>H31*$J$31</f>
        <v>#VALUE!</v>
      </c>
      <c r="L31" s="168" t="str" cm="1">
        <f t="array" ref="L31">IF(Initial_questions!$E$111="No", "Feedstock does not match default", IF(OR(Path=Units!$B$101:$B$102),'Default data'!$D$39,"Pathway not chosen"))</f>
        <v>Pathway not chosen</v>
      </c>
      <c r="M31" s="312" t="e">
        <f>IF(D31="Default",L31,K31)</f>
        <v>#VALUE!</v>
      </c>
      <c r="O31" s="163" t="str">
        <f>IF(Path=Units!$B$101,'Default data'!E$39,IF(Path=Units!$B$102, "Pathway not available from LCA tool","Pathway not chosen"))</f>
        <v>Pathway not chosen</v>
      </c>
      <c r="P31" s="163" t="str">
        <f>IF(Path=Units!$B$101,'Default data'!F$39,IF(Path=Units!$B$102, "Pathway not available from LCA tool","Pathway not chosen"))</f>
        <v>Pathway not chosen</v>
      </c>
      <c r="Q31" s="163" t="str">
        <f>IF(Path=Units!$B$101,'Default data'!G$39,IF(Path=Units!$B$102, "Pathway not available from LCA tool","Pathway not chosen"))</f>
        <v>Pathway not chosen</v>
      </c>
    </row>
    <row r="32" spans="2:17">
      <c r="B32" s="704"/>
      <c r="C32" s="61" t="s">
        <v>130</v>
      </c>
      <c r="D32" s="311" t="str">
        <f>IF(Initial_questions!E$115="", IF(Initial_questions!E$112="", "User to enter in Initial Qus", Initial_questions!E$112), Initial_questions!E$115)</f>
        <v>User to enter in Initial Qus</v>
      </c>
      <c r="E32" s="684"/>
      <c r="F32" s="687"/>
      <c r="G32" s="60">
        <f>Waste_Gasification_CCS!V33</f>
        <v>0</v>
      </c>
      <c r="H32" s="58">
        <f t="shared" ref="H32:H36" si="9">G32*$F$31</f>
        <v>0</v>
      </c>
      <c r="I32" s="727"/>
      <c r="J32" s="684"/>
      <c r="K32" s="59" t="e">
        <f t="shared" ref="K32:K36" si="10">H32*$J$31</f>
        <v>#VALUE!</v>
      </c>
      <c r="L32" s="168" t="str" cm="1">
        <f t="array" ref="L32">IF(Initial_questions!$E$111="No", "Feedstock does not match default", IF(OR(Path=Units!$B$101:$B$102),'Default data'!$D$55,"Pathway not chosen"))</f>
        <v>Pathway not chosen</v>
      </c>
      <c r="M32" s="312" t="e">
        <f>IF(D32="Default",L32,K32)</f>
        <v>#VALUE!</v>
      </c>
      <c r="O32" s="163" t="str">
        <f>IF(Path=Units!$B$101,'Default data'!E$55,IF(Path=Units!$B$102, "Pathway not available from LCA tool","Pathway not chosen"))</f>
        <v>Pathway not chosen</v>
      </c>
      <c r="P32" s="163" t="str">
        <f>IF(Path=Units!$B$101,'Default data'!F$55,IF(Path=Units!$B$102, "Pathway not available from LCA tool","Pathway not chosen"))</f>
        <v>Pathway not chosen</v>
      </c>
      <c r="Q32" s="163" t="str">
        <f>IF(Path=Units!$B$101,'Default data'!G$55,IF(Path=Units!$B$102, "Pathway not available from LCA tool","Pathway not chosen"))</f>
        <v>Pathway not chosen</v>
      </c>
    </row>
    <row r="33" spans="2:17" ht="16.5">
      <c r="B33" s="704"/>
      <c r="C33" s="61" t="s">
        <v>963</v>
      </c>
      <c r="D33" s="61" t="s">
        <v>964</v>
      </c>
      <c r="E33" s="684"/>
      <c r="F33" s="687"/>
      <c r="G33" s="60">
        <f>Waste_Gasification_CCS!V52</f>
        <v>0</v>
      </c>
      <c r="H33" s="58">
        <f>G33*$F$31</f>
        <v>0</v>
      </c>
      <c r="I33" s="727"/>
      <c r="J33" s="684"/>
      <c r="K33" s="59" t="e">
        <f t="shared" si="10"/>
        <v>#VALUE!</v>
      </c>
      <c r="L33" s="56" t="s">
        <v>563</v>
      </c>
      <c r="M33" s="312" t="e">
        <f>IF(D33="Default",L33,K33)</f>
        <v>#VALUE!</v>
      </c>
      <c r="O33" s="163" t="str">
        <f>IF(Path=Units!$B$101,'Default data'!E$71,IF(Path=Units!$B$102, "Pathway not available from LCA tool","Pathway not chosen"))</f>
        <v>Pathway not chosen</v>
      </c>
      <c r="P33" s="163" t="str">
        <f>IF(Path=Units!$B$101,'Default data'!F$71,IF(Path=Units!$B$102, "Pathway not available from LCA tool","Pathway not chosen"))</f>
        <v>Pathway not chosen</v>
      </c>
      <c r="Q33" s="163" t="str">
        <f>IF(Path=Units!$B$101,'Default data'!G$71,IF(Path=Units!$B$102, "Pathway not available from LCA tool","Pathway not chosen"))</f>
        <v>Pathway not chosen</v>
      </c>
    </row>
    <row r="34" spans="2:17" ht="16.5">
      <c r="B34" s="704"/>
      <c r="C34" s="93" t="s">
        <v>965</v>
      </c>
      <c r="D34" s="61" t="s">
        <v>964</v>
      </c>
      <c r="E34" s="684"/>
      <c r="F34" s="687"/>
      <c r="G34" s="60">
        <f>Waste_Gasification_CCS!V64</f>
        <v>0</v>
      </c>
      <c r="H34" s="58">
        <f t="shared" si="9"/>
        <v>0</v>
      </c>
      <c r="I34" s="727"/>
      <c r="J34" s="684"/>
      <c r="K34" s="59" t="e">
        <f t="shared" si="10"/>
        <v>#VALUE!</v>
      </c>
      <c r="L34" s="56" t="s">
        <v>563</v>
      </c>
      <c r="M34" s="312" t="e">
        <f>IF(D34="Default",L34,K34)</f>
        <v>#VALUE!</v>
      </c>
      <c r="O34" s="163" t="str">
        <f>IF(Path=Units!$B$101,'Default data'!E$87,IF(Path=Units!$B$102, "Pathway not available from LCA tool","Pathway not chosen"))</f>
        <v>Pathway not chosen</v>
      </c>
      <c r="P34" s="163" t="str">
        <f>IF(Path=Units!$B$101,'Default data'!F$87,IF(Path=Units!$B$102, "Pathway not available from LCA tool","Pathway not chosen"))</f>
        <v>Pathway not chosen</v>
      </c>
      <c r="Q34" s="163" t="str">
        <f>IF(Path=Units!$B$101,'Default data'!G$87,IF(Path=Units!$B$102, "Pathway not available from LCA tool","Pathway not chosen"))</f>
        <v>Pathway not chosen</v>
      </c>
    </row>
    <row r="35" spans="2:17" ht="16.5">
      <c r="B35" s="704"/>
      <c r="C35" s="93" t="s">
        <v>966</v>
      </c>
      <c r="D35" s="61" t="s">
        <v>964</v>
      </c>
      <c r="E35" s="684"/>
      <c r="F35" s="687"/>
      <c r="G35" s="60">
        <f>Waste_Gasification_CCS!V79</f>
        <v>0</v>
      </c>
      <c r="H35" s="58">
        <f t="shared" si="9"/>
        <v>0</v>
      </c>
      <c r="I35" s="727"/>
      <c r="J35" s="684"/>
      <c r="K35" s="59" t="e">
        <f t="shared" si="10"/>
        <v>#VALUE!</v>
      </c>
      <c r="L35" s="56" t="s">
        <v>563</v>
      </c>
      <c r="M35" s="312" t="e">
        <f t="shared" ref="M35" si="11">IF(D35="Default",L35,K35)</f>
        <v>#VALUE!</v>
      </c>
      <c r="O35" s="163" t="str">
        <f>IF(Path=Units!$B$101,'Default data'!E$103,IF(Path=Units!$B$102, "Pathway not available from LCA tool","Pathway not chosen"))</f>
        <v>Pathway not chosen</v>
      </c>
      <c r="P35" s="163" t="str">
        <f>IF(Path=Units!$B$101,'Default data'!F$103,IF(Path=Units!$B$102, "Pathway not available from LCA tool","Pathway not chosen"))</f>
        <v>Pathway not chosen</v>
      </c>
      <c r="Q35" s="163" t="str">
        <f>IF(Path=Units!$B$101,'Default data'!G$103,IF(Path=Units!$B$102, "Pathway not available from LCA tool","Pathway not chosen"))</f>
        <v>Pathway not chosen</v>
      </c>
    </row>
    <row r="36" spans="2:17" ht="16.5">
      <c r="B36" s="705"/>
      <c r="C36" s="61" t="s">
        <v>967</v>
      </c>
      <c r="D36" s="61" t="s">
        <v>964</v>
      </c>
      <c r="E36" s="685"/>
      <c r="F36" s="688"/>
      <c r="G36" s="60">
        <f>Waste_Gasification_CCS!V91</f>
        <v>0</v>
      </c>
      <c r="H36" s="58">
        <f t="shared" si="9"/>
        <v>0</v>
      </c>
      <c r="I36" s="728"/>
      <c r="J36" s="685"/>
      <c r="K36" s="59" t="e">
        <f t="shared" si="10"/>
        <v>#VALUE!</v>
      </c>
      <c r="L36" s="56" t="s">
        <v>563</v>
      </c>
      <c r="M36" s="312" t="e">
        <f>IF(D36="Default",L36,K36)</f>
        <v>#VALUE!</v>
      </c>
      <c r="O36" s="163" t="str">
        <f>IF(Path=Units!$B$101,'Default data'!E$119,IF(Path=Units!$B$102, "Pathway not available from LCA tool","Pathway not chosen"))</f>
        <v>Pathway not chosen</v>
      </c>
      <c r="P36" s="163" t="str">
        <f>IF(Path=Units!$B$101,'Default data'!F$119,IF(Path=Units!$B$102, "Pathway not available from LCA tool","Pathway not chosen"))</f>
        <v>Pathway not chosen</v>
      </c>
      <c r="Q36" s="163" t="str">
        <f>IF(Path=Units!$B$101,'Default data'!G$119,IF(Path=Units!$B$102, "Pathway not available from LCA tool","Pathway not chosen"))</f>
        <v>Pathway not chosen</v>
      </c>
    </row>
    <row r="37" spans="2:17" ht="29.1" customHeight="1">
      <c r="B37" s="61" t="s">
        <v>968</v>
      </c>
      <c r="C37" s="692" t="s">
        <v>969</v>
      </c>
      <c r="D37" s="61" t="s">
        <v>1021</v>
      </c>
      <c r="E37" s="104"/>
      <c r="F37" s="104"/>
      <c r="G37" s="104"/>
      <c r="H37" s="104"/>
      <c r="I37" s="104"/>
      <c r="J37" s="104"/>
      <c r="K37" s="104"/>
      <c r="L37" s="518" t="str">
        <f>'Typical data'!$D$389</f>
        <v>Yet to provide pressure or electricity source</v>
      </c>
      <c r="M37" s="517" t="str">
        <f>L37</f>
        <v>Yet to provide pressure or electricity source</v>
      </c>
      <c r="O37" s="163" t="s">
        <v>971</v>
      </c>
      <c r="P37" s="163" t="s">
        <v>971</v>
      </c>
      <c r="Q37" s="163" t="s">
        <v>971</v>
      </c>
    </row>
    <row r="38" spans="2:17" ht="29.1">
      <c r="B38" s="61" t="s">
        <v>972</v>
      </c>
      <c r="C38" s="693"/>
      <c r="D38" s="61" t="s">
        <v>1022</v>
      </c>
      <c r="E38" s="104"/>
      <c r="F38" s="104"/>
      <c r="G38" s="104"/>
      <c r="H38" s="559"/>
      <c r="I38" s="104"/>
      <c r="J38" s="104"/>
      <c r="K38" s="104"/>
      <c r="L38" s="520" t="str">
        <f>'Typical data'!$D$407</f>
        <v>Yet to provide electricity source</v>
      </c>
      <c r="M38" s="517" t="str">
        <f>L38</f>
        <v>Yet to provide electricity source</v>
      </c>
      <c r="O38" s="163" t="s">
        <v>971</v>
      </c>
      <c r="P38" s="163" t="s">
        <v>971</v>
      </c>
      <c r="Q38" s="163" t="s">
        <v>971</v>
      </c>
    </row>
    <row r="40" spans="2:17" ht="18.600000000000001">
      <c r="B40" s="97" t="s">
        <v>974</v>
      </c>
      <c r="C40" s="98"/>
      <c r="D40" s="98"/>
      <c r="E40" s="99">
        <f>PRODUCT(E26:E38)</f>
        <v>0</v>
      </c>
      <c r="F40" s="100"/>
      <c r="G40" s="100"/>
      <c r="H40" s="100"/>
      <c r="I40" s="101"/>
      <c r="J40" s="101"/>
      <c r="K40" s="101"/>
      <c r="L40" s="101"/>
      <c r="M40" s="102" t="str">
        <f>IF(COUNTIF(M26:M38,"*")&gt;0,"Pathway not chosen",SUM(M26:M38))</f>
        <v>Pathway not chosen</v>
      </c>
      <c r="O40" s="163" t="e" cm="1">
        <f t="array" ref="O40">IF(Path=Units!$B$101,'Default data'!E$150,IF(Path=Units!$B$102, "Pathway not available from LCA tool","Pathway not chosen"))+IFERROR(INDEX(Proj_grid_intensity,MATCH(Operations_year,Proj_grid_year,0))/Conversion_kWh_to_MJ,"Yet to provide year")*22%/$E$40</f>
        <v>#VALUE!</v>
      </c>
      <c r="P40" s="163" t="e" cm="1">
        <f t="array" ref="P40">IF(Path=Units!$B$101,'Default data'!F$150,IF(Path=Units!$B$102, "Pathway not available from LCA tool","Pathway not chosen"))+IFERROR(INDEX(Proj_grid_intensity,MATCH(Operations_year,Proj_grid_year,0))/Conversion_kWh_to_MJ,"Yet to provide year")*22%/$E$40</f>
        <v>#VALUE!</v>
      </c>
      <c r="Q40" s="163" t="e" cm="1">
        <f t="array" ref="Q40">IF(Path=Units!$B$101,'Default data'!G$150,IF(Path=Units!$B$102, "Pathway not available from LCA tool","Pathway not chosen"))+IFERROR(INDEX(Proj_grid_intensity,MATCH(Operations_year,Proj_grid_year,0))/Conversion_kWh_to_MJ,"Yet to provide year")*22%/$E$40</f>
        <v>#VALUE!</v>
      </c>
    </row>
    <row r="41" spans="2:17" ht="18.600000000000001">
      <c r="B41" s="97" t="s">
        <v>975</v>
      </c>
      <c r="C41" s="98"/>
      <c r="D41" s="98"/>
      <c r="E41" s="101"/>
      <c r="F41" s="101"/>
      <c r="G41" s="101"/>
      <c r="H41" s="101"/>
      <c r="I41" s="101"/>
      <c r="J41" s="101"/>
      <c r="K41" s="101"/>
      <c r="L41" s="101"/>
      <c r="M41" s="103">
        <v>20</v>
      </c>
      <c r="O41" s="706" t="s">
        <v>1014</v>
      </c>
      <c r="P41" s="706"/>
      <c r="Q41" s="706"/>
    </row>
    <row r="42" spans="2:17" ht="18.600000000000001">
      <c r="B42" s="101"/>
      <c r="C42" s="101"/>
      <c r="D42" s="101"/>
      <c r="E42" s="101"/>
      <c r="F42" s="101"/>
      <c r="G42" s="101"/>
      <c r="H42" s="101"/>
      <c r="I42" s="101"/>
      <c r="J42" s="101"/>
      <c r="K42" s="101"/>
      <c r="L42" s="101"/>
      <c r="M42" s="101"/>
      <c r="O42" s="706"/>
      <c r="P42" s="706"/>
      <c r="Q42" s="706"/>
    </row>
    <row r="43" spans="2:17">
      <c r="O43" s="706"/>
      <c r="P43" s="706"/>
      <c r="Q43" s="706"/>
    </row>
    <row r="45" spans="2:17">
      <c r="O45" s="273"/>
    </row>
    <row r="46" spans="2:17">
      <c r="J46" s="273"/>
      <c r="O46" s="273"/>
    </row>
    <row r="47" spans="2:17">
      <c r="O47" s="273"/>
    </row>
  </sheetData>
  <customSheetViews>
    <customSheetView guid="{F03309BC-D3FA-4CF2-833B-D6D9A95FE1FB}" showGridLines="0" state="hidden">
      <pane xSplit="3" topLeftCell="D1" activePane="topRight" state="frozen"/>
      <selection pane="topRight" activeCell="D2" sqref="D2"/>
      <pageMargins left="0" right="0" top="0" bottom="0" header="0" footer="0"/>
      <pageSetup paperSize="9" orientation="portrait" r:id="rId1"/>
    </customSheetView>
    <customSheetView guid="{EECBF9DF-6D77-4263-85DA-71E40216BADD}" showGridLines="0" state="hidden">
      <pane xSplit="3" topLeftCell="D1" activePane="topRight" state="frozen"/>
      <selection pane="topRight"/>
      <pageMargins left="0" right="0" top="0" bottom="0" header="0" footer="0"/>
      <pageSetup paperSize="9" orientation="portrait" r:id="rId2"/>
    </customSheetView>
    <customSheetView guid="{1C16EB38-F785-4168-9938-104594734038}" showGridLines="0" state="hidden">
      <pane xSplit="3" topLeftCell="D1" activePane="topRight" state="frozen"/>
      <selection pane="topRight"/>
      <pageMargins left="0" right="0" top="0" bottom="0" header="0" footer="0"/>
      <pageSetup paperSize="9" orientation="portrait" r:id="rId3"/>
    </customSheetView>
    <customSheetView guid="{0E935136-9A80-44B6-88D5-61E64D742049}" showGridLines="0" state="hidden">
      <pane xSplit="3" topLeftCell="D1" activePane="topRight" state="frozen"/>
      <selection pane="topRight"/>
      <pageMargins left="0" right="0" top="0" bottom="0" header="0" footer="0"/>
      <pageSetup paperSize="9" orientation="portrait"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r:id="rId5"/>
    </customSheetView>
    <customSheetView guid="{3F0A4FBA-5323-448F-A023-B3E14C54064C}" showGridLines="0" state="hidden">
      <pane xSplit="3" topLeftCell="D1" activePane="topRight" state="frozen"/>
      <selection pane="topRight" activeCell="D2" sqref="D2"/>
      <pageMargins left="0" right="0" top="0" bottom="0" header="0" footer="0"/>
      <pageSetup paperSize="9" orientation="portrait" r:id="rId6"/>
    </customSheetView>
    <customSheetView guid="{D97B1299-69D0-4EE0-B673-CCF74742F96B}" state="hidden">
      <selection activeCell="D2" sqref="D2"/>
      <pageMargins left="0" right="0" top="0" bottom="0" header="0" footer="0"/>
      <pageSetup paperSize="9" orientation="portrait" r:id="rId7"/>
    </customSheetView>
    <customSheetView guid="{F468A2FD-7987-4A9D-8BAE-1AACE523607F}" showGridLines="0">
      <pane xSplit="3" topLeftCell="D1" activePane="topRight" state="frozen"/>
      <selection pane="topRight"/>
      <pageMargins left="0" right="0" top="0" bottom="0" header="0" footer="0"/>
      <pageSetup paperSize="9" orientation="portrait" r:id="rId8"/>
    </customSheetView>
    <customSheetView guid="{2D920366-22B2-4182-A65D-0EDBE614FB37}" showGridLines="0">
      <pane xSplit="3" topLeftCell="D1" activePane="topRight" state="frozen"/>
      <selection pane="topRight"/>
      <pageMargins left="0" right="0" top="0" bottom="0" header="0" footer="0"/>
      <pageSetup paperSize="9" orientation="portrait" r:id="rId9"/>
    </customSheetView>
  </customSheetViews>
  <mergeCells count="28">
    <mergeCell ref="B31:B36"/>
    <mergeCell ref="E31:E36"/>
    <mergeCell ref="F31:F36"/>
    <mergeCell ref="I31:I36"/>
    <mergeCell ref="J31:J36"/>
    <mergeCell ref="M5:M8"/>
    <mergeCell ref="M27:M30"/>
    <mergeCell ref="B9:B14"/>
    <mergeCell ref="E9:E14"/>
    <mergeCell ref="F9:F14"/>
    <mergeCell ref="I9:I14"/>
    <mergeCell ref="J9:J14"/>
    <mergeCell ref="O41:Q43"/>
    <mergeCell ref="O5:O8"/>
    <mergeCell ref="P5:P8"/>
    <mergeCell ref="Q5:Q8"/>
    <mergeCell ref="C15:C16"/>
    <mergeCell ref="C37:C38"/>
    <mergeCell ref="C5:C8"/>
    <mergeCell ref="C27:C30"/>
    <mergeCell ref="D5:D8"/>
    <mergeCell ref="D27:D30"/>
    <mergeCell ref="L5:L8"/>
    <mergeCell ref="L27:L30"/>
    <mergeCell ref="O19:Q21"/>
    <mergeCell ref="O27:O30"/>
    <mergeCell ref="P27:P30"/>
    <mergeCell ref="Q27:Q30"/>
  </mergeCell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35" id="{25872DAB-A3F0-4E99-B667-0A798B468697}">
            <xm:f>AND(Path&lt;&gt;Units!$B$101,Path&lt;&gt;Units!$B$102,Master_Switch="On")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6E05A-CB49-4074-8ED9-1FAEC01B9B2D}">
  <sheetPr codeName="Sheet15">
    <tabColor rgb="FFFF66CC"/>
  </sheetPr>
  <dimension ref="A1:O25"/>
  <sheetViews>
    <sheetView showGridLines="0" zoomScaleNormal="100" workbookViewId="0">
      <pane xSplit="3" topLeftCell="D1" activePane="topRight" state="frozen"/>
      <selection pane="topRight"/>
    </sheetView>
  </sheetViews>
  <sheetFormatPr defaultColWidth="8.85546875" defaultRowHeight="14.45"/>
  <cols>
    <col min="1" max="1" width="4.5703125" customWidth="1"/>
    <col min="2" max="2" width="32.42578125" customWidth="1"/>
    <col min="3" max="3" width="30.5703125" customWidth="1"/>
    <col min="4" max="4" width="29.28515625" customWidth="1"/>
    <col min="5" max="5" width="15.85546875" customWidth="1"/>
    <col min="6" max="6" width="31.85546875" customWidth="1"/>
    <col min="7" max="7" width="28.5703125" customWidth="1"/>
    <col min="8" max="8" width="30.42578125" customWidth="1"/>
    <col min="9" max="10" width="26.85546875" customWidth="1"/>
    <col min="11" max="11" width="35.140625" customWidth="1"/>
    <col min="12" max="12" width="20.85546875" customWidth="1"/>
    <col min="13" max="13" width="29" customWidth="1"/>
    <col min="15" max="15" width="30.140625" customWidth="1"/>
    <col min="16" max="16" width="28.85546875" customWidth="1"/>
    <col min="17" max="17" width="28.5703125" customWidth="1"/>
  </cols>
  <sheetData>
    <row r="1" spans="1:13" ht="30.95">
      <c r="A1" s="80" t="str">
        <f>IF(AND(Path&lt;&gt;Units!$B$103,Master_Switch="On"),"User should not use this worksheet, but switch to a non-blank GHG summary worksheets","")</f>
        <v>User should not use this worksheet, but switch to a non-blank GHG summary worksheets</v>
      </c>
    </row>
    <row r="2" spans="1:13" ht="84.6" customHeight="1">
      <c r="B2" s="106" t="s">
        <v>948</v>
      </c>
      <c r="C2" s="106" t="s">
        <v>949</v>
      </c>
      <c r="D2" s="106" t="s">
        <v>950</v>
      </c>
      <c r="E2" s="106" t="s">
        <v>951</v>
      </c>
      <c r="F2" s="106" t="s">
        <v>952</v>
      </c>
      <c r="G2" s="106" t="s">
        <v>953</v>
      </c>
      <c r="H2" s="106" t="s">
        <v>954</v>
      </c>
      <c r="I2" s="106" t="s">
        <v>955</v>
      </c>
      <c r="J2" s="106" t="s">
        <v>956</v>
      </c>
      <c r="K2" s="106" t="s">
        <v>957</v>
      </c>
      <c r="L2" s="106" t="s">
        <v>958</v>
      </c>
      <c r="M2" s="106" t="s">
        <v>959</v>
      </c>
    </row>
    <row r="3" spans="1:13">
      <c r="B3" s="61" t="s">
        <v>89</v>
      </c>
      <c r="C3" s="93" t="s">
        <v>1023</v>
      </c>
      <c r="D3" s="93" t="s">
        <v>964</v>
      </c>
      <c r="E3" s="560" t="s">
        <v>563</v>
      </c>
      <c r="F3" s="168" t="e">
        <f>F6</f>
        <v>#VALUE!</v>
      </c>
      <c r="G3" s="167">
        <f>IF(AND(Path="Other",Initial_questions!$E$27=Units!$L$90),Waste_Fossil_Counterfactual!$C$8*Waste_Fossil_Counterfactual!$C$9-Waste_Fossil_Counterfactual!$C$10,0)</f>
        <v>0</v>
      </c>
      <c r="H3" s="58" t="e">
        <f>G3*F3</f>
        <v>#VALUE!</v>
      </c>
      <c r="I3" s="315" t="str">
        <f>IF(AND(Initial_questions!E$21="Other",Initial_questions!$E$27=Units!$L$90),100%,"")</f>
        <v/>
      </c>
      <c r="J3" s="564" t="e">
        <f>J6*I3</f>
        <v>#VALUE!</v>
      </c>
      <c r="K3" s="59" t="e">
        <f>H3*J3</f>
        <v>#VALUE!</v>
      </c>
      <c r="L3" s="56" t="s">
        <v>563</v>
      </c>
      <c r="M3" s="312" t="e">
        <f>K3</f>
        <v>#VALUE!</v>
      </c>
    </row>
    <row r="4" spans="1:13">
      <c r="B4" s="61" t="s">
        <v>1024</v>
      </c>
      <c r="C4" s="703" t="s">
        <v>990</v>
      </c>
      <c r="D4" s="61" t="s">
        <v>964</v>
      </c>
      <c r="E4" s="57" t="str">
        <f>IF(AND(Initial_questions!$E$68&lt;&gt;Units!$T$84, Initial_questions!$E$68&lt;&gt;Units!$T$85, Initial_questions!$E$68&lt;&gt;Units!$T$86, Initial_questions!$E$68&lt;&gt;Units!$T$87), "NA", Generic_Feedstock_Cultivation!O20)</f>
        <v>NA</v>
      </c>
      <c r="F4" s="168" t="str">
        <f>IF(AND(Initial_questions!$E$68&lt;&gt;Units!$T$84, Initial_questions!$E$68&lt;&gt;Units!$T$85, Initial_questions!$E$68&lt;&gt;Units!$T$86, Initial_questions!$E$68&lt;&gt;Units!$T$87),"NA",F5/E5)</f>
        <v>NA</v>
      </c>
      <c r="G4" s="167">
        <f>Generic_Feedstock_Cultivation!V39</f>
        <v>0</v>
      </c>
      <c r="H4" s="58" t="str">
        <f>IF(AND(Initial_questions!$E$68&lt;&gt;Units!$T$84, Initial_questions!$E$68&lt;&gt;Units!$T$85, Initial_questions!$E$68&lt;&gt;Units!$T$86, Initial_questions!$E$68&lt;&gt;Units!$T$87),"NA",G4*F4)</f>
        <v>NA</v>
      </c>
      <c r="I4" s="315" t="str">
        <f>IF(AND(Initial_questions!$E$68&lt;&gt;Units!$T$84, Initial_questions!$E$68&lt;&gt;Units!$T$85, Initial_questions!$E$68&lt;&gt;Units!$T$86, Initial_questions!$E$68&lt;&gt;Units!$T$87),"NA",Generic_Feedstock_Cultivation!R20)</f>
        <v>NA</v>
      </c>
      <c r="J4" s="57" t="str">
        <f>IF(AND(Initial_questions!$E$68&lt;&gt;Units!$T$84, Initial_questions!$E$68&lt;&gt;Units!$T$85, Initial_questions!$E$68&lt;&gt;Units!$T$86, Initial_questions!$E$68&lt;&gt;Units!$T$87),"NA",J5*I4)</f>
        <v>NA</v>
      </c>
      <c r="K4" s="59">
        <f>IF(AND(Initial_questions!$E$68&lt;&gt;Units!$T$84, Initial_questions!$E$68&lt;&gt;Units!$T$85, Initial_questions!$E$68&lt;&gt;Units!$T$86, Initial_questions!$E$68&lt;&gt;Units!$T$87),0,H4*J4)</f>
        <v>0</v>
      </c>
      <c r="L4" s="56" t="s">
        <v>563</v>
      </c>
      <c r="M4" s="717" t="e">
        <f>MAX(0,SUM(K4:K9))</f>
        <v>#VALUE!</v>
      </c>
    </row>
    <row r="5" spans="1:13">
      <c r="B5" s="61" t="s">
        <v>1025</v>
      </c>
      <c r="C5" s="704"/>
      <c r="D5" s="61" t="s">
        <v>964</v>
      </c>
      <c r="E5" s="57" t="str">
        <f>IF(AND(Initial_questions!$E$68&lt;&gt;Units!$T$84, Initial_questions!$E$68&lt;&gt;Units!$T$85, Initial_questions!$E$68&lt;&gt;Units!$T$86, Initial_questions!$E$68&lt;&gt;Units!$T$87),"NA",Generic_Feedstock_Harvesting!O20)</f>
        <v>NA</v>
      </c>
      <c r="F5" s="168" t="e">
        <f>F6/E6</f>
        <v>#VALUE!</v>
      </c>
      <c r="G5" s="167">
        <f>Generic_Feedstock_Harvesting!V33</f>
        <v>0</v>
      </c>
      <c r="H5" s="58" t="e">
        <f>G5*F5</f>
        <v>#VALUE!</v>
      </c>
      <c r="I5" s="315" t="str">
        <f>IF(AND(Initial_questions!$E$68&lt;&gt;Units!$T$84, Initial_questions!$E$68&lt;&gt;Units!$T$85, Initial_questions!$E$68&lt;&gt;Units!$T$86, Initial_questions!$E$68&lt;&gt;Units!$T$87),"NA",Generic_Feedstock_Harvesting!R20)</f>
        <v>NA</v>
      </c>
      <c r="J5" s="57" t="str">
        <f>IF(AND(Initial_questions!$E$68&lt;&gt;Units!$T$84, Initial_questions!$E$68&lt;&gt;Units!$T$85, Initial_questions!$E$68&lt;&gt;Units!$T$86, Initial_questions!$E$68&lt;&gt;Units!$T$87),"NA",J6*I5)</f>
        <v>NA</v>
      </c>
      <c r="K5" s="59">
        <f>IF(AND(Initial_questions!$E$68&lt;&gt;Units!$T$84, Initial_questions!$E$68&lt;&gt;Units!$T$85, Initial_questions!$E$68&lt;&gt;Units!$T$86, Initial_questions!$E$68&lt;&gt;Units!$T$87),0,H5*J5)</f>
        <v>0</v>
      </c>
      <c r="L5" s="56" t="s">
        <v>563</v>
      </c>
      <c r="M5" s="718"/>
    </row>
    <row r="6" spans="1:13">
      <c r="B6" s="61" t="s">
        <v>1026</v>
      </c>
      <c r="C6" s="704"/>
      <c r="D6" s="61" t="s">
        <v>964</v>
      </c>
      <c r="E6" s="57" t="str">
        <f>Generic_Feedstock_Collection!O20</f>
        <v/>
      </c>
      <c r="F6" s="168" t="e">
        <f>F7/E7</f>
        <v>#VALUE!</v>
      </c>
      <c r="G6" s="167">
        <f>Generic_Feedstock_Collection!V33</f>
        <v>0</v>
      </c>
      <c r="H6" s="58" t="e">
        <f>G6*F6</f>
        <v>#VALUE!</v>
      </c>
      <c r="I6" s="315" t="str">
        <f>Generic_Feedstock_Collection!R20</f>
        <v/>
      </c>
      <c r="J6" s="57" t="e">
        <f>J7*I6</f>
        <v>#VALUE!</v>
      </c>
      <c r="K6" s="59" t="e">
        <f t="shared" ref="K6" si="0">H6*J6</f>
        <v>#VALUE!</v>
      </c>
      <c r="L6" s="56" t="s">
        <v>563</v>
      </c>
      <c r="M6" s="718"/>
    </row>
    <row r="7" spans="1:13">
      <c r="B7" s="61" t="s">
        <v>1027</v>
      </c>
      <c r="C7" s="704"/>
      <c r="D7" s="61" t="s">
        <v>964</v>
      </c>
      <c r="E7" s="57" t="str">
        <f>Generic_Feedstock_Transport!O20</f>
        <v/>
      </c>
      <c r="F7" s="168" t="e">
        <f t="shared" ref="F7:F8" si="1">F8/E8</f>
        <v>#VALUE!</v>
      </c>
      <c r="G7" s="167">
        <f>Generic_Feedstock_Transport!V33</f>
        <v>0</v>
      </c>
      <c r="H7" s="58" t="e">
        <f t="shared" ref="H7:H8" si="2">G7*F7</f>
        <v>#VALUE!</v>
      </c>
      <c r="I7" s="315" t="str">
        <f>Generic_Feedstock_Transport!R20</f>
        <v/>
      </c>
      <c r="J7" s="57" t="e">
        <f t="shared" ref="J7:J9" si="3">J8*I7</f>
        <v>#VALUE!</v>
      </c>
      <c r="K7" s="59" t="e">
        <f t="shared" ref="K7:K9" si="4">H7*J7</f>
        <v>#VALUE!</v>
      </c>
      <c r="L7" s="56" t="s">
        <v>563</v>
      </c>
      <c r="M7" s="718"/>
    </row>
    <row r="8" spans="1:13">
      <c r="B8" s="61" t="s">
        <v>1028</v>
      </c>
      <c r="C8" s="704"/>
      <c r="D8" s="61" t="s">
        <v>964</v>
      </c>
      <c r="E8" s="57" t="str">
        <f>'Generic_Pre-Processing'!O20</f>
        <v/>
      </c>
      <c r="F8" s="168" t="e">
        <f t="shared" si="1"/>
        <v>#VALUE!</v>
      </c>
      <c r="G8" s="167">
        <f>'Generic_Pre-Processing'!V36</f>
        <v>0</v>
      </c>
      <c r="H8" s="58" t="e">
        <f t="shared" si="2"/>
        <v>#VALUE!</v>
      </c>
      <c r="I8" s="315" t="str">
        <f>'Generic_Pre-Processing'!R20</f>
        <v/>
      </c>
      <c r="J8" s="57" t="e">
        <f t="shared" si="3"/>
        <v>#VALUE!</v>
      </c>
      <c r="K8" s="59" t="e">
        <f t="shared" si="4"/>
        <v>#VALUE!</v>
      </c>
      <c r="L8" s="56" t="s">
        <v>563</v>
      </c>
      <c r="M8" s="718"/>
    </row>
    <row r="9" spans="1:13">
      <c r="B9" s="61" t="s">
        <v>1029</v>
      </c>
      <c r="C9" s="705"/>
      <c r="D9" s="61" t="s">
        <v>964</v>
      </c>
      <c r="E9" s="57" t="str">
        <f>Generic_Further_Transport!O20</f>
        <v/>
      </c>
      <c r="F9" s="168" t="e">
        <f>F10/E10</f>
        <v>#VALUE!</v>
      </c>
      <c r="G9" s="167">
        <f>Generic_Further_Transport!V33</f>
        <v>0</v>
      </c>
      <c r="H9" s="58" t="e">
        <f>G9*F9</f>
        <v>#VALUE!</v>
      </c>
      <c r="I9" s="315" t="str">
        <f>Generic_Further_Transport!R20</f>
        <v/>
      </c>
      <c r="J9" s="57" t="e">
        <f t="shared" si="3"/>
        <v>#VALUE!</v>
      </c>
      <c r="K9" s="59" t="e">
        <f t="shared" si="4"/>
        <v>#VALUE!</v>
      </c>
      <c r="L9" s="56" t="s">
        <v>563</v>
      </c>
      <c r="M9" s="719"/>
    </row>
    <row r="10" spans="1:13">
      <c r="B10" s="680" t="s">
        <v>1030</v>
      </c>
      <c r="C10" s="61" t="s">
        <v>129</v>
      </c>
      <c r="D10" s="61" t="s">
        <v>964</v>
      </c>
      <c r="E10" s="732" t="str">
        <f>Generic_Conversion!O9</f>
        <v/>
      </c>
      <c r="F10" s="686">
        <v>1</v>
      </c>
      <c r="G10" s="60">
        <f>Generic_Conversion!V19</f>
        <v>0</v>
      </c>
      <c r="H10" s="58">
        <f>G10*$F$10</f>
        <v>0</v>
      </c>
      <c r="I10" s="726" t="str">
        <f>Generic_Conversion!R9</f>
        <v/>
      </c>
      <c r="J10" s="683" t="str">
        <f>I10</f>
        <v/>
      </c>
      <c r="K10" s="59" t="e">
        <f>H10*$J$10</f>
        <v>#VALUE!</v>
      </c>
      <c r="L10" s="56" t="s">
        <v>563</v>
      </c>
      <c r="M10" s="312" t="e">
        <f>K10</f>
        <v>#VALUE!</v>
      </c>
    </row>
    <row r="11" spans="1:13">
      <c r="B11" s="681"/>
      <c r="C11" s="61" t="s">
        <v>130</v>
      </c>
      <c r="D11" s="61" t="s">
        <v>964</v>
      </c>
      <c r="E11" s="733"/>
      <c r="F11" s="687"/>
      <c r="G11" s="60">
        <f>Generic_Conversion!V31</f>
        <v>0</v>
      </c>
      <c r="H11" s="58">
        <f t="shared" ref="H11:H17" si="5">G11*$F$10</f>
        <v>0</v>
      </c>
      <c r="I11" s="727"/>
      <c r="J11" s="684"/>
      <c r="K11" s="59" t="e">
        <f t="shared" ref="K11:K17" si="6">H11*$J$10</f>
        <v>#VALUE!</v>
      </c>
      <c r="L11" s="56" t="s">
        <v>563</v>
      </c>
      <c r="M11" s="312" t="e">
        <f t="shared" ref="M11:M17" si="7">K11</f>
        <v>#VALUE!</v>
      </c>
    </row>
    <row r="12" spans="1:13" ht="16.5">
      <c r="B12" s="681"/>
      <c r="C12" s="61" t="s">
        <v>963</v>
      </c>
      <c r="D12" s="61" t="s">
        <v>964</v>
      </c>
      <c r="E12" s="733"/>
      <c r="F12" s="687"/>
      <c r="G12" s="60">
        <f>Generic_Conversion!V43</f>
        <v>0</v>
      </c>
      <c r="H12" s="58">
        <f t="shared" si="5"/>
        <v>0</v>
      </c>
      <c r="I12" s="727"/>
      <c r="J12" s="684"/>
      <c r="K12" s="59" t="e">
        <f t="shared" si="6"/>
        <v>#VALUE!</v>
      </c>
      <c r="L12" s="56" t="s">
        <v>563</v>
      </c>
      <c r="M12" s="312" t="e">
        <f t="shared" si="7"/>
        <v>#VALUE!</v>
      </c>
    </row>
    <row r="13" spans="1:13" ht="16.5">
      <c r="B13" s="681"/>
      <c r="C13" s="61" t="s">
        <v>965</v>
      </c>
      <c r="D13" s="61" t="s">
        <v>964</v>
      </c>
      <c r="E13" s="733"/>
      <c r="F13" s="687"/>
      <c r="G13" s="60">
        <f>Generic_Conversion!V49</f>
        <v>0</v>
      </c>
      <c r="H13" s="58">
        <f t="shared" si="5"/>
        <v>0</v>
      </c>
      <c r="I13" s="727"/>
      <c r="J13" s="684"/>
      <c r="K13" s="59" t="e">
        <f t="shared" si="6"/>
        <v>#VALUE!</v>
      </c>
      <c r="L13" s="56" t="s">
        <v>563</v>
      </c>
      <c r="M13" s="312" t="e">
        <f t="shared" si="7"/>
        <v>#VALUE!</v>
      </c>
    </row>
    <row r="14" spans="1:13">
      <c r="B14" s="681"/>
      <c r="C14" s="93" t="s">
        <v>994</v>
      </c>
      <c r="D14" s="61" t="s">
        <v>964</v>
      </c>
      <c r="E14" s="733"/>
      <c r="F14" s="687"/>
      <c r="G14" s="60">
        <f>Generic_Conversion!V57</f>
        <v>0</v>
      </c>
      <c r="H14" s="58">
        <f t="shared" si="5"/>
        <v>0</v>
      </c>
      <c r="I14" s="727"/>
      <c r="J14" s="684"/>
      <c r="K14" s="59" t="e">
        <f t="shared" si="6"/>
        <v>#VALUE!</v>
      </c>
      <c r="L14" s="56" t="s">
        <v>563</v>
      </c>
      <c r="M14" s="312" t="e">
        <f t="shared" si="7"/>
        <v>#VALUE!</v>
      </c>
    </row>
    <row r="15" spans="1:13" ht="16.5">
      <c r="B15" s="681"/>
      <c r="C15" s="93" t="s">
        <v>966</v>
      </c>
      <c r="D15" s="61" t="s">
        <v>964</v>
      </c>
      <c r="E15" s="733"/>
      <c r="F15" s="687"/>
      <c r="G15" s="60">
        <f>Generic_Conversion!V67</f>
        <v>0</v>
      </c>
      <c r="H15" s="58">
        <f t="shared" si="5"/>
        <v>0</v>
      </c>
      <c r="I15" s="727"/>
      <c r="J15" s="684"/>
      <c r="K15" s="59" t="e">
        <f t="shared" si="6"/>
        <v>#VALUE!</v>
      </c>
      <c r="L15" s="56" t="s">
        <v>563</v>
      </c>
      <c r="M15" s="312" t="e">
        <f t="shared" si="7"/>
        <v>#VALUE!</v>
      </c>
    </row>
    <row r="16" spans="1:13">
      <c r="B16" s="681"/>
      <c r="C16" s="93" t="s">
        <v>995</v>
      </c>
      <c r="D16" s="61" t="s">
        <v>964</v>
      </c>
      <c r="E16" s="733"/>
      <c r="F16" s="687"/>
      <c r="G16" s="60">
        <f>Generic_Conversion!V73</f>
        <v>0</v>
      </c>
      <c r="H16" s="58">
        <f t="shared" si="5"/>
        <v>0</v>
      </c>
      <c r="I16" s="727"/>
      <c r="J16" s="684"/>
      <c r="K16" s="59" t="e">
        <f t="shared" si="6"/>
        <v>#VALUE!</v>
      </c>
      <c r="L16" s="56" t="s">
        <v>563</v>
      </c>
      <c r="M16" s="312" t="e">
        <f t="shared" si="7"/>
        <v>#VALUE!</v>
      </c>
    </row>
    <row r="17" spans="2:15" ht="16.5">
      <c r="B17" s="682"/>
      <c r="C17" s="61" t="s">
        <v>967</v>
      </c>
      <c r="D17" s="61" t="s">
        <v>964</v>
      </c>
      <c r="E17" s="734"/>
      <c r="F17" s="688"/>
      <c r="G17" s="60">
        <f>Generic_Conversion!V80</f>
        <v>0</v>
      </c>
      <c r="H17" s="58">
        <f t="shared" si="5"/>
        <v>0</v>
      </c>
      <c r="I17" s="728"/>
      <c r="J17" s="685"/>
      <c r="K17" s="59" t="e">
        <f t="shared" si="6"/>
        <v>#VALUE!</v>
      </c>
      <c r="L17" s="56" t="s">
        <v>563</v>
      </c>
      <c r="M17" s="312" t="e">
        <f t="shared" si="7"/>
        <v>#VALUE!</v>
      </c>
    </row>
    <row r="18" spans="2:15" ht="29.1">
      <c r="B18" s="61" t="s">
        <v>968</v>
      </c>
      <c r="C18" s="692" t="s">
        <v>969</v>
      </c>
      <c r="D18" s="540" t="s">
        <v>970</v>
      </c>
      <c r="E18" s="101"/>
      <c r="F18" s="101"/>
      <c r="G18" s="101"/>
      <c r="H18" s="101"/>
      <c r="I18" s="101"/>
      <c r="J18" s="101"/>
      <c r="K18" s="101"/>
      <c r="L18" s="534" t="str">
        <f>'Typical data'!$D$389</f>
        <v>Yet to provide pressure or electricity source</v>
      </c>
      <c r="M18" s="517" t="str">
        <f>L18</f>
        <v>Yet to provide pressure or electricity source</v>
      </c>
      <c r="O18" s="53"/>
    </row>
    <row r="19" spans="2:15" ht="29.1">
      <c r="B19" s="61" t="s">
        <v>972</v>
      </c>
      <c r="C19" s="693"/>
      <c r="D19" s="540" t="s">
        <v>973</v>
      </c>
      <c r="E19" s="101"/>
      <c r="F19" s="101"/>
      <c r="G19" s="101"/>
      <c r="H19" s="101"/>
      <c r="I19" s="101"/>
      <c r="J19" s="101"/>
      <c r="K19" s="101"/>
      <c r="L19" s="534" t="str">
        <f>'Typical data'!$D$407</f>
        <v>Yet to provide electricity source</v>
      </c>
      <c r="M19" s="517" t="str">
        <f>L19</f>
        <v>Yet to provide electricity source</v>
      </c>
      <c r="O19" s="53"/>
    </row>
    <row r="20" spans="2:15">
      <c r="O20" s="53"/>
    </row>
    <row r="21" spans="2:15" ht="18.600000000000001">
      <c r="B21" s="97" t="s">
        <v>974</v>
      </c>
      <c r="C21" s="98"/>
      <c r="D21" s="98"/>
      <c r="E21" s="99">
        <f>PRODUCT(E6:E19)</f>
        <v>0</v>
      </c>
      <c r="F21" s="100"/>
      <c r="G21" s="100"/>
      <c r="H21" s="100"/>
      <c r="I21" s="101"/>
      <c r="J21" s="101"/>
      <c r="K21" s="101"/>
      <c r="L21" s="101"/>
      <c r="M21" s="102" t="str">
        <f>IF(COUNTIF(M3:M19,"*")&gt;0,"Pathway not chosen",SUM(M3:M19))</f>
        <v>Pathway not chosen</v>
      </c>
      <c r="N21" s="53"/>
    </row>
    <row r="22" spans="2:15" ht="18.600000000000001">
      <c r="B22" s="97" t="s">
        <v>975</v>
      </c>
      <c r="C22" s="98"/>
      <c r="D22" s="98"/>
      <c r="E22" s="101"/>
      <c r="F22" s="101"/>
      <c r="G22" s="101"/>
      <c r="H22" s="101"/>
      <c r="I22" s="101"/>
      <c r="J22" s="101"/>
      <c r="K22" s="101"/>
      <c r="L22" s="101"/>
      <c r="M22" s="103">
        <v>20</v>
      </c>
    </row>
    <row r="24" spans="2:15" ht="18.600000000000001">
      <c r="B24" s="101"/>
      <c r="C24" s="101"/>
      <c r="D24" s="101"/>
      <c r="E24" s="101"/>
      <c r="F24" s="101"/>
      <c r="G24" s="101"/>
      <c r="H24" s="101"/>
      <c r="I24" s="101"/>
      <c r="J24" s="101"/>
      <c r="K24" s="101"/>
      <c r="L24" s="101"/>
      <c r="M24" s="101"/>
      <c r="N24" s="101"/>
    </row>
    <row r="25" spans="2:15" ht="21">
      <c r="B25" s="105"/>
      <c r="C25" s="105"/>
      <c r="D25" s="105"/>
      <c r="E25" s="105"/>
      <c r="F25" s="105"/>
      <c r="G25" s="105"/>
      <c r="H25" s="105"/>
      <c r="I25" s="105"/>
      <c r="J25" s="105"/>
      <c r="K25" s="105"/>
      <c r="L25" s="105"/>
      <c r="M25" s="105"/>
    </row>
  </sheetData>
  <customSheetViews>
    <customSheetView guid="{F03309BC-D3FA-4CF2-833B-D6D9A95FE1FB}" showGridLines="0" topLeftCell="A2">
      <pane xSplit="3" topLeftCell="D1" activePane="topRight" state="frozen"/>
      <selection pane="topRight" activeCell="D2" sqref="D2"/>
      <pageMargins left="0" right="0" top="0" bottom="0" header="0" footer="0"/>
      <pageSetup paperSize="9" orientation="portrait" r:id="rId1"/>
    </customSheetView>
    <customSheetView guid="{EECBF9DF-6D77-4263-85DA-71E40216BADD}" showGridLines="0" state="hidden">
      <pane xSplit="3" topLeftCell="D1" activePane="topRight" state="frozen"/>
      <selection pane="topRight"/>
      <pageMargins left="0" right="0" top="0" bottom="0" header="0" footer="0"/>
      <pageSetup paperSize="9" orientation="portrait" verticalDpi="0" r:id="rId2"/>
    </customSheetView>
    <customSheetView guid="{1C16EB38-F785-4168-9938-104594734038}" showGridLines="0" state="hidden">
      <pane xSplit="3" topLeftCell="D1" activePane="topRight" state="frozen"/>
      <selection pane="topRight"/>
      <pageMargins left="0" right="0" top="0" bottom="0" header="0" footer="0"/>
      <pageSetup paperSize="9" orientation="portrait" verticalDpi="0" r:id="rId3"/>
    </customSheetView>
    <customSheetView guid="{0E935136-9A80-44B6-88D5-61E64D742049}" showGridLines="0" state="hidden">
      <pane xSplit="3" topLeftCell="D1" activePane="topRight" state="frozen"/>
      <selection pane="topRight"/>
      <pageMargins left="0" right="0" top="0" bottom="0" header="0" footer="0"/>
      <pageSetup paperSize="9" orientation="portrait" verticalDpi="0" r:id="rId4"/>
    </customSheetView>
    <customSheetView guid="{E6EFD927-84B2-4D06-BB59-59D9DF522DA2}" showGridLines="0" state="hidden">
      <pane xSplit="3" topLeftCell="D1" activePane="topRight" state="frozen"/>
      <selection pane="topRight"/>
      <pageMargins left="0" right="0" top="0" bottom="0" header="0" footer="0"/>
      <pageSetup paperSize="9" orientation="portrait" verticalDpi="0" r:id="rId5"/>
    </customSheetView>
    <customSheetView guid="{3F0A4FBA-5323-448F-A023-B3E14C54064C}" showGridLines="0" state="hidden" topLeftCell="A2">
      <pane xSplit="3" topLeftCell="D1" activePane="topRight" state="frozen"/>
      <selection pane="topRight" activeCell="D2" sqref="D2"/>
      <pageMargins left="0" right="0" top="0" bottom="0" header="0" footer="0"/>
      <pageSetup paperSize="9" orientation="portrait" r:id="rId6"/>
    </customSheetView>
    <customSheetView guid="{D97B1299-69D0-4EE0-B673-CCF74742F96B}" state="hidden">
      <selection activeCell="D2" sqref="D2"/>
      <pageMargins left="0" right="0" top="0" bottom="0" header="0" footer="0"/>
      <pageSetup paperSize="9" orientation="portrait" r:id="rId7"/>
    </customSheetView>
    <customSheetView guid="{F468A2FD-7987-4A9D-8BAE-1AACE523607F}" showGridLines="0" state="hidden">
      <pane xSplit="3" topLeftCell="D1" activePane="topRight" state="frozen"/>
      <selection pane="topRight"/>
      <pageMargins left="0" right="0" top="0" bottom="0" header="0" footer="0"/>
      <pageSetup paperSize="9" orientation="portrait" verticalDpi="0" r:id="rId8"/>
    </customSheetView>
    <customSheetView guid="{2D920366-22B2-4182-A65D-0EDBE614FB37}" showGridLines="0">
      <pane xSplit="3" topLeftCell="D1" activePane="topRight" state="frozen"/>
      <selection pane="topRight"/>
      <pageMargins left="0" right="0" top="0" bottom="0" header="0" footer="0"/>
      <pageSetup paperSize="9" orientation="portrait" r:id="rId9"/>
    </customSheetView>
  </customSheetViews>
  <mergeCells count="8">
    <mergeCell ref="M4:M9"/>
    <mergeCell ref="J10:J17"/>
    <mergeCell ref="C4:C9"/>
    <mergeCell ref="C18:C19"/>
    <mergeCell ref="B10:B17"/>
    <mergeCell ref="E10:E17"/>
    <mergeCell ref="F10:F17"/>
    <mergeCell ref="I10:I17"/>
  </mergeCells>
  <pageMargins left="0" right="0" top="0" bottom="0" header="0" footer="0"/>
  <pageSetup paperSize="9" orientation="portrait" r:id="rId10"/>
  <headerFooter>
    <oddHeader>&amp;C&amp;"Aptos"&amp;10&amp;K000000 OFFICIAL&amp;1#_x000D_</oddHeader>
    <oddFooter>&amp;C_x000D_&amp;1#&amp;"Aptos"&amp;10&amp;K000000 OFFICIAL</oddFooter>
  </headerFooter>
  <ignoredErrors>
    <ignoredError sqref="F17:L17 G4 F5:H5 L4:L5 F20:M20 F18:K19 F6:L9 F10:L10 F11:L13 F15:G15 I15:J15 F21:L21" evalError="1"/>
  </ignoredErrors>
  <extLst>
    <ext xmlns:x14="http://schemas.microsoft.com/office/spreadsheetml/2009/9/main" uri="{78C0D931-6437-407d-A8EE-F0AAD7539E65}">
      <x14:conditionalFormattings>
        <x14:conditionalFormatting xmlns:xm="http://schemas.microsoft.com/office/excel/2006/main">
          <x14:cfRule type="expression" priority="6" id="{652FF980-D4C4-4C06-AEC9-5F9C87C45B14}">
            <xm:f>AND(Path&lt;&gt;Units!$B$103,Master_Switch="On")</xm:f>
            <x14:dxf>
              <font>
                <color theme="0"/>
              </font>
              <fill>
                <patternFill>
                  <bgColor theme="0"/>
                </patternFill>
              </fill>
              <border>
                <left/>
                <right/>
                <top/>
                <bottom/>
                <vertical/>
                <horizontal/>
              </border>
            </x14:dxf>
          </x14:cfRule>
          <xm:sqref>A2:XFD12 A13:L13 M13:XFD16 A14:B16 D14:L16 A17:XFD102</xm:sqref>
        </x14:conditionalFormatting>
        <x14:conditionalFormatting xmlns:xm="http://schemas.microsoft.com/office/excel/2006/main">
          <x14:cfRule type="expression" priority="1" id="{7B7BEF3A-852E-4FFC-A8D8-5F3600689D57}">
            <xm:f>AND(Path&lt;&gt;Units!$B$93,Master_Switch="On")</xm:f>
            <x14:dxf>
              <font>
                <color theme="0"/>
              </font>
              <fill>
                <patternFill>
                  <bgColor theme="0"/>
                </patternFill>
              </fill>
              <border>
                <left/>
                <right/>
                <top/>
                <bottom/>
              </border>
            </x14:dxf>
          </x14:cfRule>
          <xm:sqref>C14:C16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0B8AC-67A7-4D9D-AAE4-268DFA1F1815}">
  <sheetPr codeName="Sheet19">
    <tabColor theme="8"/>
  </sheetPr>
  <dimension ref="A1:AC277"/>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453"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5703125" customWidth="1"/>
    <col min="16" max="16" width="8.8554687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8" ht="31.9" customHeight="1">
      <c r="A1" s="80" t="str">
        <f>IF(AND(Path&lt;&gt;Units!$B$84, Path&lt;&gt;Units!$B$85, Path&lt;&gt;Units!$B$86, Path&lt;&gt;Units!$B$87,Path&lt;&gt;Units!$B$88,Path&lt;&gt;Units!$B$89,Master_Switch="On"),"User should not fill in this sheet, but switch to other non-blank GHG worksheets","")</f>
        <v>User should not fill in this sheet, but switch to other non-blank GHG worksheets</v>
      </c>
      <c r="E1" s="254"/>
    </row>
    <row r="2" spans="1:28" ht="20.45" customHeight="1">
      <c r="E2" s="254"/>
      <c r="I2" s="735" t="s">
        <v>1031</v>
      </c>
      <c r="J2" s="735"/>
      <c r="K2" s="736"/>
      <c r="L2" s="39"/>
      <c r="M2" s="39"/>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s="19" customFormat="1" ht="94.15" customHeight="1" thickTop="1" thickBot="1">
      <c r="B5" s="11" t="s">
        <v>1032</v>
      </c>
      <c r="C5" s="11" t="s">
        <v>1033</v>
      </c>
      <c r="D5" s="11" t="s">
        <v>36</v>
      </c>
      <c r="E5" s="452" t="s">
        <v>883</v>
      </c>
      <c r="F5" s="11" t="s">
        <v>1034</v>
      </c>
      <c r="G5" s="11" t="s">
        <v>1035</v>
      </c>
      <c r="H5" s="11" t="s">
        <v>1036</v>
      </c>
      <c r="I5" s="11" t="s">
        <v>1037</v>
      </c>
      <c r="J5" s="11" t="s">
        <v>1038</v>
      </c>
      <c r="K5" s="11" t="s">
        <v>1039</v>
      </c>
      <c r="L5" s="11" t="s">
        <v>1040</v>
      </c>
      <c r="M5" s="11" t="s">
        <v>1041</v>
      </c>
      <c r="N5" s="509" t="s">
        <v>1042</v>
      </c>
      <c r="O5" s="11" t="s">
        <v>1043</v>
      </c>
      <c r="P5" s="11"/>
      <c r="Q5" s="509" t="s">
        <v>1044</v>
      </c>
      <c r="R5" s="11" t="s">
        <v>1045</v>
      </c>
      <c r="S5" s="11" t="s">
        <v>1046</v>
      </c>
      <c r="T5" s="11" t="s">
        <v>1047</v>
      </c>
      <c r="U5" s="11" t="s">
        <v>1048</v>
      </c>
      <c r="V5" s="11" t="s">
        <v>1049</v>
      </c>
      <c r="W5" s="11"/>
      <c r="X5" s="11" t="s">
        <v>1050</v>
      </c>
      <c r="Y5"/>
    </row>
    <row r="6" spans="1:28" ht="15" thickTop="1">
      <c r="O6" s="12"/>
    </row>
    <row r="7" spans="1:28">
      <c r="B7" s="144" t="s">
        <v>1051</v>
      </c>
      <c r="C7" s="144"/>
      <c r="D7" s="144"/>
      <c r="E7" s="322"/>
      <c r="F7" s="144"/>
      <c r="G7" s="144"/>
      <c r="H7" s="144"/>
      <c r="I7" s="144"/>
      <c r="J7" s="144"/>
      <c r="K7" s="144"/>
      <c r="L7" s="144"/>
      <c r="M7" s="144"/>
      <c r="N7" s="299"/>
      <c r="R7"/>
      <c r="S7"/>
      <c r="T7"/>
      <c r="U7" s="18"/>
      <c r="V7" s="40"/>
      <c r="Y7" s="12"/>
    </row>
    <row r="8" spans="1:28">
      <c r="B8" s="16" t="s">
        <v>1052</v>
      </c>
      <c r="C8" s="183" t="s">
        <v>1053</v>
      </c>
      <c r="D8" s="109"/>
      <c r="E8" s="485"/>
      <c r="F8" s="110"/>
      <c r="G8" s="111"/>
      <c r="H8" s="111"/>
      <c r="I8" s="111"/>
      <c r="J8" s="485"/>
      <c r="K8" s="486"/>
      <c r="L8" s="486"/>
      <c r="M8" s="486"/>
      <c r="N8" s="510"/>
      <c r="O8" s="12"/>
      <c r="S8" s="40"/>
      <c r="T8" s="40"/>
      <c r="U8" s="40"/>
      <c r="V8" s="40"/>
      <c r="Y8" s="12"/>
    </row>
    <row r="9" spans="1:28" ht="14.45" customHeight="1">
      <c r="B9" s="16" t="s">
        <v>1054</v>
      </c>
      <c r="C9" s="15" t="s">
        <v>1055</v>
      </c>
      <c r="D9" s="15" t="s">
        <v>425</v>
      </c>
      <c r="E9" s="35">
        <f>Hydrogen_flow</f>
        <v>0</v>
      </c>
      <c r="F9" s="21"/>
      <c r="G9" s="21"/>
      <c r="H9" s="21"/>
      <c r="I9" s="21"/>
      <c r="J9" s="35">
        <v>120</v>
      </c>
      <c r="K9" s="304"/>
      <c r="L9" s="508">
        <v>0</v>
      </c>
      <c r="M9" s="304"/>
      <c r="N9" s="240">
        <f t="shared" ref="N9:N17" si="0">IF($D9="MWh/yr (LHV)",$E9,$J9*$E9*(1-$L9)/Conversion_kWh_to_MJ)</f>
        <v>0</v>
      </c>
      <c r="O9" s="242" t="str">
        <f>IFERROR(N9/SUM(N21:N38),"")</f>
        <v/>
      </c>
      <c r="Q9" s="563">
        <f>IF($D9="MWh/yr (LHV)",$E9,$E9*MAX(0, $J9*(1-$L9)-2.441*$L9)/Conversion_kWh_to_MJ)</f>
        <v>0</v>
      </c>
      <c r="R9" s="243" t="str">
        <f>IFERROR(Q9/(SUM($Q$9:$Q$13)),"")</f>
        <v/>
      </c>
      <c r="S9" s="42"/>
      <c r="T9" s="90"/>
      <c r="U9" s="90"/>
      <c r="V9"/>
      <c r="X9" s="21"/>
      <c r="Y9" s="12"/>
    </row>
    <row r="10" spans="1:28">
      <c r="B10" s="184" t="s">
        <v>1056</v>
      </c>
      <c r="C10" s="182" t="s">
        <v>1057</v>
      </c>
      <c r="D10" s="177" t="s">
        <v>447</v>
      </c>
      <c r="E10" s="304"/>
      <c r="F10" s="21"/>
      <c r="G10" s="21"/>
      <c r="H10" s="20"/>
      <c r="I10" s="20"/>
      <c r="J10" s="300"/>
      <c r="K10" s="300"/>
      <c r="L10" s="300"/>
      <c r="M10" s="300"/>
      <c r="N10" s="240">
        <f t="shared" si="0"/>
        <v>0</v>
      </c>
      <c r="O10" s="19"/>
      <c r="Q10" s="563">
        <f>IF($D10="MWh/yr (LHV)",$E10,$E10*MAX(0, $J10*(1-$L10)-2.441*$L10)/Conversion_kWh_to_MJ)</f>
        <v>0</v>
      </c>
      <c r="R10" s="243" t="str">
        <f t="shared" ref="R10:R13" si="1">IFERROR(Q10/(SUM($Q$9:$Q$13)),"")</f>
        <v/>
      </c>
      <c r="S10" s="474"/>
      <c r="T10" s="90"/>
      <c r="U10" s="90"/>
      <c r="V10"/>
      <c r="W10" s="23"/>
      <c r="X10" s="21"/>
      <c r="Y10" s="12"/>
    </row>
    <row r="11" spans="1:28" ht="13.9" customHeight="1">
      <c r="B11" s="184" t="s">
        <v>1056</v>
      </c>
      <c r="C11" s="182" t="s">
        <v>1058</v>
      </c>
      <c r="D11" s="177" t="s">
        <v>425</v>
      </c>
      <c r="E11" s="304"/>
      <c r="F11" s="21"/>
      <c r="G11" s="21"/>
      <c r="H11" s="20"/>
      <c r="I11" s="20"/>
      <c r="J11" s="300"/>
      <c r="K11" s="300"/>
      <c r="L11" s="300"/>
      <c r="M11" s="300"/>
      <c r="N11" s="240">
        <f t="shared" si="0"/>
        <v>0</v>
      </c>
      <c r="O11" s="12"/>
      <c r="P11" s="186"/>
      <c r="Q11" s="563">
        <f>IF($D11="MWh/yr (LHV)",$E11,$E11*MAX(0, $J11*(1-$L11)-2.441*$L11)/Conversion_kWh_to_MJ)</f>
        <v>0</v>
      </c>
      <c r="R11" s="243" t="str">
        <f t="shared" si="1"/>
        <v/>
      </c>
      <c r="S11" s="42"/>
      <c r="T11" s="475"/>
      <c r="U11" s="475"/>
      <c r="V11" s="81"/>
      <c r="W11" s="23"/>
      <c r="X11" s="21"/>
      <c r="Y11" s="12"/>
    </row>
    <row r="12" spans="1:28" ht="14.45" customHeight="1">
      <c r="B12" s="184" t="s">
        <v>1056</v>
      </c>
      <c r="C12" s="182" t="s">
        <v>1059</v>
      </c>
      <c r="D12" s="177" t="s">
        <v>425</v>
      </c>
      <c r="E12" s="304"/>
      <c r="F12" s="21"/>
      <c r="G12" s="21"/>
      <c r="H12" s="20"/>
      <c r="I12" s="20"/>
      <c r="J12" s="300"/>
      <c r="K12" s="300"/>
      <c r="L12" s="300"/>
      <c r="M12" s="300"/>
      <c r="N12" s="240">
        <f t="shared" si="0"/>
        <v>0</v>
      </c>
      <c r="O12" s="12"/>
      <c r="P12" s="186"/>
      <c r="Q12" s="563">
        <f>IF($D12="MWh/yr (LHV)",$E12,$E12*MAX(0, $J12*(1-$L12)-2.441*$L12)/Conversion_kWh_to_MJ)</f>
        <v>0</v>
      </c>
      <c r="R12" s="243" t="str">
        <f t="shared" si="1"/>
        <v/>
      </c>
      <c r="S12" s="40"/>
      <c r="T12" s="40"/>
      <c r="U12" s="40"/>
      <c r="V12" s="40"/>
      <c r="X12" s="21"/>
      <c r="Y12" s="12"/>
    </row>
    <row r="13" spans="1:28" ht="14.45" customHeight="1">
      <c r="B13" s="184" t="s">
        <v>1056</v>
      </c>
      <c r="C13" s="182" t="s">
        <v>1060</v>
      </c>
      <c r="D13" s="177" t="s">
        <v>425</v>
      </c>
      <c r="E13" s="304"/>
      <c r="F13" s="21"/>
      <c r="G13" s="21"/>
      <c r="H13" s="20"/>
      <c r="I13" s="20"/>
      <c r="J13" s="300"/>
      <c r="K13" s="300"/>
      <c r="L13" s="300"/>
      <c r="M13" s="300"/>
      <c r="N13" s="240">
        <f t="shared" si="0"/>
        <v>0</v>
      </c>
      <c r="O13" s="12"/>
      <c r="P13" s="186"/>
      <c r="Q13" s="563">
        <f>IF($D13="MWh/yr (LHV)",$E13,$E13*MAX(0, $J13*(1-$L13)-2.441*$L13)/Conversion_kWh_to_MJ)</f>
        <v>0</v>
      </c>
      <c r="R13" s="243" t="str">
        <f t="shared" si="1"/>
        <v/>
      </c>
      <c r="S13" s="40"/>
      <c r="T13" s="39"/>
      <c r="U13" s="39"/>
      <c r="X13" s="21"/>
      <c r="Y13" s="12"/>
    </row>
    <row r="14" spans="1:28" s="14" customFormat="1" ht="14.45" customHeight="1">
      <c r="B14" s="184" t="s">
        <v>1061</v>
      </c>
      <c r="C14" s="182" t="s">
        <v>1062</v>
      </c>
      <c r="D14" s="177" t="s">
        <v>425</v>
      </c>
      <c r="E14" s="304"/>
      <c r="F14" s="21"/>
      <c r="G14" s="21"/>
      <c r="H14" s="20"/>
      <c r="I14" s="20"/>
      <c r="J14" s="300"/>
      <c r="K14" s="300"/>
      <c r="L14" s="300"/>
      <c r="M14" s="300"/>
      <c r="N14" s="240">
        <f t="shared" si="0"/>
        <v>0</v>
      </c>
      <c r="O14" s="12"/>
      <c r="P14" s="186"/>
      <c r="Q14" s="186"/>
      <c r="R14" s="12"/>
      <c r="S14" s="107"/>
      <c r="T14" s="112"/>
      <c r="U14" s="112"/>
      <c r="W14" s="23"/>
      <c r="X14" s="21"/>
      <c r="Y14" s="23"/>
      <c r="Z14" s="42"/>
      <c r="AB14" s="12"/>
    </row>
    <row r="15" spans="1:28" s="14" customFormat="1" ht="14.45" customHeight="1">
      <c r="B15" s="184" t="s">
        <v>1061</v>
      </c>
      <c r="C15" s="182" t="s">
        <v>1063</v>
      </c>
      <c r="D15" s="177" t="s">
        <v>425</v>
      </c>
      <c r="E15" s="304"/>
      <c r="F15" s="21"/>
      <c r="G15" s="21"/>
      <c r="H15" s="20"/>
      <c r="I15" s="20"/>
      <c r="J15" s="300"/>
      <c r="K15" s="300"/>
      <c r="L15" s="300"/>
      <c r="M15" s="300"/>
      <c r="N15" s="240">
        <f t="shared" si="0"/>
        <v>0</v>
      </c>
      <c r="O15" s="12"/>
      <c r="P15"/>
      <c r="Q15"/>
      <c r="R15"/>
      <c r="S15" s="107"/>
      <c r="T15" s="90"/>
      <c r="U15" s="90"/>
      <c r="V15"/>
      <c r="W15" s="23"/>
      <c r="X15" s="21"/>
      <c r="Y15" s="23"/>
      <c r="Z15" s="42"/>
      <c r="AB15" s="12"/>
    </row>
    <row r="16" spans="1:28" s="14" customFormat="1">
      <c r="B16" s="184" t="s">
        <v>1064</v>
      </c>
      <c r="C16" s="182" t="s">
        <v>1065</v>
      </c>
      <c r="D16" s="177" t="s">
        <v>425</v>
      </c>
      <c r="E16" s="304"/>
      <c r="F16" s="21"/>
      <c r="G16" s="21"/>
      <c r="H16" s="20"/>
      <c r="I16" s="459"/>
      <c r="J16" s="300"/>
      <c r="K16" s="300"/>
      <c r="L16" s="300"/>
      <c r="M16" s="300"/>
      <c r="N16" s="240">
        <f t="shared" si="0"/>
        <v>0</v>
      </c>
      <c r="O16" s="12"/>
      <c r="P16"/>
      <c r="Q16"/>
      <c r="R16"/>
      <c r="S16" s="107"/>
      <c r="T16" s="90"/>
      <c r="U16" s="90"/>
      <c r="V16"/>
      <c r="X16" s="21"/>
    </row>
    <row r="17" spans="1:29" s="14" customFormat="1">
      <c r="B17" s="184" t="s">
        <v>1064</v>
      </c>
      <c r="C17" s="182" t="s">
        <v>1066</v>
      </c>
      <c r="D17" s="177" t="s">
        <v>425</v>
      </c>
      <c r="E17" s="304"/>
      <c r="F17" s="21"/>
      <c r="G17" s="21"/>
      <c r="H17" s="20"/>
      <c r="I17" s="459"/>
      <c r="J17" s="300"/>
      <c r="K17" s="300"/>
      <c r="L17" s="300"/>
      <c r="M17" s="300"/>
      <c r="N17" s="240">
        <f t="shared" si="0"/>
        <v>0</v>
      </c>
      <c r="O17" s="12"/>
      <c r="P17"/>
      <c r="Q17"/>
      <c r="R17"/>
      <c r="S17" s="107"/>
      <c r="T17" s="113"/>
      <c r="U17" s="113"/>
      <c r="V17" s="19"/>
      <c r="X17" s="21"/>
    </row>
    <row r="18" spans="1:29">
      <c r="B18" s="68"/>
      <c r="C18" s="69"/>
      <c r="D18" s="78"/>
      <c r="E18" s="73"/>
      <c r="F18" s="70"/>
      <c r="G18" s="79"/>
      <c r="H18" s="71"/>
      <c r="I18" s="71"/>
      <c r="J18" s="73"/>
      <c r="K18" s="73"/>
      <c r="L18" s="73"/>
      <c r="M18" s="73"/>
      <c r="N18" s="73"/>
      <c r="O18" s="12"/>
      <c r="S18" s="40"/>
      <c r="T18" s="40"/>
      <c r="U18" s="40"/>
      <c r="V18" s="12"/>
      <c r="X18" s="76"/>
      <c r="Y18" s="12"/>
    </row>
    <row r="19" spans="1:29" ht="30.95">
      <c r="B19" s="186" t="str">
        <f>IF(AND(GHG_ELECTROLYSIS!$D$6="Default",Master_Switch="On"),"Default data selected for the category below, move to the next category of the step","")</f>
        <v/>
      </c>
      <c r="C19" s="69"/>
      <c r="D19" s="78"/>
      <c r="E19" s="73"/>
      <c r="F19" s="70"/>
      <c r="G19" s="79"/>
      <c r="H19" s="71"/>
      <c r="I19" s="71"/>
      <c r="J19" s="73"/>
      <c r="K19" s="73"/>
      <c r="L19" s="73"/>
      <c r="M19" s="73"/>
      <c r="N19" s="73"/>
      <c r="O19" s="12"/>
      <c r="S19" s="40"/>
      <c r="T19" s="40"/>
      <c r="U19" s="40"/>
      <c r="V19" s="374" t="s">
        <v>1067</v>
      </c>
      <c r="X19" s="76"/>
      <c r="Y19" s="12"/>
    </row>
    <row r="20" spans="1:29">
      <c r="A20" s="19"/>
      <c r="B20" s="144" t="s">
        <v>1068</v>
      </c>
      <c r="C20" s="257"/>
      <c r="D20" s="257"/>
      <c r="E20" s="487"/>
      <c r="F20" s="255"/>
      <c r="G20" s="255"/>
      <c r="H20" s="150"/>
      <c r="I20" s="150"/>
      <c r="J20" s="487"/>
      <c r="K20" s="487"/>
      <c r="L20" s="487"/>
      <c r="M20" s="487"/>
      <c r="N20" s="487"/>
      <c r="O20" s="150"/>
      <c r="P20" s="151"/>
      <c r="Q20" s="151"/>
      <c r="R20" s="151"/>
      <c r="S20" s="476"/>
      <c r="T20" s="476"/>
      <c r="U20" s="476"/>
      <c r="V20" s="152">
        <f>SUM(V21:V21)</f>
        <v>0</v>
      </c>
      <c r="W20" s="19"/>
      <c r="X20" s="19"/>
      <c r="Y20" s="19"/>
      <c r="Z20" s="19"/>
      <c r="AA20" s="19"/>
      <c r="AB20" s="19"/>
      <c r="AC20" s="19"/>
    </row>
    <row r="21" spans="1:29">
      <c r="A21" s="19"/>
      <c r="B21" s="184" t="s">
        <v>1069</v>
      </c>
      <c r="C21" s="182" t="s">
        <v>1070</v>
      </c>
      <c r="D21" s="177" t="s">
        <v>447</v>
      </c>
      <c r="E21" s="35" t="str">
        <f>Initial_questions!E34</f>
        <v>Enter annual usage</v>
      </c>
      <c r="F21" s="21"/>
      <c r="G21" s="21"/>
      <c r="H21" s="21"/>
      <c r="I21" s="21"/>
      <c r="J21" s="304"/>
      <c r="K21" s="304"/>
      <c r="L21" s="304"/>
      <c r="M21" s="304"/>
      <c r="N21" s="261" t="str">
        <f>IF($D21="MWh/yr (LHV)",$E21,$J21*$E21*(1-$L21)/Conversion_kWh_to_MJ)</f>
        <v>Enter annual usage</v>
      </c>
      <c r="O21" s="19"/>
      <c r="P21" s="19"/>
      <c r="Q21" s="19"/>
      <c r="R21" s="19"/>
      <c r="S21" s="477"/>
      <c r="T21" s="298">
        <f>AVERAGE('Typical data'!D136:D138)</f>
        <v>0</v>
      </c>
      <c r="U21" s="298" t="s">
        <v>1071</v>
      </c>
      <c r="V21" s="355" t="str">
        <f>IF(E107&lt;&gt;0,IFERROR(IF(D21="tonnes/yr", $S21*$E21/($N$9*3.6*$E$107), $T21*3.6*$E21/($N$9*3.6*$E$107)), "Unfilled fields to left"),"Electricity source not used")</f>
        <v>Unfilled fields to left</v>
      </c>
      <c r="W21" s="19"/>
      <c r="X21" s="21"/>
      <c r="Y21" s="19"/>
      <c r="Z21" s="19"/>
      <c r="AA21" s="19"/>
      <c r="AB21" s="19"/>
      <c r="AC21" s="19"/>
    </row>
    <row r="22" spans="1:29">
      <c r="A22" s="19"/>
      <c r="C22" s="19"/>
      <c r="D22" s="19"/>
      <c r="E22" s="532"/>
      <c r="F22" s="17"/>
      <c r="G22" s="17"/>
      <c r="H22" s="17"/>
      <c r="I22" s="17"/>
      <c r="J22" s="139"/>
      <c r="K22" s="139"/>
      <c r="L22" s="139"/>
      <c r="M22" s="139"/>
      <c r="N22" s="113"/>
      <c r="O22" s="19"/>
      <c r="P22" s="19"/>
      <c r="Q22" s="19"/>
      <c r="R22" s="19"/>
      <c r="S22" s="113"/>
      <c r="T22" s="113"/>
      <c r="U22" s="113"/>
      <c r="V22" s="19"/>
      <c r="W22" s="19"/>
      <c r="X22" s="19"/>
      <c r="Y22" s="19"/>
      <c r="Z22" s="19"/>
      <c r="AA22" s="19"/>
      <c r="AB22" s="19"/>
      <c r="AC22" s="19"/>
    </row>
    <row r="23" spans="1:29" ht="30.95">
      <c r="A23" s="19"/>
      <c r="B23" s="186" t="str">
        <f>IF(AND(GHG_ELECTROLYSIS!$D$23="Default",Master_Switch="On"),"Default data selected for the category below, move to the next category of the step","")</f>
        <v/>
      </c>
      <c r="C23" s="260"/>
      <c r="D23" s="78"/>
      <c r="E23" s="478"/>
      <c r="F23" s="79"/>
      <c r="G23" s="79"/>
      <c r="H23" s="258"/>
      <c r="I23" s="258"/>
      <c r="J23" s="252"/>
      <c r="K23" s="252"/>
      <c r="L23" s="252"/>
      <c r="M23" s="252"/>
      <c r="N23" s="492"/>
      <c r="O23" s="19"/>
      <c r="P23" s="19"/>
      <c r="Q23" s="19"/>
      <c r="R23" s="19"/>
      <c r="S23" s="40"/>
      <c r="T23" s="40"/>
      <c r="U23" s="40"/>
      <c r="V23" s="374" t="s">
        <v>1072</v>
      </c>
      <c r="W23" s="19"/>
      <c r="X23" s="259"/>
      <c r="Y23" s="19"/>
      <c r="Z23" s="19"/>
      <c r="AA23" s="19"/>
      <c r="AB23" s="19"/>
      <c r="AC23" s="19"/>
    </row>
    <row r="24" spans="1:29">
      <c r="A24" s="19"/>
      <c r="B24" s="144" t="s">
        <v>1073</v>
      </c>
      <c r="C24" s="257"/>
      <c r="D24" s="257"/>
      <c r="E24" s="490"/>
      <c r="F24" s="255"/>
      <c r="G24" s="255"/>
      <c r="H24" s="150"/>
      <c r="I24" s="150"/>
      <c r="J24" s="487"/>
      <c r="K24" s="487"/>
      <c r="L24" s="487"/>
      <c r="M24" s="487"/>
      <c r="N24" s="570"/>
      <c r="O24" s="150"/>
      <c r="P24" s="151"/>
      <c r="Q24" s="151"/>
      <c r="R24" s="151"/>
      <c r="S24" s="476"/>
      <c r="T24" s="476"/>
      <c r="U24" s="476"/>
      <c r="V24" s="152">
        <f>SUM(V25:V25)</f>
        <v>0</v>
      </c>
      <c r="W24" s="19"/>
      <c r="X24" s="19"/>
      <c r="Y24" s="19"/>
      <c r="Z24" s="19"/>
      <c r="AA24" s="19"/>
      <c r="AB24" s="19"/>
      <c r="AC24" s="19"/>
    </row>
    <row r="25" spans="1:29">
      <c r="A25" s="19"/>
      <c r="B25" s="184" t="s">
        <v>1069</v>
      </c>
      <c r="C25" s="182" t="s">
        <v>1074</v>
      </c>
      <c r="D25" s="177" t="s">
        <v>447</v>
      </c>
      <c r="E25" s="35" t="str">
        <f>Initial_questions!E35</f>
        <v>Enter annual usage</v>
      </c>
      <c r="F25" s="21"/>
      <c r="G25" s="21"/>
      <c r="H25" s="21"/>
      <c r="I25" s="21"/>
      <c r="J25" s="304"/>
      <c r="K25" s="304"/>
      <c r="L25" s="304"/>
      <c r="M25" s="304"/>
      <c r="N25" s="261" t="str">
        <f>IF($D25="MWh/yr (LHV)",$E25,$J25*$E25*(1-$L25)/Conversion_kWh_to_MJ)</f>
        <v>Enter annual usage</v>
      </c>
      <c r="O25" s="19"/>
      <c r="P25" s="19"/>
      <c r="Q25" s="19"/>
      <c r="R25" s="19"/>
      <c r="S25" s="477"/>
      <c r="T25" s="298" t="e">
        <f>Initial_questions!E39*1/Conversion_kWh_to_MJ</f>
        <v>#VALUE!</v>
      </c>
      <c r="U25" s="35" t="s">
        <v>1075</v>
      </c>
      <c r="V25" s="355" t="str">
        <f>IF(E108&lt;&gt;0,IFERROR(IF(D25="tonnes/yr", $S25*$E25/($N$9*3.6*$E$108), $T25*3.6*$E25/($N$9*3.6*$E$108)), "Unfilled fields to left"),"Electricity source not used")</f>
        <v>Unfilled fields to left</v>
      </c>
      <c r="W25" s="19"/>
      <c r="X25" s="21"/>
      <c r="Y25" s="19"/>
      <c r="Z25" s="19"/>
      <c r="AA25" s="19"/>
      <c r="AB25" s="19"/>
      <c r="AC25" s="19"/>
    </row>
    <row r="26" spans="1:29">
      <c r="C26" s="69"/>
      <c r="D26" s="69"/>
      <c r="E26" s="500"/>
      <c r="F26" s="70"/>
      <c r="G26" s="70"/>
      <c r="H26" s="71"/>
      <c r="I26" s="462"/>
      <c r="J26" s="73"/>
      <c r="K26" s="73"/>
      <c r="L26" s="73"/>
      <c r="M26" s="73"/>
      <c r="N26" s="73"/>
      <c r="O26" s="12"/>
      <c r="S26" s="75"/>
      <c r="T26" s="73"/>
      <c r="U26" s="73"/>
      <c r="V26" s="12"/>
      <c r="X26" s="74"/>
      <c r="Y26" s="12"/>
    </row>
    <row r="27" spans="1:29" s="19" customFormat="1" ht="30.95">
      <c r="B27" s="186" t="str">
        <f>IF(AND(GHG_ELECTROLYSIS!$D$40="Default",Master_Switch="On"),"Default data selected for the category below, move to the next category of the step","")</f>
        <v/>
      </c>
      <c r="C27" s="260"/>
      <c r="D27" s="78"/>
      <c r="E27" s="478"/>
      <c r="F27" s="79"/>
      <c r="G27" s="79"/>
      <c r="H27" s="258"/>
      <c r="I27" s="258"/>
      <c r="J27" s="252"/>
      <c r="K27" s="252"/>
      <c r="L27" s="252"/>
      <c r="M27" s="252"/>
      <c r="N27" s="252"/>
      <c r="S27" s="40"/>
      <c r="T27" s="40"/>
      <c r="U27" s="40"/>
      <c r="V27" s="374" t="s">
        <v>1076</v>
      </c>
      <c r="X27" s="259"/>
    </row>
    <row r="28" spans="1:29" s="19" customFormat="1">
      <c r="B28" s="144" t="s">
        <v>1077</v>
      </c>
      <c r="C28" s="257"/>
      <c r="D28" s="257"/>
      <c r="E28" s="490"/>
      <c r="F28" s="255"/>
      <c r="G28" s="255"/>
      <c r="H28" s="150"/>
      <c r="I28" s="150"/>
      <c r="J28" s="487"/>
      <c r="K28" s="487"/>
      <c r="L28" s="487"/>
      <c r="M28" s="487"/>
      <c r="N28" s="487"/>
      <c r="O28" s="150"/>
      <c r="P28" s="151"/>
      <c r="Q28" s="151"/>
      <c r="R28" s="151"/>
      <c r="S28" s="476"/>
      <c r="T28" s="476"/>
      <c r="U28" s="476"/>
      <c r="V28" s="152">
        <f>SUM(V29:V29)</f>
        <v>0</v>
      </c>
    </row>
    <row r="29" spans="1:29" s="19" customFormat="1" ht="15" customHeight="1">
      <c r="B29" s="184" t="s">
        <v>1069</v>
      </c>
      <c r="C29" s="182" t="s">
        <v>1078</v>
      </c>
      <c r="D29" s="177" t="s">
        <v>447</v>
      </c>
      <c r="E29" s="35" t="str">
        <f>Initial_questions!E36</f>
        <v>Enter annual usage</v>
      </c>
      <c r="F29" s="21"/>
      <c r="G29" s="21"/>
      <c r="H29" s="21"/>
      <c r="I29" s="21"/>
      <c r="J29" s="304"/>
      <c r="K29" s="304"/>
      <c r="L29" s="304"/>
      <c r="M29" s="304"/>
      <c r="N29" s="261" t="str">
        <f>IF($D29="MWh/yr (LHV)",$E29,$J29*$E29*(1-$L29)/Conversion_kWh_to_MJ)</f>
        <v>Enter annual usage</v>
      </c>
      <c r="S29" s="477"/>
      <c r="T29" s="298" t="e">
        <f>INDEX(Proj_grid_intensity_kWh,MATCH(Operations_year,Proj_grid_year,0))/Conversion_kWh_to_MJ</f>
        <v>#N/A</v>
      </c>
      <c r="U29" s="298" t="s">
        <v>1071</v>
      </c>
      <c r="V29" s="355" t="str">
        <f>IF(E109&lt;&gt;0,IFERROR(IF(D29="tonnes/yr", $S29*$E29/($N$9*3.6*$E$109), $T29*3.6*$E29/($N$9*3.6*$E$109)), "Unfilled fields to left"),"Electricity source not used")</f>
        <v>Unfilled fields to left</v>
      </c>
      <c r="X29" s="21"/>
    </row>
    <row r="30" spans="1:29" s="19" customFormat="1">
      <c r="E30" s="532"/>
      <c r="F30" s="17"/>
      <c r="G30" s="17"/>
      <c r="H30" s="18"/>
      <c r="I30" s="18"/>
      <c r="J30" s="40"/>
      <c r="K30" s="40"/>
      <c r="L30" s="40"/>
      <c r="M30" s="40"/>
      <c r="N30" s="125"/>
      <c r="O30"/>
      <c r="S30" s="125"/>
      <c r="T30" s="125"/>
      <c r="U30" s="125"/>
      <c r="V30" s="125"/>
      <c r="Y30"/>
    </row>
    <row r="31" spans="1:29" s="19" customFormat="1" ht="29.1">
      <c r="E31" s="532"/>
      <c r="F31" s="17"/>
      <c r="G31" s="17"/>
      <c r="H31" s="18"/>
      <c r="I31" s="18"/>
      <c r="J31" s="40"/>
      <c r="K31" s="40"/>
      <c r="L31" s="40"/>
      <c r="M31" s="40"/>
      <c r="N31" s="125"/>
      <c r="O31"/>
      <c r="S31" s="125"/>
      <c r="T31" s="125"/>
      <c r="U31" s="125"/>
      <c r="V31" s="589" t="s">
        <v>1079</v>
      </c>
      <c r="Y31"/>
    </row>
    <row r="32" spans="1:29" s="19" customFormat="1">
      <c r="B32" s="144" t="s">
        <v>1080</v>
      </c>
      <c r="C32" s="257"/>
      <c r="D32" s="257"/>
      <c r="E32" s="490"/>
      <c r="F32" s="255"/>
      <c r="G32" s="255"/>
      <c r="H32" s="150"/>
      <c r="I32" s="150"/>
      <c r="J32" s="487"/>
      <c r="K32" s="487"/>
      <c r="L32" s="487"/>
      <c r="M32" s="487"/>
      <c r="N32" s="487"/>
      <c r="O32" s="150"/>
      <c r="P32" s="151"/>
      <c r="Q32" s="151"/>
      <c r="R32" s="151"/>
      <c r="S32" s="476"/>
      <c r="T32" s="476"/>
      <c r="U32" s="476"/>
      <c r="V32" s="152">
        <f>SUM(V33:V33)</f>
        <v>0</v>
      </c>
      <c r="Y32"/>
    </row>
    <row r="33" spans="1:29" s="19" customFormat="1">
      <c r="B33" s="184" t="s">
        <v>1069</v>
      </c>
      <c r="C33" s="182" t="s">
        <v>1081</v>
      </c>
      <c r="D33" s="177" t="s">
        <v>447</v>
      </c>
      <c r="E33" s="35" t="str">
        <f>Initial_questions!E37</f>
        <v>Enter annual usage</v>
      </c>
      <c r="F33" s="21"/>
      <c r="G33" s="21"/>
      <c r="H33" s="21"/>
      <c r="I33" s="21"/>
      <c r="J33" s="304"/>
      <c r="K33" s="304"/>
      <c r="L33" s="304"/>
      <c r="M33" s="304"/>
      <c r="N33" s="261" t="str">
        <f>IF($D33="MWh/yr (LHV)",$E33,$J33*$E33*(1-$L33)/Conversion_kWh_to_MJ)</f>
        <v>Enter annual usage</v>
      </c>
      <c r="S33" s="477"/>
      <c r="T33" s="298" t="e">
        <f>Initial_questions!$E$40*1/Conversion_kWh_to_MJ</f>
        <v>#VALUE!</v>
      </c>
      <c r="U33" s="35" t="s">
        <v>1075</v>
      </c>
      <c r="V33" s="355" t="str">
        <f>IF(E110&lt;&gt;0,IFERROR(IF(D33="tonnes/yr", $S33*$E33/($N$9*3.6*$E$109), $T33*3.6*$E33/($N$9*3.6*$E$109)), "Unfilled fields to left"),"Electricity source not used")</f>
        <v>Unfilled fields to left</v>
      </c>
      <c r="X33" s="21"/>
      <c r="Y33"/>
    </row>
    <row r="34" spans="1:29" s="19" customFormat="1">
      <c r="E34" s="532"/>
      <c r="F34" s="17"/>
      <c r="G34" s="17"/>
      <c r="H34" s="18"/>
      <c r="I34" s="18"/>
      <c r="J34" s="40"/>
      <c r="K34" s="40"/>
      <c r="L34" s="40"/>
      <c r="M34" s="40"/>
      <c r="N34" s="125"/>
      <c r="O34"/>
      <c r="S34" s="125"/>
      <c r="T34" s="125"/>
      <c r="U34" s="125"/>
      <c r="V34" s="125"/>
      <c r="Y34"/>
    </row>
    <row r="35" spans="1:29" s="19" customFormat="1" ht="30.95">
      <c r="B35" s="186" t="str">
        <f>IF(AND(GHG_ELECTROLYSIS!$D$74="Default",Master_Switch="On"),"Default data selected for the category below, move to the next category of the step","")</f>
        <v/>
      </c>
      <c r="C35" s="260"/>
      <c r="E35" s="532"/>
      <c r="F35" s="79"/>
      <c r="G35" s="79"/>
      <c r="H35" s="258"/>
      <c r="I35" s="258"/>
      <c r="J35" s="252"/>
      <c r="K35" s="252"/>
      <c r="L35" s="252"/>
      <c r="M35" s="252"/>
      <c r="N35" s="252"/>
      <c r="S35" s="40"/>
      <c r="T35" s="40"/>
      <c r="U35" s="40"/>
      <c r="V35" s="374" t="s">
        <v>1082</v>
      </c>
      <c r="X35" s="259"/>
    </row>
    <row r="36" spans="1:29" s="19" customFormat="1">
      <c r="B36" s="144" t="s">
        <v>1083</v>
      </c>
      <c r="C36" s="257"/>
      <c r="D36" s="257"/>
      <c r="E36" s="490"/>
      <c r="F36" s="255"/>
      <c r="G36" s="255"/>
      <c r="H36" s="150"/>
      <c r="I36" s="150"/>
      <c r="J36" s="487"/>
      <c r="K36" s="487"/>
      <c r="L36" s="487"/>
      <c r="M36" s="487"/>
      <c r="N36" s="487"/>
      <c r="O36" s="150"/>
      <c r="P36" s="151"/>
      <c r="Q36" s="151"/>
      <c r="R36" s="151"/>
      <c r="S36" s="476"/>
      <c r="T36" s="476"/>
      <c r="U36" s="476"/>
      <c r="V36" s="152">
        <f>SUM(V37:V37)</f>
        <v>0</v>
      </c>
    </row>
    <row r="37" spans="1:29" s="19" customFormat="1" ht="15" customHeight="1">
      <c r="B37" s="184" t="s">
        <v>1069</v>
      </c>
      <c r="C37" s="182" t="s">
        <v>1084</v>
      </c>
      <c r="D37" s="177" t="s">
        <v>447</v>
      </c>
      <c r="E37" s="35" t="str">
        <f>Initial_questions!E38</f>
        <v>Enter annual usage</v>
      </c>
      <c r="F37" s="21"/>
      <c r="G37" s="21"/>
      <c r="H37" s="21"/>
      <c r="I37" s="21"/>
      <c r="J37" s="304"/>
      <c r="K37" s="304"/>
      <c r="L37" s="304"/>
      <c r="M37" s="304"/>
      <c r="N37" s="240" t="str">
        <f>IF($D37="MWh/yr (LHV)",$E37,$J37*$E37*(1-$L37)/Conversion_kWh_to_MJ)</f>
        <v>Enter annual usage</v>
      </c>
      <c r="S37" s="477"/>
      <c r="T37" s="298" t="e">
        <f>Initial_questions!$E$41*1/Conversion_kWh_to_MJ</f>
        <v>#VALUE!</v>
      </c>
      <c r="U37" s="298" t="s">
        <v>1075</v>
      </c>
      <c r="V37" s="355" t="str">
        <f>IF(E111&lt;&gt;0,IFERROR(IF(D37="tonnes/yr", $S37*$E37/($N$9*3.6*$E$111), $T37*3.6*$E37/($N$9*3.6*$E$111)), "Unfilled fields to left"),"Electricity source not used")</f>
        <v>Unfilled fields to left</v>
      </c>
      <c r="X37" s="21"/>
    </row>
    <row r="38" spans="1:29" s="19" customFormat="1">
      <c r="E38" s="139"/>
      <c r="F38" s="17"/>
      <c r="G38" s="17"/>
      <c r="H38" s="17"/>
      <c r="I38" s="17"/>
      <c r="J38" s="139"/>
      <c r="K38" s="139"/>
      <c r="L38" s="139"/>
      <c r="M38" s="139"/>
      <c r="N38" s="113"/>
      <c r="S38" s="113"/>
      <c r="T38" s="113"/>
      <c r="U38" s="113"/>
    </row>
    <row r="39" spans="1:29" ht="30.95">
      <c r="A39" s="19"/>
      <c r="B39" s="186" t="str">
        <f>IF(AND(OR(GHG_ELECTROLYSIS!$D$6="Default",GHG_ELECTROLYSIS!$D$23="Default", GHG_ELECTROLYSIS!$D$40="Default",GHG_ELECTROLYSIS!$D$74="Default"),Master_Switch="On"),"Default data selected for the category below, move to the next category of the step","")</f>
        <v/>
      </c>
      <c r="C39" s="260"/>
      <c r="D39" s="260"/>
      <c r="E39" s="492"/>
      <c r="F39" s="79"/>
      <c r="G39" s="79"/>
      <c r="H39" s="258"/>
      <c r="I39" s="463"/>
      <c r="J39" s="252"/>
      <c r="K39" s="252"/>
      <c r="L39" s="252"/>
      <c r="M39" s="252"/>
      <c r="N39" s="252"/>
      <c r="O39" s="19"/>
      <c r="P39" s="19"/>
      <c r="Q39" s="19"/>
      <c r="R39" s="19"/>
      <c r="S39" s="478"/>
      <c r="T39" s="252"/>
      <c r="U39" s="252"/>
      <c r="V39" s="360" t="s">
        <v>1085</v>
      </c>
      <c r="W39" s="19"/>
      <c r="X39" s="251"/>
      <c r="Y39" s="19"/>
      <c r="Z39" s="19"/>
      <c r="AA39" s="19"/>
      <c r="AB39" s="19"/>
      <c r="AC39" s="19"/>
    </row>
    <row r="40" spans="1:29">
      <c r="A40" s="19"/>
      <c r="B40" s="144" t="s">
        <v>1086</v>
      </c>
      <c r="C40" s="257"/>
      <c r="D40" s="257"/>
      <c r="E40" s="487"/>
      <c r="F40" s="255"/>
      <c r="G40" s="255"/>
      <c r="H40" s="150"/>
      <c r="I40" s="150"/>
      <c r="J40" s="487"/>
      <c r="K40" s="487"/>
      <c r="L40" s="487"/>
      <c r="M40" s="487"/>
      <c r="N40" s="487"/>
      <c r="O40" s="150"/>
      <c r="P40" s="151"/>
      <c r="Q40" s="151"/>
      <c r="R40" s="151"/>
      <c r="S40" s="476"/>
      <c r="T40" s="476"/>
      <c r="U40" s="476"/>
      <c r="V40" s="152">
        <f>SUM(V41:V50)</f>
        <v>0</v>
      </c>
      <c r="W40" s="19"/>
      <c r="X40" s="19"/>
      <c r="Y40" s="19"/>
      <c r="Z40" s="19"/>
      <c r="AA40" s="19"/>
      <c r="AB40" s="19"/>
      <c r="AC40" s="19"/>
    </row>
    <row r="41" spans="1:29">
      <c r="A41" s="19"/>
      <c r="B41" s="184" t="s">
        <v>1069</v>
      </c>
      <c r="C41" s="182" t="s">
        <v>1087</v>
      </c>
      <c r="D41" s="177" t="s">
        <v>447</v>
      </c>
      <c r="E41" s="304"/>
      <c r="F41" s="21"/>
      <c r="G41" s="21"/>
      <c r="H41" s="20"/>
      <c r="I41" s="459"/>
      <c r="J41" s="300"/>
      <c r="K41" s="300"/>
      <c r="L41" s="300"/>
      <c r="M41" s="300"/>
      <c r="N41" s="240">
        <f t="shared" ref="N41:N50" si="2">IF($D41="MWh/yr (LHV)",$E41,$J41*$E41*(1-$L41)/Conversion_kWh_to_MJ)</f>
        <v>0</v>
      </c>
      <c r="O41" s="254"/>
      <c r="P41" s="19"/>
      <c r="Q41" s="19"/>
      <c r="R41" s="19"/>
      <c r="S41" s="35" t="str">
        <f>IF(B41="", "", IF(D41="MWh/yr (LHV)", "Use column to right", "Enter data here"))</f>
        <v>Use column to right</v>
      </c>
      <c r="T41" s="35" t="str">
        <f>IF(B41="", "", IF(D41="MWh/yr (LHV)", "Enter data here", "Use column to left"))</f>
        <v>Enter data here</v>
      </c>
      <c r="U41" s="35" t="s">
        <v>1088</v>
      </c>
      <c r="V41" s="355" t="str">
        <f t="shared" ref="V41:V50" si="3">IFERROR(IF(D41="tonnes/yr", $S41*$E41/($N$9*3.6), $T41*3.6*$E41/($N$9*3.6)), "Unfilled fields to left")</f>
        <v>Unfilled fields to left</v>
      </c>
      <c r="W41" s="19"/>
      <c r="X41" s="25"/>
      <c r="Y41" s="19"/>
      <c r="Z41" s="19"/>
      <c r="AA41" s="19"/>
      <c r="AB41" s="19"/>
      <c r="AC41" s="19"/>
    </row>
    <row r="42" spans="1:29">
      <c r="A42" s="19"/>
      <c r="B42" s="184" t="s">
        <v>1069</v>
      </c>
      <c r="C42" s="182" t="s">
        <v>1089</v>
      </c>
      <c r="D42" s="177" t="s">
        <v>447</v>
      </c>
      <c r="E42" s="304"/>
      <c r="F42" s="464"/>
      <c r="G42" s="21"/>
      <c r="H42" s="20"/>
      <c r="I42" s="459"/>
      <c r="J42" s="300"/>
      <c r="K42" s="300"/>
      <c r="L42" s="300"/>
      <c r="M42" s="300"/>
      <c r="N42" s="240">
        <f t="shared" si="2"/>
        <v>0</v>
      </c>
      <c r="O42" s="19"/>
      <c r="P42" s="19"/>
      <c r="Q42" s="19"/>
      <c r="R42" s="19"/>
      <c r="S42" s="35" t="str">
        <f t="shared" ref="S42:S46" si="4">IF(B42="", "", IF(D42="MWh/yr (LHV)", "Use column to right", "Enter data here"))</f>
        <v>Use column to right</v>
      </c>
      <c r="T42" s="35" t="str">
        <f t="shared" ref="T42:T46" si="5">IF(B42="", "", IF(D42="MWh/yr (LHV)", "Enter data here", "Use column to left"))</f>
        <v>Enter data here</v>
      </c>
      <c r="U42" s="35" t="s">
        <v>1088</v>
      </c>
      <c r="V42" s="355" t="str">
        <f t="shared" si="3"/>
        <v>Unfilled fields to left</v>
      </c>
      <c r="W42" s="19"/>
      <c r="X42" s="25"/>
      <c r="Y42" s="19"/>
      <c r="Z42" s="19"/>
      <c r="AA42" s="19"/>
      <c r="AB42" s="19"/>
      <c r="AC42" s="19"/>
    </row>
    <row r="43" spans="1:29">
      <c r="A43" s="19"/>
      <c r="B43" s="184" t="s">
        <v>1090</v>
      </c>
      <c r="C43" s="182" t="s">
        <v>1091</v>
      </c>
      <c r="D43" s="177" t="s">
        <v>425</v>
      </c>
      <c r="E43" s="304"/>
      <c r="F43" s="21"/>
      <c r="G43" s="21"/>
      <c r="H43" s="20"/>
      <c r="I43" s="459"/>
      <c r="J43" s="300"/>
      <c r="K43" s="300"/>
      <c r="L43" s="300"/>
      <c r="M43" s="300"/>
      <c r="N43" s="240">
        <f t="shared" si="2"/>
        <v>0</v>
      </c>
      <c r="O43" s="19"/>
      <c r="P43" s="19"/>
      <c r="Q43" s="19"/>
      <c r="R43" s="19"/>
      <c r="S43" s="35" t="str">
        <f t="shared" si="4"/>
        <v>Enter data here</v>
      </c>
      <c r="T43" s="35" t="str">
        <f t="shared" si="5"/>
        <v>Use column to left</v>
      </c>
      <c r="U43" s="35" t="s">
        <v>1092</v>
      </c>
      <c r="V43" s="355" t="str">
        <f t="shared" si="3"/>
        <v>Unfilled fields to left</v>
      </c>
      <c r="W43" s="19"/>
      <c r="X43" s="25"/>
      <c r="Y43" s="19"/>
      <c r="Z43" s="19"/>
      <c r="AA43" s="19"/>
      <c r="AB43" s="19"/>
      <c r="AC43" s="19"/>
    </row>
    <row r="44" spans="1:29">
      <c r="A44" s="19"/>
      <c r="B44" s="184" t="s">
        <v>1090</v>
      </c>
      <c r="C44" s="182" t="s">
        <v>1093</v>
      </c>
      <c r="D44" s="177" t="s">
        <v>425</v>
      </c>
      <c r="E44" s="304"/>
      <c r="F44" s="21"/>
      <c r="G44" s="21"/>
      <c r="H44" s="21"/>
      <c r="I44" s="21"/>
      <c r="J44" s="304"/>
      <c r="K44" s="304"/>
      <c r="L44" s="304"/>
      <c r="M44" s="304"/>
      <c r="N44" s="240">
        <f t="shared" si="2"/>
        <v>0</v>
      </c>
      <c r="O44" s="19"/>
      <c r="P44" s="19"/>
      <c r="Q44" s="19"/>
      <c r="R44" s="19"/>
      <c r="S44" s="35" t="str">
        <f t="shared" si="4"/>
        <v>Enter data here</v>
      </c>
      <c r="T44" s="35" t="str">
        <f t="shared" si="5"/>
        <v>Use column to left</v>
      </c>
      <c r="U44" s="35" t="s">
        <v>1092</v>
      </c>
      <c r="V44" s="355" t="str">
        <f t="shared" si="3"/>
        <v>Unfilled fields to left</v>
      </c>
      <c r="W44" s="19"/>
      <c r="X44" s="21"/>
      <c r="Y44" s="19"/>
      <c r="Z44" s="19"/>
      <c r="AA44" s="19"/>
      <c r="AB44" s="19"/>
      <c r="AC44" s="19"/>
    </row>
    <row r="45" spans="1:29">
      <c r="A45" s="19"/>
      <c r="B45" s="184" t="s">
        <v>1090</v>
      </c>
      <c r="C45" s="182" t="s">
        <v>1094</v>
      </c>
      <c r="D45" s="177" t="s">
        <v>425</v>
      </c>
      <c r="E45" s="304"/>
      <c r="F45" s="21"/>
      <c r="G45" s="21"/>
      <c r="H45" s="21"/>
      <c r="I45" s="21"/>
      <c r="J45" s="304"/>
      <c r="K45" s="304"/>
      <c r="L45" s="304"/>
      <c r="M45" s="304"/>
      <c r="N45" s="240">
        <f t="shared" si="2"/>
        <v>0</v>
      </c>
      <c r="O45" s="19"/>
      <c r="P45" s="19"/>
      <c r="Q45" s="19"/>
      <c r="R45" s="19"/>
      <c r="S45" s="35" t="str">
        <f t="shared" si="4"/>
        <v>Enter data here</v>
      </c>
      <c r="T45" s="35" t="str">
        <f t="shared" si="5"/>
        <v>Use column to left</v>
      </c>
      <c r="U45" s="35" t="s">
        <v>1092</v>
      </c>
      <c r="V45" s="355" t="str">
        <f t="shared" si="3"/>
        <v>Unfilled fields to left</v>
      </c>
      <c r="W45" s="19"/>
      <c r="X45" s="21"/>
      <c r="Y45" s="19"/>
      <c r="Z45" s="19"/>
      <c r="AA45" s="19"/>
      <c r="AB45" s="19"/>
      <c r="AC45" s="19"/>
    </row>
    <row r="46" spans="1:29">
      <c r="A46" s="19"/>
      <c r="B46" s="184"/>
      <c r="C46" s="182"/>
      <c r="D46" s="177"/>
      <c r="E46" s="304"/>
      <c r="F46" s="21"/>
      <c r="G46" s="21"/>
      <c r="H46" s="21"/>
      <c r="I46" s="21"/>
      <c r="J46" s="304"/>
      <c r="K46" s="304"/>
      <c r="L46" s="304"/>
      <c r="M46" s="304"/>
      <c r="N46" s="240">
        <f t="shared" si="2"/>
        <v>0</v>
      </c>
      <c r="O46" s="19"/>
      <c r="P46" s="19"/>
      <c r="Q46" s="19"/>
      <c r="R46" s="19"/>
      <c r="S46" s="35" t="str">
        <f t="shared" si="4"/>
        <v/>
      </c>
      <c r="T46" s="35" t="str">
        <f t="shared" si="5"/>
        <v/>
      </c>
      <c r="U46" s="35"/>
      <c r="V46" s="355" t="str">
        <f t="shared" si="3"/>
        <v>Unfilled fields to left</v>
      </c>
      <c r="W46" s="19"/>
      <c r="X46" s="21"/>
      <c r="Y46" s="19"/>
      <c r="Z46" s="19"/>
      <c r="AA46" s="19"/>
      <c r="AB46" s="19"/>
      <c r="AC46" s="19"/>
    </row>
    <row r="47" spans="1:29">
      <c r="A47" s="19"/>
      <c r="B47" s="184"/>
      <c r="C47" s="182"/>
      <c r="D47" s="177"/>
      <c r="E47" s="304"/>
      <c r="F47" s="21"/>
      <c r="G47" s="21"/>
      <c r="H47" s="21"/>
      <c r="I47" s="21"/>
      <c r="J47" s="304"/>
      <c r="K47" s="304"/>
      <c r="L47" s="304"/>
      <c r="M47" s="304"/>
      <c r="N47" s="240">
        <f t="shared" si="2"/>
        <v>0</v>
      </c>
      <c r="O47" s="19"/>
      <c r="P47" s="19"/>
      <c r="Q47" s="19"/>
      <c r="R47" s="19"/>
      <c r="S47" s="35" t="str">
        <f t="shared" ref="S47:S50" si="6">IF(B47="", "", IF(D47="MWh/yr (LHV)", "Use column to right", "Enter data here"))</f>
        <v/>
      </c>
      <c r="T47" s="35" t="str">
        <f t="shared" ref="T47:T50" si="7">IF(B47="", "", IF(D47="MWh/yr (LHV)", "Enter data here", "Use column to left"))</f>
        <v/>
      </c>
      <c r="U47" s="300"/>
      <c r="V47" s="355" t="str">
        <f t="shared" si="3"/>
        <v>Unfilled fields to left</v>
      </c>
      <c r="W47" s="19"/>
      <c r="X47" s="21"/>
      <c r="Y47" s="19"/>
      <c r="Z47" s="19"/>
      <c r="AA47" s="19"/>
      <c r="AB47" s="19"/>
      <c r="AC47" s="19"/>
    </row>
    <row r="48" spans="1:29">
      <c r="A48" s="19"/>
      <c r="B48" s="184"/>
      <c r="C48" s="182"/>
      <c r="D48" s="177"/>
      <c r="E48" s="304"/>
      <c r="F48" s="21"/>
      <c r="G48" s="21"/>
      <c r="H48" s="21"/>
      <c r="I48" s="21"/>
      <c r="J48" s="304"/>
      <c r="K48" s="304"/>
      <c r="L48" s="304"/>
      <c r="M48" s="304"/>
      <c r="N48" s="240">
        <f t="shared" si="2"/>
        <v>0</v>
      </c>
      <c r="O48" s="19"/>
      <c r="P48" s="19"/>
      <c r="Q48" s="19"/>
      <c r="R48" s="19"/>
      <c r="S48" s="35" t="str">
        <f t="shared" si="6"/>
        <v/>
      </c>
      <c r="T48" s="35" t="str">
        <f t="shared" si="7"/>
        <v/>
      </c>
      <c r="U48" s="300"/>
      <c r="V48" s="355" t="str">
        <f t="shared" si="3"/>
        <v>Unfilled fields to left</v>
      </c>
      <c r="W48" s="19"/>
      <c r="X48" s="21"/>
      <c r="Y48" s="19"/>
      <c r="Z48" s="19"/>
      <c r="AA48" s="19"/>
      <c r="AB48" s="19"/>
      <c r="AC48" s="19"/>
    </row>
    <row r="49" spans="1:29">
      <c r="A49" s="19"/>
      <c r="B49" s="184"/>
      <c r="C49" s="182"/>
      <c r="D49" s="177"/>
      <c r="E49" s="304"/>
      <c r="F49" s="21"/>
      <c r="G49" s="21"/>
      <c r="H49" s="21"/>
      <c r="I49" s="21"/>
      <c r="J49" s="304"/>
      <c r="K49" s="304"/>
      <c r="L49" s="304"/>
      <c r="M49" s="304"/>
      <c r="N49" s="240">
        <f t="shared" si="2"/>
        <v>0</v>
      </c>
      <c r="O49" s="19"/>
      <c r="P49" s="19"/>
      <c r="Q49" s="19"/>
      <c r="R49" s="19"/>
      <c r="S49" s="35" t="str">
        <f t="shared" si="6"/>
        <v/>
      </c>
      <c r="T49" s="35" t="str">
        <f t="shared" si="7"/>
        <v/>
      </c>
      <c r="U49" s="300"/>
      <c r="V49" s="355" t="str">
        <f t="shared" si="3"/>
        <v>Unfilled fields to left</v>
      </c>
      <c r="W49" s="19"/>
      <c r="X49" s="21"/>
      <c r="Y49" s="19"/>
      <c r="Z49" s="19"/>
      <c r="AA49" s="19"/>
      <c r="AB49" s="19"/>
      <c r="AC49" s="19"/>
    </row>
    <row r="50" spans="1:29">
      <c r="A50" s="19"/>
      <c r="B50" s="184"/>
      <c r="C50" s="182"/>
      <c r="D50" s="177"/>
      <c r="E50" s="304"/>
      <c r="F50" s="21"/>
      <c r="G50" s="21"/>
      <c r="H50" s="21"/>
      <c r="I50" s="21"/>
      <c r="J50" s="304"/>
      <c r="K50" s="304"/>
      <c r="L50" s="304"/>
      <c r="M50" s="304"/>
      <c r="N50" s="240">
        <f t="shared" si="2"/>
        <v>0</v>
      </c>
      <c r="O50" s="19"/>
      <c r="P50" s="19"/>
      <c r="Q50" s="19"/>
      <c r="R50" s="19"/>
      <c r="S50" s="35" t="str">
        <f t="shared" si="6"/>
        <v/>
      </c>
      <c r="T50" s="35" t="str">
        <f t="shared" si="7"/>
        <v/>
      </c>
      <c r="U50" s="300"/>
      <c r="V50" s="355" t="str">
        <f t="shared" si="3"/>
        <v>Unfilled fields to left</v>
      </c>
      <c r="W50" s="19"/>
      <c r="X50" s="21"/>
      <c r="Y50" s="19"/>
      <c r="Z50" s="19"/>
      <c r="AA50" s="19"/>
      <c r="AB50" s="19"/>
      <c r="AC50" s="19"/>
    </row>
    <row r="51" spans="1:29">
      <c r="A51" s="19"/>
      <c r="C51" s="19"/>
      <c r="D51" s="19"/>
      <c r="E51" s="139"/>
      <c r="F51" s="17"/>
      <c r="G51" s="17"/>
      <c r="H51" s="17"/>
      <c r="I51" s="17"/>
      <c r="J51" s="139"/>
      <c r="K51" s="139"/>
      <c r="L51" s="139"/>
      <c r="M51" s="139"/>
      <c r="N51" s="113"/>
      <c r="O51" s="19"/>
      <c r="P51" s="19"/>
      <c r="Q51" s="19"/>
      <c r="R51" s="19"/>
      <c r="S51" s="139"/>
      <c r="T51" s="139"/>
      <c r="U51" s="139"/>
      <c r="V51" s="19"/>
      <c r="W51" s="19"/>
      <c r="X51" s="19"/>
      <c r="Y51" s="19"/>
      <c r="Z51" s="19"/>
      <c r="AA51" s="19"/>
      <c r="AB51" s="19"/>
      <c r="AC51" s="19"/>
    </row>
    <row r="52" spans="1:29" ht="30.95">
      <c r="B52" s="414" t="str">
        <f>IF(AND(OR(GHG_ELECTROLYSIS!$D$7="Default",GHG_ELECTROLYSIS!$D$24="Default",GHG_ELECTROLYSIS!$D$41="Default",GHG_ELECTROLYSIS!$D$75="Default"),Master_Switch="On"),"Default data selected for the category below, move to the next category of the step","")</f>
        <v/>
      </c>
      <c r="C52" s="69"/>
      <c r="D52" s="69"/>
      <c r="E52" s="141"/>
      <c r="F52" s="70"/>
      <c r="G52" s="70"/>
      <c r="H52" s="71"/>
      <c r="I52" s="462"/>
      <c r="J52" s="73"/>
      <c r="K52" s="73"/>
      <c r="L52" s="73"/>
      <c r="M52" s="73"/>
      <c r="N52" s="73"/>
      <c r="O52" s="12"/>
      <c r="S52" s="73"/>
      <c r="T52" s="73"/>
      <c r="U52" s="73"/>
      <c r="V52" s="470" t="s">
        <v>1085</v>
      </c>
      <c r="X52" s="74"/>
      <c r="Y52" s="12"/>
    </row>
    <row r="53" spans="1:29" ht="16.5">
      <c r="B53" s="144" t="s">
        <v>1095</v>
      </c>
      <c r="C53" s="153"/>
      <c r="D53" s="153"/>
      <c r="E53" s="493"/>
      <c r="F53" s="154"/>
      <c r="G53" s="154"/>
      <c r="H53" s="155"/>
      <c r="I53" s="465"/>
      <c r="J53" s="472"/>
      <c r="K53" s="472"/>
      <c r="L53" s="472"/>
      <c r="M53" s="472"/>
      <c r="N53" s="472"/>
      <c r="O53" s="157"/>
      <c r="P53" s="157"/>
      <c r="Q53" s="157"/>
      <c r="R53" s="157"/>
      <c r="S53" s="472"/>
      <c r="T53" s="472"/>
      <c r="U53" s="472"/>
      <c r="V53" s="152">
        <f>SUM(V54:V63)</f>
        <v>0</v>
      </c>
      <c r="X53" s="74"/>
      <c r="Y53" s="12"/>
    </row>
    <row r="54" spans="1:29">
      <c r="B54" s="184" t="s">
        <v>1096</v>
      </c>
      <c r="C54" s="182" t="s">
        <v>1097</v>
      </c>
      <c r="D54" s="177" t="s">
        <v>425</v>
      </c>
      <c r="E54" s="304"/>
      <c r="F54" s="21"/>
      <c r="G54" s="21"/>
      <c r="H54" s="21"/>
      <c r="I54" s="21"/>
      <c r="J54" s="304"/>
      <c r="K54" s="304"/>
      <c r="L54" s="304"/>
      <c r="M54" s="304"/>
      <c r="N54" s="240">
        <f t="shared" ref="N54:N63" si="8">IF($D54="MWh/yr (LHV)",$E54,$J54*$E54*(1-$L54)/Conversion_kWh_to_MJ)</f>
        <v>0</v>
      </c>
      <c r="O54" s="12"/>
      <c r="S54" s="35" t="str">
        <f t="shared" ref="S54:S63" si="9">IF(B54="", "", IF(D54="MWh/yr (LHV)", "Use column to right", "Enter data here"))</f>
        <v>Enter data here</v>
      </c>
      <c r="T54" s="35" t="str">
        <f t="shared" ref="T54:T63" si="10">IF(B54="", "", IF(D54="MWh/yr (LHV)", "Enter data here", "Use column to left"))</f>
        <v>Use column to left</v>
      </c>
      <c r="U54" s="35" t="s">
        <v>1098</v>
      </c>
      <c r="V54" s="240" t="str">
        <f t="shared" ref="V54:V63" si="11">IFERROR(IF(D54="tonnes/yr", $S54*$E54/($N$9*3.6), $T54*3.6*$E54/($N$9*3.6)), "Unfilled fields to left")</f>
        <v>Unfilled fields to left</v>
      </c>
      <c r="X54" s="21"/>
      <c r="Y54" s="12"/>
    </row>
    <row r="55" spans="1:29">
      <c r="B55" s="184" t="s">
        <v>1099</v>
      </c>
      <c r="C55" s="182" t="s">
        <v>1100</v>
      </c>
      <c r="D55" s="177" t="s">
        <v>425</v>
      </c>
      <c r="E55" s="304"/>
      <c r="F55" s="21"/>
      <c r="G55" s="21"/>
      <c r="H55" s="20"/>
      <c r="I55" s="459"/>
      <c r="J55" s="300"/>
      <c r="K55" s="300"/>
      <c r="L55" s="300"/>
      <c r="M55" s="300"/>
      <c r="N55" s="240">
        <f t="shared" si="8"/>
        <v>0</v>
      </c>
      <c r="O55" s="12"/>
      <c r="S55" s="35" t="str">
        <f t="shared" si="9"/>
        <v>Enter data here</v>
      </c>
      <c r="T55" s="35" t="str">
        <f t="shared" si="10"/>
        <v>Use column to left</v>
      </c>
      <c r="U55" s="35" t="s">
        <v>1098</v>
      </c>
      <c r="V55" s="240" t="str">
        <f t="shared" si="11"/>
        <v>Unfilled fields to left</v>
      </c>
      <c r="X55" s="25"/>
      <c r="Y55" s="12"/>
    </row>
    <row r="56" spans="1:29">
      <c r="B56" s="184" t="s">
        <v>1099</v>
      </c>
      <c r="C56" s="182" t="s">
        <v>1101</v>
      </c>
      <c r="D56" s="177" t="s">
        <v>425</v>
      </c>
      <c r="E56" s="304"/>
      <c r="F56" s="21"/>
      <c r="G56" s="21"/>
      <c r="H56" s="20"/>
      <c r="I56" s="459"/>
      <c r="J56" s="300"/>
      <c r="K56" s="300"/>
      <c r="L56" s="300"/>
      <c r="M56" s="300"/>
      <c r="N56" s="240">
        <f t="shared" si="8"/>
        <v>0</v>
      </c>
      <c r="O56" s="12"/>
      <c r="S56" s="35" t="str">
        <f t="shared" si="9"/>
        <v>Enter data here</v>
      </c>
      <c r="T56" s="35" t="str">
        <f t="shared" si="10"/>
        <v>Use column to left</v>
      </c>
      <c r="U56" s="35" t="s">
        <v>1098</v>
      </c>
      <c r="V56" s="240" t="str">
        <f t="shared" si="11"/>
        <v>Unfilled fields to left</v>
      </c>
      <c r="X56" s="25"/>
      <c r="Y56" s="12"/>
    </row>
    <row r="57" spans="1:29">
      <c r="B57" s="184" t="s">
        <v>1099</v>
      </c>
      <c r="C57" s="182"/>
      <c r="D57" s="177"/>
      <c r="E57" s="304"/>
      <c r="F57" s="21"/>
      <c r="G57" s="21"/>
      <c r="H57" s="20"/>
      <c r="I57" s="459"/>
      <c r="J57" s="300"/>
      <c r="K57" s="300"/>
      <c r="L57" s="300"/>
      <c r="M57" s="300"/>
      <c r="N57" s="240">
        <f t="shared" si="8"/>
        <v>0</v>
      </c>
      <c r="O57" s="12"/>
      <c r="S57" s="35" t="str">
        <f t="shared" si="9"/>
        <v>Enter data here</v>
      </c>
      <c r="T57" s="35" t="str">
        <f t="shared" si="10"/>
        <v>Use column to left</v>
      </c>
      <c r="U57" s="35" t="s">
        <v>1098</v>
      </c>
      <c r="V57" s="240" t="str">
        <f t="shared" si="11"/>
        <v>Unfilled fields to left</v>
      </c>
      <c r="X57" s="25"/>
      <c r="Y57" s="12"/>
    </row>
    <row r="58" spans="1:29">
      <c r="B58" s="184" t="s">
        <v>1102</v>
      </c>
      <c r="C58" s="182" t="s">
        <v>1103</v>
      </c>
      <c r="D58" s="177" t="s">
        <v>425</v>
      </c>
      <c r="E58" s="304"/>
      <c r="F58" s="21"/>
      <c r="G58" s="21"/>
      <c r="H58" s="20"/>
      <c r="I58" s="459"/>
      <c r="J58" s="300"/>
      <c r="K58" s="300"/>
      <c r="L58" s="300"/>
      <c r="M58" s="300"/>
      <c r="N58" s="240">
        <f t="shared" si="8"/>
        <v>0</v>
      </c>
      <c r="O58" s="12"/>
      <c r="S58" s="35" t="str">
        <f t="shared" si="9"/>
        <v>Enter data here</v>
      </c>
      <c r="T58" s="35" t="str">
        <f t="shared" si="10"/>
        <v>Use column to left</v>
      </c>
      <c r="U58" s="35" t="s">
        <v>1098</v>
      </c>
      <c r="V58" s="240" t="str">
        <f t="shared" si="11"/>
        <v>Unfilled fields to left</v>
      </c>
      <c r="X58" s="25"/>
      <c r="Y58" s="12"/>
    </row>
    <row r="59" spans="1:29">
      <c r="B59" s="184" t="s">
        <v>1102</v>
      </c>
      <c r="C59" s="182"/>
      <c r="D59" s="177"/>
      <c r="E59" s="304"/>
      <c r="F59" s="21"/>
      <c r="G59" s="21"/>
      <c r="H59" s="20"/>
      <c r="I59" s="459"/>
      <c r="J59" s="300"/>
      <c r="K59" s="300"/>
      <c r="L59" s="300"/>
      <c r="M59" s="300"/>
      <c r="N59" s="240">
        <f t="shared" si="8"/>
        <v>0</v>
      </c>
      <c r="O59" s="12"/>
      <c r="S59" s="35" t="str">
        <f t="shared" si="9"/>
        <v>Enter data here</v>
      </c>
      <c r="T59" s="35" t="str">
        <f t="shared" si="10"/>
        <v>Use column to left</v>
      </c>
      <c r="U59" s="35" t="s">
        <v>1098</v>
      </c>
      <c r="V59" s="240" t="str">
        <f t="shared" si="11"/>
        <v>Unfilled fields to left</v>
      </c>
      <c r="X59" s="25"/>
      <c r="Y59" s="12"/>
    </row>
    <row r="60" spans="1:29">
      <c r="B60" s="184"/>
      <c r="C60" s="182"/>
      <c r="D60" s="177"/>
      <c r="E60" s="304"/>
      <c r="F60" s="54"/>
      <c r="G60" s="21"/>
      <c r="H60" s="20"/>
      <c r="I60" s="459"/>
      <c r="J60" s="300"/>
      <c r="K60" s="300"/>
      <c r="L60" s="300"/>
      <c r="M60" s="300"/>
      <c r="N60" s="240">
        <f t="shared" si="8"/>
        <v>0</v>
      </c>
      <c r="O60" s="12"/>
      <c r="S60" s="35" t="str">
        <f t="shared" si="9"/>
        <v/>
      </c>
      <c r="T60" s="35" t="str">
        <f t="shared" si="10"/>
        <v/>
      </c>
      <c r="U60" s="35"/>
      <c r="V60" s="240" t="str">
        <f t="shared" si="11"/>
        <v>Unfilled fields to left</v>
      </c>
      <c r="X60" s="25"/>
      <c r="Y60" s="12"/>
    </row>
    <row r="61" spans="1:29">
      <c r="B61" s="184"/>
      <c r="C61" s="182"/>
      <c r="D61" s="177"/>
      <c r="E61" s="304"/>
      <c r="F61" s="54"/>
      <c r="G61" s="21"/>
      <c r="H61" s="20"/>
      <c r="I61" s="459"/>
      <c r="J61" s="300"/>
      <c r="K61" s="300"/>
      <c r="L61" s="300"/>
      <c r="M61" s="300"/>
      <c r="N61" s="240">
        <f t="shared" si="8"/>
        <v>0</v>
      </c>
      <c r="O61" s="12"/>
      <c r="S61" s="35" t="str">
        <f t="shared" si="9"/>
        <v/>
      </c>
      <c r="T61" s="35" t="str">
        <f t="shared" si="10"/>
        <v/>
      </c>
      <c r="U61" s="35"/>
      <c r="V61" s="240" t="str">
        <f t="shared" si="11"/>
        <v>Unfilled fields to left</v>
      </c>
      <c r="X61" s="25"/>
      <c r="Y61" s="12"/>
    </row>
    <row r="62" spans="1:29">
      <c r="B62" s="184"/>
      <c r="C62" s="182"/>
      <c r="D62" s="177"/>
      <c r="E62" s="304"/>
      <c r="F62" s="54"/>
      <c r="G62" s="21"/>
      <c r="H62" s="20"/>
      <c r="I62" s="459"/>
      <c r="J62" s="300"/>
      <c r="K62" s="300"/>
      <c r="L62" s="300"/>
      <c r="M62" s="300"/>
      <c r="N62" s="240">
        <f t="shared" si="8"/>
        <v>0</v>
      </c>
      <c r="O62" s="12"/>
      <c r="S62" s="35" t="str">
        <f t="shared" si="9"/>
        <v/>
      </c>
      <c r="T62" s="35" t="str">
        <f t="shared" si="10"/>
        <v/>
      </c>
      <c r="U62" s="35"/>
      <c r="V62" s="240" t="str">
        <f t="shared" si="11"/>
        <v>Unfilled fields to left</v>
      </c>
      <c r="X62" s="25"/>
      <c r="Y62" s="12"/>
    </row>
    <row r="63" spans="1:29">
      <c r="B63" s="184"/>
      <c r="C63" s="182"/>
      <c r="D63" s="177"/>
      <c r="E63" s="304"/>
      <c r="F63" s="54"/>
      <c r="G63" s="21"/>
      <c r="H63" s="20"/>
      <c r="I63" s="459"/>
      <c r="J63" s="300"/>
      <c r="K63" s="300"/>
      <c r="L63" s="300"/>
      <c r="M63" s="300"/>
      <c r="N63" s="240">
        <f t="shared" si="8"/>
        <v>0</v>
      </c>
      <c r="O63" s="12"/>
      <c r="S63" s="35" t="str">
        <f t="shared" si="9"/>
        <v/>
      </c>
      <c r="T63" s="35" t="str">
        <f t="shared" si="10"/>
        <v/>
      </c>
      <c r="U63" s="35"/>
      <c r="V63" s="240" t="str">
        <f t="shared" si="11"/>
        <v>Unfilled fields to left</v>
      </c>
      <c r="X63" s="25"/>
      <c r="Y63" s="12"/>
    </row>
    <row r="64" spans="1:29">
      <c r="C64" s="83"/>
      <c r="D64" s="83"/>
      <c r="E64" s="494"/>
      <c r="F64" s="84"/>
      <c r="G64" s="84"/>
      <c r="H64" s="86"/>
      <c r="I64" s="86"/>
      <c r="J64" s="87"/>
      <c r="K64" s="87"/>
      <c r="L64" s="87"/>
      <c r="M64" s="87"/>
      <c r="N64" s="87"/>
      <c r="O64" s="28"/>
      <c r="P64" s="14"/>
      <c r="Q64" s="14"/>
      <c r="R64" s="14"/>
      <c r="S64" s="87"/>
      <c r="T64" s="87"/>
      <c r="U64" s="87"/>
      <c r="V64" s="87"/>
      <c r="X64" s="27"/>
      <c r="Y64" s="12"/>
    </row>
    <row r="65" spans="2:25">
      <c r="B65" s="14"/>
      <c r="C65" s="83"/>
      <c r="D65" s="83"/>
      <c r="E65" s="494"/>
      <c r="F65" s="84"/>
      <c r="G65" s="84"/>
      <c r="H65" s="86"/>
      <c r="I65" s="86"/>
      <c r="J65" s="87"/>
      <c r="K65" s="87"/>
      <c r="L65" s="87"/>
      <c r="M65" s="87"/>
      <c r="N65" s="87"/>
      <c r="O65" s="28"/>
      <c r="P65" s="14"/>
      <c r="Q65" s="14"/>
      <c r="R65" s="14"/>
      <c r="S65" s="87"/>
      <c r="T65" s="87"/>
      <c r="U65" s="87"/>
      <c r="V65" s="358" t="s">
        <v>1085</v>
      </c>
      <c r="X65" s="27"/>
      <c r="Y65" s="12"/>
    </row>
    <row r="66" spans="2:25" s="14" customFormat="1" ht="16.5">
      <c r="B66" s="144" t="s">
        <v>1104</v>
      </c>
      <c r="C66" s="158"/>
      <c r="D66" s="158"/>
      <c r="E66" s="495"/>
      <c r="F66" s="159"/>
      <c r="G66" s="159"/>
      <c r="H66" s="159"/>
      <c r="I66" s="159"/>
      <c r="J66" s="305"/>
      <c r="K66" s="305"/>
      <c r="L66" s="305"/>
      <c r="M66" s="305"/>
      <c r="N66" s="305"/>
      <c r="O66" s="161"/>
      <c r="P66" s="162"/>
      <c r="Q66" s="162"/>
      <c r="R66" s="151"/>
      <c r="S66" s="305"/>
      <c r="T66" s="305"/>
      <c r="U66" s="305"/>
      <c r="V66" s="152">
        <f>SUM(V67:V71)</f>
        <v>0</v>
      </c>
      <c r="X66" s="70"/>
    </row>
    <row r="67" spans="2:25" s="14" customFormat="1">
      <c r="B67" s="184" t="s">
        <v>1105</v>
      </c>
      <c r="C67" s="182" t="s">
        <v>1106</v>
      </c>
      <c r="D67" s="177" t="s">
        <v>425</v>
      </c>
      <c r="E67" s="304"/>
      <c r="F67" s="21"/>
      <c r="G67" s="21"/>
      <c r="H67" s="21"/>
      <c r="I67" s="21"/>
      <c r="J67" s="304"/>
      <c r="K67" s="304"/>
      <c r="L67" s="304"/>
      <c r="M67" s="304"/>
      <c r="N67" s="240">
        <f>IF($D67="MWh/yr (LHV)",$E67,$J67*$E67*(1-$L67)/Conversion_kWh_to_MJ)</f>
        <v>0</v>
      </c>
      <c r="O67" s="12"/>
      <c r="P67" s="12"/>
      <c r="Q67" s="12"/>
      <c r="R67" s="12"/>
      <c r="S67" s="298">
        <v>1000</v>
      </c>
      <c r="T67" s="473"/>
      <c r="U67" s="35" t="s">
        <v>1107</v>
      </c>
      <c r="V67" s="240" t="str">
        <f>IFERROR(IF(D67="tonnes/yr", $S67*$E67/($N$9*3.6), $T67*3.6*$E67/($N$9*3.6)), "Unfilled fields to left")</f>
        <v>Unfilled fields to left</v>
      </c>
      <c r="X67" s="21"/>
    </row>
    <row r="68" spans="2:25" s="14" customFormat="1">
      <c r="B68" s="184"/>
      <c r="C68" s="182"/>
      <c r="D68" s="177"/>
      <c r="E68" s="304"/>
      <c r="F68" s="63"/>
      <c r="G68" s="63"/>
      <c r="H68" s="63"/>
      <c r="I68" s="63"/>
      <c r="J68" s="302"/>
      <c r="K68" s="304"/>
      <c r="L68" s="304"/>
      <c r="M68" s="304"/>
      <c r="N68" s="240">
        <f>IF($D68="MWh/yr (LHV)",$E68,$J68*$E68*(1-$L68)/Conversion_kWh_to_MJ)</f>
        <v>0</v>
      </c>
      <c r="O68" s="12"/>
      <c r="P68" s="12"/>
      <c r="Q68" s="12"/>
      <c r="R68" s="12"/>
      <c r="S68" s="300"/>
      <c r="T68" s="473"/>
      <c r="U68" s="300"/>
      <c r="V68" s="240" t="str">
        <f>IFERROR(IF(D68="tonnes/yr", $S68*$E68/($N$9*3.6), $T68*3.6*$E68/($N$9*3.6)), "Unfilled fields to left")</f>
        <v>Unfilled fields to left</v>
      </c>
      <c r="X68" s="21"/>
    </row>
    <row r="69" spans="2:25" s="14" customFormat="1">
      <c r="B69" s="184"/>
      <c r="C69" s="182"/>
      <c r="D69" s="177"/>
      <c r="E69" s="304"/>
      <c r="F69" s="63"/>
      <c r="G69" s="63"/>
      <c r="H69" s="63"/>
      <c r="I69" s="63"/>
      <c r="J69" s="302"/>
      <c r="K69" s="304"/>
      <c r="L69" s="304"/>
      <c r="M69" s="304"/>
      <c r="N69" s="240">
        <f>IF($D69="MWh/yr (LHV)",$E69,$J69*$E69*(1-$L69)/Conversion_kWh_to_MJ)</f>
        <v>0</v>
      </c>
      <c r="O69" s="12"/>
      <c r="P69" s="12"/>
      <c r="Q69" s="12"/>
      <c r="R69" s="12"/>
      <c r="S69" s="300"/>
      <c r="T69" s="473"/>
      <c r="U69" s="300"/>
      <c r="V69" s="240" t="str">
        <f>IFERROR(IF(D69="tonnes/yr", $S69*$E69/($N$9*3.6), $T69*3.6*$E69/($N$9*3.6)), "Unfilled fields to left")</f>
        <v>Unfilled fields to left</v>
      </c>
      <c r="X69" s="21"/>
    </row>
    <row r="70" spans="2:25" s="14" customFormat="1">
      <c r="B70" s="184"/>
      <c r="C70" s="182"/>
      <c r="D70" s="177"/>
      <c r="E70" s="304"/>
      <c r="F70" s="63"/>
      <c r="G70" s="63"/>
      <c r="H70" s="63"/>
      <c r="I70" s="63"/>
      <c r="J70" s="302"/>
      <c r="K70" s="304"/>
      <c r="L70" s="304"/>
      <c r="M70" s="304"/>
      <c r="N70" s="240">
        <f>IF($D70="MWh/yr (LHV)",$E70,$J70*$E70*(1-$L70)/Conversion_kWh_to_MJ)</f>
        <v>0</v>
      </c>
      <c r="O70" s="12"/>
      <c r="P70" s="12"/>
      <c r="Q70" s="12"/>
      <c r="R70" s="12"/>
      <c r="S70" s="300"/>
      <c r="T70" s="473"/>
      <c r="U70" s="300"/>
      <c r="V70" s="240" t="str">
        <f>IFERROR(IF(D70="tonnes/yr", $S70*$E70/($N$9*3.6), $T70*3.6*$E70/($N$9*3.6)), "Unfilled fields to left")</f>
        <v>Unfilled fields to left</v>
      </c>
      <c r="X70" s="21"/>
    </row>
    <row r="71" spans="2:25" s="14" customFormat="1">
      <c r="B71" s="184"/>
      <c r="C71" s="182"/>
      <c r="D71" s="177"/>
      <c r="E71" s="304"/>
      <c r="F71" s="304"/>
      <c r="G71" s="304"/>
      <c r="H71" s="304"/>
      <c r="I71" s="304"/>
      <c r="J71" s="304"/>
      <c r="K71" s="304"/>
      <c r="L71" s="304"/>
      <c r="M71" s="304"/>
      <c r="N71" s="240">
        <f>IF($D71="MWh/yr (LHV)",$E71,$J71*$E71*(1-$L71)/Conversion_kWh_to_MJ)</f>
        <v>0</v>
      </c>
      <c r="O71" s="12"/>
      <c r="P71" s="12"/>
      <c r="Q71" s="12"/>
      <c r="R71" s="12"/>
      <c r="S71" s="300"/>
      <c r="T71" s="473"/>
      <c r="U71" s="300"/>
      <c r="V71" s="240" t="str">
        <f>IFERROR(IF(D71="tonnes/yr", $S71*$E71/($N$9*3.6), $T71*3.6*$E71/($N$9*3.6)), "Unfilled fields to left")</f>
        <v>Unfilled fields to left</v>
      </c>
      <c r="X71" s="21"/>
    </row>
    <row r="72" spans="2:25">
      <c r="B72" s="14"/>
      <c r="C72" s="83"/>
      <c r="D72" s="83"/>
      <c r="E72" s="494"/>
      <c r="F72" s="84"/>
      <c r="G72" s="84"/>
      <c r="H72" s="86"/>
      <c r="I72" s="86"/>
      <c r="J72" s="87"/>
      <c r="K72" s="87"/>
      <c r="L72" s="87"/>
      <c r="M72" s="87"/>
      <c r="N72" s="87"/>
      <c r="O72" s="28"/>
      <c r="P72" s="14"/>
      <c r="Q72" s="14"/>
      <c r="R72" s="14"/>
      <c r="S72" s="87"/>
      <c r="T72" s="87"/>
      <c r="U72" s="87"/>
      <c r="V72" s="87"/>
      <c r="X72" s="27"/>
      <c r="Y72" s="12"/>
    </row>
    <row r="73" spans="2:25">
      <c r="B73" s="14"/>
      <c r="C73" s="83"/>
      <c r="D73" s="83"/>
      <c r="E73" s="494"/>
      <c r="F73" s="84"/>
      <c r="G73" s="84"/>
      <c r="H73" s="86"/>
      <c r="I73" s="86"/>
      <c r="J73" s="87"/>
      <c r="K73" s="87"/>
      <c r="L73" s="87"/>
      <c r="M73" s="87"/>
      <c r="N73" s="87"/>
      <c r="O73" s="28"/>
      <c r="P73" s="14"/>
      <c r="Q73" s="14"/>
      <c r="R73" s="14"/>
      <c r="S73" s="87"/>
      <c r="T73" s="87"/>
      <c r="U73" s="87"/>
      <c r="V73" s="358" t="s">
        <v>1085</v>
      </c>
      <c r="X73" s="27"/>
      <c r="Y73" s="12"/>
    </row>
    <row r="74" spans="2:25" ht="16.5">
      <c r="B74" s="144" t="s">
        <v>1108</v>
      </c>
      <c r="C74" s="153"/>
      <c r="D74" s="153"/>
      <c r="E74" s="493"/>
      <c r="F74" s="154"/>
      <c r="G74" s="154"/>
      <c r="H74" s="155"/>
      <c r="I74" s="465"/>
      <c r="J74" s="472"/>
      <c r="K74" s="472"/>
      <c r="L74" s="472"/>
      <c r="M74" s="472"/>
      <c r="N74" s="472"/>
      <c r="O74" s="157"/>
      <c r="P74" s="157"/>
      <c r="Q74" s="157"/>
      <c r="R74" s="157"/>
      <c r="S74" s="472"/>
      <c r="T74" s="472"/>
      <c r="U74" s="472"/>
      <c r="V74" s="152">
        <f>SUM(V75:V80)</f>
        <v>0</v>
      </c>
      <c r="X74" s="74"/>
      <c r="Y74" s="12"/>
    </row>
    <row r="75" spans="2:25" s="14" customFormat="1">
      <c r="B75" s="184" t="s">
        <v>1069</v>
      </c>
      <c r="C75" s="182" t="s">
        <v>1109</v>
      </c>
      <c r="D75" s="177" t="s">
        <v>447</v>
      </c>
      <c r="E75" s="304"/>
      <c r="F75" s="21"/>
      <c r="G75" s="21"/>
      <c r="H75" s="63"/>
      <c r="I75" s="63"/>
      <c r="J75" s="302"/>
      <c r="K75" s="304"/>
      <c r="L75" s="304"/>
      <c r="M75" s="304"/>
      <c r="N75" s="240">
        <f t="shared" ref="N75:N80" si="12">IF($D75="MWh/yr (LHV)",$E75,$J75*$E75*(1-$L75)/Conversion_kWh_to_MJ)</f>
        <v>0</v>
      </c>
      <c r="O75" s="19"/>
      <c r="P75" s="19"/>
      <c r="Q75" s="19"/>
      <c r="R75" s="19"/>
      <c r="S75" s="298" t="str">
        <f>IF(B75="", "", IF(D75="MWh/yr (LHV)", "Use column to right", "Enter data here"))</f>
        <v>Use column to right</v>
      </c>
      <c r="T75" s="298" t="e">
        <f>Initial_questions!$E$43*1/Conversion_kWh_to_MJ</f>
        <v>#VALUE!</v>
      </c>
      <c r="U75" s="35" t="s">
        <v>1110</v>
      </c>
      <c r="V75" s="240" t="str">
        <f t="shared" ref="V75:V80" si="13">IFERROR(IF(D75="tonnes/yr", $S75*$E75/($N$9*3.6), $T75*3.6*$E75/($N$9*3.6)), "Unfilled fields to left")</f>
        <v>Unfilled fields to left</v>
      </c>
      <c r="X75" s="21"/>
    </row>
    <row r="76" spans="2:25" s="14" customFormat="1">
      <c r="B76" s="184" t="s">
        <v>1069</v>
      </c>
      <c r="C76" s="182" t="s">
        <v>1111</v>
      </c>
      <c r="D76" s="177" t="s">
        <v>447</v>
      </c>
      <c r="E76" s="304"/>
      <c r="F76" s="21"/>
      <c r="G76" s="21"/>
      <c r="H76" s="63"/>
      <c r="I76" s="63"/>
      <c r="J76" s="302"/>
      <c r="K76" s="304"/>
      <c r="L76" s="304"/>
      <c r="M76" s="304"/>
      <c r="N76" s="240">
        <f t="shared" si="12"/>
        <v>0</v>
      </c>
      <c r="O76" s="19"/>
      <c r="P76" s="19"/>
      <c r="Q76" s="19"/>
      <c r="R76" s="19"/>
      <c r="S76" s="298" t="str">
        <f t="shared" ref="S76:S79" si="14">IF(B76="", "", IF(D76="MWh/yr (LHV)", "Use column to right", "Enter data here"))</f>
        <v>Use column to right</v>
      </c>
      <c r="T76" s="298" t="e">
        <f>INDEX(Proj_grid_intensity_kWh,MATCH(Operations_year,Proj_grid_year,0))/Conversion_kWh_to_MJ</f>
        <v>#N/A</v>
      </c>
      <c r="U76" s="35" t="s">
        <v>1112</v>
      </c>
      <c r="V76" s="240" t="str">
        <f t="shared" si="13"/>
        <v>Unfilled fields to left</v>
      </c>
      <c r="X76" s="65"/>
    </row>
    <row r="77" spans="2:25" s="14" customFormat="1">
      <c r="B77" s="184" t="s">
        <v>1069</v>
      </c>
      <c r="C77" s="182" t="s">
        <v>1113</v>
      </c>
      <c r="D77" s="177" t="s">
        <v>425</v>
      </c>
      <c r="E77" s="304"/>
      <c r="F77" s="21"/>
      <c r="G77" s="21"/>
      <c r="H77" s="63"/>
      <c r="I77" s="63"/>
      <c r="J77" s="302"/>
      <c r="K77" s="304"/>
      <c r="L77" s="304"/>
      <c r="M77" s="304"/>
      <c r="N77" s="240">
        <f t="shared" si="12"/>
        <v>0</v>
      </c>
      <c r="O77" s="19"/>
      <c r="P77" s="19"/>
      <c r="Q77" s="19"/>
      <c r="R77" s="19"/>
      <c r="S77" s="298" t="str">
        <f t="shared" si="14"/>
        <v>Enter data here</v>
      </c>
      <c r="T77" s="298" t="str">
        <f>IF(B77="", "", IF(D77="MWh/yr (LHV)", "Enter data here", "Use column to left"))</f>
        <v>Use column to left</v>
      </c>
      <c r="U77" s="35" t="s">
        <v>1114</v>
      </c>
      <c r="V77" s="240" t="str">
        <f t="shared" si="13"/>
        <v>Unfilled fields to left</v>
      </c>
      <c r="X77" s="65"/>
    </row>
    <row r="78" spans="2:25">
      <c r="B78" s="184" t="s">
        <v>1069</v>
      </c>
      <c r="C78" s="182" t="s">
        <v>1115</v>
      </c>
      <c r="D78" s="177" t="s">
        <v>425</v>
      </c>
      <c r="E78" s="304"/>
      <c r="F78" s="54"/>
      <c r="G78" s="21"/>
      <c r="H78" s="20"/>
      <c r="I78" s="459"/>
      <c r="J78" s="300"/>
      <c r="K78" s="300"/>
      <c r="L78" s="300"/>
      <c r="M78" s="300"/>
      <c r="N78" s="240">
        <f t="shared" si="12"/>
        <v>0</v>
      </c>
      <c r="O78" s="12"/>
      <c r="S78" s="298" t="str">
        <f t="shared" si="14"/>
        <v>Enter data here</v>
      </c>
      <c r="T78" s="298" t="str">
        <f>IF(B78="", "", IF(D78="MWh/yr (LHV)", "Enter data here", "Use column to left"))</f>
        <v>Use column to left</v>
      </c>
      <c r="U78" s="35" t="s">
        <v>1114</v>
      </c>
      <c r="V78" s="240" t="str">
        <f t="shared" si="13"/>
        <v>Unfilled fields to left</v>
      </c>
      <c r="X78" s="25"/>
      <c r="Y78" s="12"/>
    </row>
    <row r="79" spans="2:25">
      <c r="B79" s="184" t="s">
        <v>1069</v>
      </c>
      <c r="C79" s="182" t="s">
        <v>1116</v>
      </c>
      <c r="D79" s="177" t="s">
        <v>447</v>
      </c>
      <c r="E79" s="304"/>
      <c r="F79" s="54"/>
      <c r="G79" s="21"/>
      <c r="H79" s="20"/>
      <c r="I79" s="459"/>
      <c r="J79" s="300"/>
      <c r="K79" s="300"/>
      <c r="L79" s="300"/>
      <c r="M79" s="300"/>
      <c r="N79" s="240">
        <f t="shared" si="12"/>
        <v>0</v>
      </c>
      <c r="O79" s="12"/>
      <c r="S79" s="298" t="str">
        <f t="shared" si="14"/>
        <v>Use column to right</v>
      </c>
      <c r="T79" s="298" t="e">
        <f>INDEX(Proj_grid_intensity_kWh,MATCH(Operations_year,Proj_grid_year,0))/Conversion_kWh_to_MJ</f>
        <v>#N/A</v>
      </c>
      <c r="U79" s="35" t="s">
        <v>1112</v>
      </c>
      <c r="V79" s="240" t="str">
        <f t="shared" si="13"/>
        <v>Unfilled fields to left</v>
      </c>
      <c r="X79" s="25"/>
      <c r="Y79" s="12"/>
    </row>
    <row r="80" spans="2:25">
      <c r="B80" s="184"/>
      <c r="C80" s="182"/>
      <c r="D80" s="177"/>
      <c r="E80" s="304"/>
      <c r="F80" s="54"/>
      <c r="G80" s="21"/>
      <c r="H80" s="20"/>
      <c r="I80" s="459"/>
      <c r="J80" s="300"/>
      <c r="K80" s="300"/>
      <c r="L80" s="300"/>
      <c r="M80" s="300"/>
      <c r="N80" s="240">
        <f t="shared" si="12"/>
        <v>0</v>
      </c>
      <c r="O80" s="12"/>
      <c r="S80" s="300"/>
      <c r="T80" s="300"/>
      <c r="U80" s="300"/>
      <c r="V80" s="240" t="str">
        <f t="shared" si="13"/>
        <v>Unfilled fields to left</v>
      </c>
      <c r="X80" s="25"/>
      <c r="Y80" s="12"/>
    </row>
    <row r="81" spans="2:24" s="14" customFormat="1">
      <c r="B81" s="68"/>
      <c r="C81" s="69"/>
      <c r="D81" s="69"/>
      <c r="E81" s="141"/>
      <c r="F81" s="70"/>
      <c r="G81" s="70"/>
      <c r="H81" s="71"/>
      <c r="I81" s="71"/>
      <c r="J81" s="73"/>
      <c r="K81" s="73"/>
      <c r="L81" s="73"/>
      <c r="M81" s="73"/>
      <c r="N81" s="73"/>
      <c r="O81" s="12"/>
      <c r="P81" s="12"/>
      <c r="Q81" s="12"/>
      <c r="R81" s="12"/>
      <c r="S81" s="73"/>
      <c r="T81" s="73"/>
      <c r="U81" s="73"/>
      <c r="V81" s="73"/>
      <c r="X81" s="70"/>
    </row>
    <row r="82" spans="2:24" s="14" customFormat="1">
      <c r="B82" s="68"/>
      <c r="C82" s="69"/>
      <c r="D82" s="69"/>
      <c r="E82" s="141"/>
      <c r="F82" s="70"/>
      <c r="G82" s="70"/>
      <c r="H82" s="71"/>
      <c r="I82" s="71"/>
      <c r="J82" s="73"/>
      <c r="K82" s="73"/>
      <c r="L82" s="73"/>
      <c r="M82" s="73"/>
      <c r="N82" s="73"/>
      <c r="O82" s="12"/>
      <c r="P82" s="12"/>
      <c r="Q82" s="12"/>
      <c r="R82" s="12"/>
      <c r="S82" s="73"/>
      <c r="T82" s="73"/>
      <c r="U82" s="73"/>
      <c r="V82" s="359" t="s">
        <v>1085</v>
      </c>
      <c r="X82" s="70"/>
    </row>
    <row r="83" spans="2:24" s="14" customFormat="1" ht="16.5">
      <c r="B83" s="144" t="s">
        <v>1117</v>
      </c>
      <c r="C83" s="158"/>
      <c r="D83" s="158"/>
      <c r="E83" s="495"/>
      <c r="F83" s="159"/>
      <c r="G83" s="159"/>
      <c r="H83" s="159"/>
      <c r="I83" s="159"/>
      <c r="J83" s="305"/>
      <c r="K83" s="305"/>
      <c r="L83" s="305"/>
      <c r="M83" s="305"/>
      <c r="N83" s="305"/>
      <c r="O83" s="161"/>
      <c r="P83" s="162"/>
      <c r="Q83" s="162"/>
      <c r="R83" s="151"/>
      <c r="S83" s="305"/>
      <c r="T83" s="305"/>
      <c r="U83" s="305"/>
      <c r="V83" s="152">
        <f>SUM(V84:V88)</f>
        <v>0</v>
      </c>
      <c r="X83" s="70"/>
    </row>
    <row r="84" spans="2:24" s="14" customFormat="1">
      <c r="B84" s="184" t="s">
        <v>1118</v>
      </c>
      <c r="C84" s="182" t="s">
        <v>1119</v>
      </c>
      <c r="D84" s="177" t="s">
        <v>425</v>
      </c>
      <c r="E84" s="35">
        <f>E67*E112*(1-E113)</f>
        <v>0</v>
      </c>
      <c r="F84" s="63"/>
      <c r="G84" s="63"/>
      <c r="H84" s="63"/>
      <c r="I84" s="63"/>
      <c r="J84" s="302"/>
      <c r="K84" s="304"/>
      <c r="L84" s="304"/>
      <c r="M84" s="304"/>
      <c r="N84" s="240">
        <f>IF($D84="MWh/yr (LHV)",$E84,$J84*$E84/Conversion_kWh_to_MJ)</f>
        <v>0</v>
      </c>
      <c r="O84" s="12"/>
      <c r="P84" s="12"/>
      <c r="Q84" s="12"/>
      <c r="R84" s="12"/>
      <c r="S84" s="298">
        <v>-1000</v>
      </c>
      <c r="T84" s="473"/>
      <c r="U84" s="35" t="s">
        <v>1107</v>
      </c>
      <c r="V84" s="240" t="str">
        <f>IFERROR(IF(D84="tonnes/yr", $S84*$E84/($N$9*3.6), $T84*3.6*$E84/($N$9*3.6)), "Unfilled fields to left")</f>
        <v>Unfilled fields to left</v>
      </c>
      <c r="X84" s="21"/>
    </row>
    <row r="85" spans="2:24" s="14" customFormat="1">
      <c r="B85" s="184"/>
      <c r="C85" s="182"/>
      <c r="D85" s="177"/>
      <c r="E85" s="304"/>
      <c r="F85" s="63"/>
      <c r="G85" s="63"/>
      <c r="H85" s="63"/>
      <c r="I85" s="63"/>
      <c r="J85" s="302"/>
      <c r="K85" s="304"/>
      <c r="L85" s="304"/>
      <c r="M85" s="304"/>
      <c r="N85" s="240">
        <f>IF($D85="MWh/yr (LHV)",$E85,$J85*$E85/Conversion_kWh_to_MJ)</f>
        <v>0</v>
      </c>
      <c r="O85" s="12"/>
      <c r="P85" s="12"/>
      <c r="Q85" s="12"/>
      <c r="R85" s="12"/>
      <c r="S85" s="300"/>
      <c r="T85" s="473"/>
      <c r="U85" s="300"/>
      <c r="V85" s="240" t="str">
        <f>IFERROR(IF(D85="tonnes/yr", $S85*$E85/($N$9*3.6), $T85*3.6*$E85/($N$9*3.6)), "Unfilled fields to left")</f>
        <v>Unfilled fields to left</v>
      </c>
      <c r="X85" s="21"/>
    </row>
    <row r="86" spans="2:24" s="14" customFormat="1">
      <c r="B86" s="184"/>
      <c r="C86" s="182"/>
      <c r="D86" s="177"/>
      <c r="E86" s="304"/>
      <c r="F86" s="63"/>
      <c r="G86" s="63"/>
      <c r="H86" s="63"/>
      <c r="I86" s="63"/>
      <c r="J86" s="302"/>
      <c r="K86" s="304"/>
      <c r="L86" s="304"/>
      <c r="M86" s="304"/>
      <c r="N86" s="240">
        <f>IF($D86="MWh/yr (LHV)",$E86,$J86*$E86/Conversion_kWh_to_MJ)</f>
        <v>0</v>
      </c>
      <c r="O86" s="12"/>
      <c r="P86" s="12"/>
      <c r="Q86" s="12"/>
      <c r="R86" s="12"/>
      <c r="S86" s="300"/>
      <c r="T86" s="473"/>
      <c r="U86" s="300"/>
      <c r="V86" s="240" t="str">
        <f>IFERROR(IF(D86="tonnes/yr", $S86*$E86/($N$9*3.6), $T86*3.6*$E86/($N$9*3.6)), "Unfilled fields to left")</f>
        <v>Unfilled fields to left</v>
      </c>
      <c r="X86" s="21"/>
    </row>
    <row r="87" spans="2:24" s="14" customFormat="1">
      <c r="B87" s="184"/>
      <c r="C87" s="182"/>
      <c r="D87" s="177"/>
      <c r="E87" s="304"/>
      <c r="F87" s="63"/>
      <c r="G87" s="63"/>
      <c r="H87" s="63"/>
      <c r="I87" s="63"/>
      <c r="J87" s="302"/>
      <c r="K87" s="304"/>
      <c r="L87" s="304"/>
      <c r="M87" s="304"/>
      <c r="N87" s="240">
        <f>IF($D87="MWh/yr (LHV)",$E87,$J87*$E87/Conversion_kWh_to_MJ)</f>
        <v>0</v>
      </c>
      <c r="O87" s="12"/>
      <c r="P87" s="12"/>
      <c r="Q87" s="12"/>
      <c r="R87" s="12"/>
      <c r="S87" s="300"/>
      <c r="T87" s="473"/>
      <c r="U87" s="300"/>
      <c r="V87" s="240" t="str">
        <f>IFERROR(IF(D87="tonnes/yr", $S87*$E87/($N$9*3.6), $T87*3.6*$E87/($N$9*3.6)), "Unfilled fields to left")</f>
        <v>Unfilled fields to left</v>
      </c>
      <c r="X87" s="21"/>
    </row>
    <row r="88" spans="2:24" s="14" customFormat="1">
      <c r="B88" s="184"/>
      <c r="C88" s="182"/>
      <c r="D88" s="177"/>
      <c r="E88" s="304"/>
      <c r="F88" s="304"/>
      <c r="G88" s="304"/>
      <c r="H88" s="304"/>
      <c r="I88" s="304"/>
      <c r="J88" s="304"/>
      <c r="K88" s="304"/>
      <c r="L88" s="304"/>
      <c r="M88" s="304"/>
      <c r="N88" s="240">
        <f>IF($D88="MWh/yr (LHV)",$E88,$J88*$E88/Conversion_kWh_to_MJ)</f>
        <v>0</v>
      </c>
      <c r="O88" s="12"/>
      <c r="P88" s="12"/>
      <c r="Q88" s="12"/>
      <c r="R88" s="12"/>
      <c r="S88" s="300"/>
      <c r="T88" s="473"/>
      <c r="U88" s="300"/>
      <c r="V88" s="240" t="str">
        <f>IFERROR(IF(D88="tonnes/yr", $S88*$E88/($N$9*3.6), $T88*3.6*$E88/($N$9*3.6)), "Unfilled fields to left")</f>
        <v>Unfilled fields to left</v>
      </c>
      <c r="X88" s="21"/>
    </row>
    <row r="89" spans="2:24" s="14" customFormat="1">
      <c r="B89" s="68"/>
      <c r="C89" s="69"/>
      <c r="D89" s="69"/>
      <c r="E89" s="141"/>
      <c r="F89" s="70"/>
      <c r="G89" s="70"/>
      <c r="H89" s="71"/>
      <c r="I89" s="71"/>
      <c r="J89" s="73"/>
      <c r="K89" s="73"/>
      <c r="L89" s="73"/>
      <c r="M89" s="73"/>
      <c r="N89" s="73"/>
      <c r="O89" s="12"/>
      <c r="P89" s="12"/>
      <c r="Q89" s="12"/>
      <c r="R89" s="12"/>
      <c r="S89" s="73"/>
      <c r="T89" s="73"/>
      <c r="U89" s="73"/>
      <c r="V89" s="73"/>
      <c r="X89" s="70"/>
    </row>
    <row r="90" spans="2:24" s="14" customFormat="1">
      <c r="B90" s="68"/>
      <c r="C90" s="69"/>
      <c r="D90" s="69"/>
      <c r="E90" s="141"/>
      <c r="F90" s="70"/>
      <c r="G90" s="70"/>
      <c r="H90" s="71"/>
      <c r="I90" s="71"/>
      <c r="J90" s="73"/>
      <c r="K90" s="73"/>
      <c r="L90" s="73"/>
      <c r="M90" s="73"/>
      <c r="N90" s="73"/>
      <c r="O90" s="12"/>
      <c r="P90" s="12"/>
      <c r="Q90" s="12"/>
      <c r="R90" s="12"/>
      <c r="S90" s="73"/>
      <c r="T90" s="73"/>
      <c r="U90" s="73"/>
      <c r="V90" s="359" t="s">
        <v>1085</v>
      </c>
      <c r="X90" s="70"/>
    </row>
    <row r="91" spans="2:24" s="14" customFormat="1" ht="16.5">
      <c r="B91" s="144" t="s">
        <v>132</v>
      </c>
      <c r="C91" s="158"/>
      <c r="D91" s="158"/>
      <c r="E91" s="495"/>
      <c r="F91" s="159"/>
      <c r="G91" s="159"/>
      <c r="H91" s="159"/>
      <c r="I91" s="159"/>
      <c r="J91" s="305"/>
      <c r="K91" s="305"/>
      <c r="L91" s="305"/>
      <c r="M91" s="305"/>
      <c r="N91" s="305"/>
      <c r="O91" s="161"/>
      <c r="P91" s="162"/>
      <c r="Q91" s="162"/>
      <c r="R91" s="151"/>
      <c r="S91" s="305"/>
      <c r="T91" s="305"/>
      <c r="U91" s="305"/>
      <c r="V91" s="152">
        <f>SUM(V92:V99)</f>
        <v>0</v>
      </c>
      <c r="X91" s="70"/>
    </row>
    <row r="92" spans="2:24" s="14" customFormat="1">
      <c r="B92" s="184" t="s">
        <v>1120</v>
      </c>
      <c r="C92" s="182" t="s">
        <v>1121</v>
      </c>
      <c r="D92" s="177" t="s">
        <v>425</v>
      </c>
      <c r="E92" s="304"/>
      <c r="F92" s="21"/>
      <c r="G92" s="21"/>
      <c r="H92" s="21"/>
      <c r="I92" s="21"/>
      <c r="J92" s="304"/>
      <c r="K92" s="304"/>
      <c r="L92" s="304"/>
      <c r="M92" s="304"/>
      <c r="N92" s="240">
        <f t="shared" ref="N92:N99" si="15">IF($D92="MWh/yr (LHV)",$E92,$J92*$E92/Conversion_kWh_to_MJ)</f>
        <v>0</v>
      </c>
      <c r="O92" s="12"/>
      <c r="P92" s="12"/>
      <c r="Q92" s="12"/>
      <c r="R92" s="12"/>
      <c r="S92" s="298">
        <f t="shared" ref="S92" si="16">28*1000</f>
        <v>28000</v>
      </c>
      <c r="T92" s="473"/>
      <c r="U92" s="35" t="s">
        <v>1107</v>
      </c>
      <c r="V92" s="240" t="str">
        <f t="shared" ref="V92:V99" si="17">IFERROR(IF(D92="tonnes/yr", $S92*$E92/($N$9*3.6), $T92*3.6*$E92/($N$9*3.6)), "Unfilled fields to left")</f>
        <v>Unfilled fields to left</v>
      </c>
      <c r="X92" s="21"/>
    </row>
    <row r="93" spans="2:24" s="14" customFormat="1">
      <c r="B93" s="185" t="s">
        <v>1122</v>
      </c>
      <c r="C93" s="182" t="s">
        <v>1123</v>
      </c>
      <c r="D93" s="177" t="s">
        <v>425</v>
      </c>
      <c r="E93" s="304"/>
      <c r="F93" s="65"/>
      <c r="G93" s="65"/>
      <c r="H93" s="66"/>
      <c r="I93" s="66"/>
      <c r="J93" s="306"/>
      <c r="K93" s="306"/>
      <c r="L93" s="306"/>
      <c r="M93" s="306"/>
      <c r="N93" s="240">
        <f t="shared" si="15"/>
        <v>0</v>
      </c>
      <c r="O93" s="19"/>
      <c r="P93" s="19"/>
      <c r="Q93" s="19"/>
      <c r="R93" s="19"/>
      <c r="S93" s="298">
        <v>265000</v>
      </c>
      <c r="T93" s="473"/>
      <c r="U93" s="479" t="s">
        <v>1107</v>
      </c>
      <c r="V93" s="240" t="str">
        <f t="shared" si="17"/>
        <v>Unfilled fields to left</v>
      </c>
      <c r="X93" s="65"/>
    </row>
    <row r="94" spans="2:24" s="14" customFormat="1">
      <c r="B94" s="185" t="s">
        <v>1124</v>
      </c>
      <c r="C94" s="182" t="s">
        <v>1125</v>
      </c>
      <c r="D94" s="177" t="s">
        <v>425</v>
      </c>
      <c r="E94" s="304"/>
      <c r="F94" s="65"/>
      <c r="G94" s="65"/>
      <c r="H94" s="66"/>
      <c r="I94" s="66"/>
      <c r="J94" s="306"/>
      <c r="K94" s="306"/>
      <c r="L94" s="306"/>
      <c r="M94" s="306"/>
      <c r="N94" s="240">
        <f t="shared" si="15"/>
        <v>0</v>
      </c>
      <c r="O94" s="19"/>
      <c r="P94" s="19"/>
      <c r="Q94" s="19"/>
      <c r="R94" s="19"/>
      <c r="S94" s="298">
        <v>23500000</v>
      </c>
      <c r="T94" s="473"/>
      <c r="U94" s="479" t="s">
        <v>1107</v>
      </c>
      <c r="V94" s="240" t="str">
        <f t="shared" si="17"/>
        <v>Unfilled fields to left</v>
      </c>
      <c r="X94" s="65"/>
    </row>
    <row r="95" spans="2:24" s="14" customFormat="1">
      <c r="B95" s="185" t="s">
        <v>1126</v>
      </c>
      <c r="C95" s="182" t="s">
        <v>1127</v>
      </c>
      <c r="D95" s="177" t="s">
        <v>425</v>
      </c>
      <c r="E95" s="304"/>
      <c r="F95" s="65"/>
      <c r="G95" s="65"/>
      <c r="H95" s="66"/>
      <c r="I95" s="66"/>
      <c r="J95" s="306"/>
      <c r="K95" s="306"/>
      <c r="L95" s="306"/>
      <c r="M95" s="306"/>
      <c r="N95" s="240">
        <f t="shared" si="15"/>
        <v>0</v>
      </c>
      <c r="O95" s="19"/>
      <c r="P95" s="19"/>
      <c r="Q95" s="19"/>
      <c r="R95" s="19"/>
      <c r="S95" s="480" t="s">
        <v>1128</v>
      </c>
      <c r="T95" s="473"/>
      <c r="U95" s="306"/>
      <c r="V95" s="240" t="str">
        <f t="shared" si="17"/>
        <v>Unfilled fields to left</v>
      </c>
      <c r="X95" s="65"/>
    </row>
    <row r="96" spans="2:24" s="14" customFormat="1">
      <c r="B96" s="185" t="s">
        <v>1126</v>
      </c>
      <c r="C96" s="182" t="s">
        <v>1127</v>
      </c>
      <c r="D96" s="177" t="s">
        <v>425</v>
      </c>
      <c r="E96" s="304"/>
      <c r="F96" s="65"/>
      <c r="G96" s="65"/>
      <c r="H96" s="66"/>
      <c r="I96" s="66"/>
      <c r="J96" s="306"/>
      <c r="K96" s="306"/>
      <c r="L96" s="306"/>
      <c r="M96" s="306"/>
      <c r="N96" s="240">
        <f t="shared" si="15"/>
        <v>0</v>
      </c>
      <c r="O96" s="19"/>
      <c r="P96" s="19"/>
      <c r="Q96" s="19"/>
      <c r="R96" s="19"/>
      <c r="S96" s="480" t="s">
        <v>1128</v>
      </c>
      <c r="T96" s="473"/>
      <c r="U96" s="306"/>
      <c r="V96" s="240" t="str">
        <f t="shared" si="17"/>
        <v>Unfilled fields to left</v>
      </c>
      <c r="X96" s="65"/>
    </row>
    <row r="97" spans="2:25" s="14" customFormat="1">
      <c r="B97" s="185" t="s">
        <v>1126</v>
      </c>
      <c r="C97" s="182" t="s">
        <v>1127</v>
      </c>
      <c r="D97" s="177" t="s">
        <v>425</v>
      </c>
      <c r="E97" s="304"/>
      <c r="F97" s="65"/>
      <c r="G97" s="65"/>
      <c r="H97" s="66"/>
      <c r="I97" s="66"/>
      <c r="J97" s="306"/>
      <c r="K97" s="306"/>
      <c r="L97" s="306"/>
      <c r="M97" s="306"/>
      <c r="N97" s="240">
        <f t="shared" si="15"/>
        <v>0</v>
      </c>
      <c r="O97" s="19"/>
      <c r="P97" s="19"/>
      <c r="Q97" s="19"/>
      <c r="R97" s="19"/>
      <c r="S97" s="480" t="s">
        <v>1128</v>
      </c>
      <c r="T97" s="473"/>
      <c r="U97" s="306"/>
      <c r="V97" s="240" t="str">
        <f t="shared" si="17"/>
        <v>Unfilled fields to left</v>
      </c>
      <c r="X97" s="65"/>
    </row>
    <row r="98" spans="2:25" s="14" customFormat="1">
      <c r="B98" s="185"/>
      <c r="C98" s="182"/>
      <c r="D98" s="178"/>
      <c r="E98" s="496"/>
      <c r="F98" s="65"/>
      <c r="G98" s="65"/>
      <c r="H98" s="66"/>
      <c r="I98" s="66"/>
      <c r="J98" s="306"/>
      <c r="K98" s="306"/>
      <c r="L98" s="306"/>
      <c r="M98" s="306"/>
      <c r="N98" s="240">
        <f t="shared" si="15"/>
        <v>0</v>
      </c>
      <c r="O98" s="19"/>
      <c r="P98" s="19"/>
      <c r="Q98" s="19"/>
      <c r="R98" s="19"/>
      <c r="S98" s="300"/>
      <c r="T98" s="473"/>
      <c r="U98" s="306"/>
      <c r="V98" s="240" t="str">
        <f t="shared" si="17"/>
        <v>Unfilled fields to left</v>
      </c>
      <c r="X98" s="65"/>
    </row>
    <row r="99" spans="2:25" s="14" customFormat="1">
      <c r="B99" s="185"/>
      <c r="C99" s="182"/>
      <c r="D99" s="178"/>
      <c r="E99" s="496"/>
      <c r="F99" s="65"/>
      <c r="G99" s="65"/>
      <c r="H99" s="66"/>
      <c r="I99" s="66"/>
      <c r="J99" s="306"/>
      <c r="K99" s="306"/>
      <c r="L99" s="306"/>
      <c r="M99" s="306"/>
      <c r="N99" s="240">
        <f t="shared" si="15"/>
        <v>0</v>
      </c>
      <c r="O99" s="19"/>
      <c r="P99" s="19"/>
      <c r="Q99" s="19"/>
      <c r="R99" s="19"/>
      <c r="S99" s="300"/>
      <c r="T99" s="473"/>
      <c r="U99" s="306"/>
      <c r="V99" s="240" t="str">
        <f t="shared" si="17"/>
        <v>Unfilled fields to left</v>
      </c>
      <c r="X99" s="65"/>
    </row>
    <row r="100" spans="2:25">
      <c r="C100" s="17"/>
      <c r="D100" s="17"/>
      <c r="E100" s="139"/>
      <c r="F100" s="17"/>
      <c r="G100" s="17"/>
      <c r="H100" s="18"/>
      <c r="I100" s="18"/>
      <c r="J100" s="40"/>
      <c r="K100" s="40"/>
      <c r="L100" s="40"/>
      <c r="M100" s="40"/>
      <c r="N100" s="40"/>
      <c r="O100" s="12"/>
      <c r="S100" s="40"/>
      <c r="T100" s="40"/>
      <c r="U100" s="40"/>
      <c r="V100" s="40"/>
      <c r="Y100" s="12"/>
    </row>
    <row r="101" spans="2:25">
      <c r="E101" s="107"/>
      <c r="I101" s="12"/>
      <c r="J101" s="107"/>
      <c r="K101" s="107"/>
      <c r="L101" s="107"/>
      <c r="M101" s="107"/>
      <c r="N101" s="107"/>
      <c r="O101" s="12"/>
      <c r="S101" s="39"/>
      <c r="T101" s="39"/>
      <c r="U101" s="481" t="s">
        <v>1129</v>
      </c>
      <c r="V101" s="536">
        <f>IF(OR(COUNTIF(Initial_questions!$E$112,"Default"), COUNTIF(Initial_questions!$E$114:$E$115,"Default")),"Default data selected",IF(E107=0,"",SUM(V20,V40,V53,V66,V74,V83,V91)))</f>
        <v>0</v>
      </c>
      <c r="Y101" s="12"/>
    </row>
    <row r="102" spans="2:25">
      <c r="E102" s="107"/>
      <c r="I102" s="12"/>
      <c r="J102" s="107"/>
      <c r="K102" s="107"/>
      <c r="L102" s="107"/>
      <c r="M102" s="107"/>
      <c r="N102" s="107"/>
      <c r="O102" s="12"/>
      <c r="S102" s="107"/>
      <c r="T102" s="107"/>
      <c r="U102" s="481" t="s">
        <v>1130</v>
      </c>
      <c r="V102" s="537">
        <f>IF(OR(COUNTIF(Initial_questions!$E$112,"Default"), COUNTIF(Initial_questions!$E$114:$E$115,"Default")),"Default data selected",IF(E108=0,"",SUM(V24,V40,V53,V66,V74,V83,V91)))</f>
        <v>0</v>
      </c>
      <c r="Y102" s="12"/>
    </row>
    <row r="103" spans="2:25">
      <c r="E103" s="107"/>
      <c r="I103" s="12"/>
      <c r="J103" s="107"/>
      <c r="K103" s="107"/>
      <c r="L103" s="107"/>
      <c r="M103" s="107"/>
      <c r="N103" s="107"/>
      <c r="O103" s="12"/>
      <c r="S103" s="107"/>
      <c r="T103" s="107"/>
      <c r="U103" s="38" t="s">
        <v>1131</v>
      </c>
      <c r="V103" s="538">
        <f>IF(OR(COUNTIF(Initial_questions!$E$112,"Default"), COUNTIF(Initial_questions!$E$114:$E$115,"Default")),"Default data selected",IF(E109=0,"",SUM(V28,V40,V53,V66,V74,V83,V91)))</f>
        <v>0</v>
      </c>
      <c r="Y103" s="12"/>
    </row>
    <row r="104" spans="2:25">
      <c r="E104" s="107"/>
      <c r="I104" s="12"/>
      <c r="J104" s="107"/>
      <c r="K104" s="107"/>
      <c r="L104" s="107"/>
      <c r="M104" s="107"/>
      <c r="N104" s="107"/>
      <c r="O104" s="12"/>
      <c r="S104" s="107"/>
      <c r="T104" s="107"/>
      <c r="U104" s="38" t="s">
        <v>1132</v>
      </c>
      <c r="V104" s="588">
        <f>IF(OR(COUNTIF(Initial_questions!$E$112,"Default"), COUNTIF(Initial_questions!$E$114:$E$115,"Default")),"Default data selected",IF(E110=0,"",SUM(V32,V40,V53,V66,V74,V83,V91)))</f>
        <v>0</v>
      </c>
      <c r="Y104" s="12"/>
    </row>
    <row r="105" spans="2:25">
      <c r="B105" s="144" t="s">
        <v>133</v>
      </c>
      <c r="C105" s="158"/>
      <c r="D105" s="158"/>
      <c r="E105" s="495"/>
      <c r="G105" s="19"/>
      <c r="H105" s="12"/>
      <c r="I105" s="12"/>
      <c r="J105" s="107"/>
      <c r="K105" s="107"/>
      <c r="L105" s="107"/>
      <c r="M105" s="107"/>
      <c r="N105" s="107"/>
      <c r="O105" s="12"/>
      <c r="S105" s="107"/>
      <c r="T105" s="107"/>
      <c r="U105" s="481" t="s">
        <v>1133</v>
      </c>
      <c r="V105" s="539">
        <f>IF(OR(COUNTIF(Initial_questions!$E$112,"Default"), COUNTIF(Initial_questions!$E$114:$E$115,"Default")),"Default data selected",IF(E111=0,"",SUM(V36,V40,V53,V66,V74,V83,V91)))</f>
        <v>0</v>
      </c>
      <c r="Y105" s="12"/>
    </row>
    <row r="106" spans="2:25">
      <c r="B106" s="16" t="s">
        <v>1134</v>
      </c>
      <c r="C106" s="15" t="s">
        <v>1135</v>
      </c>
      <c r="D106" s="15" t="s">
        <v>1136</v>
      </c>
      <c r="E106" s="497"/>
      <c r="H106" s="12"/>
      <c r="I106" s="12"/>
      <c r="J106" s="107"/>
      <c r="K106" s="107"/>
      <c r="L106" s="107"/>
      <c r="M106" s="107"/>
      <c r="N106" s="107"/>
      <c r="O106" s="12"/>
      <c r="S106" s="107"/>
      <c r="T106" s="107"/>
      <c r="U106" s="107"/>
      <c r="V106" s="12"/>
      <c r="X106" s="25"/>
      <c r="Y106" s="12"/>
    </row>
    <row r="107" spans="2:25">
      <c r="B107" s="16" t="s">
        <v>1137</v>
      </c>
      <c r="C107" s="15" t="s">
        <v>420</v>
      </c>
      <c r="D107" s="15" t="s">
        <v>897</v>
      </c>
      <c r="E107" s="458" t="str">
        <f>IFERROR(Initial_questions!E34/SUM(Initial_questions!E34:E38), "Electricity inputs not specified")</f>
        <v>Electricity inputs not specified</v>
      </c>
      <c r="H107" s="12"/>
      <c r="I107" s="12"/>
      <c r="J107" s="107"/>
      <c r="K107" s="107"/>
      <c r="L107" s="107"/>
      <c r="M107" s="107"/>
      <c r="N107" s="107"/>
      <c r="O107" s="12"/>
      <c r="S107" s="39"/>
      <c r="T107" s="39"/>
      <c r="U107" s="39"/>
      <c r="X107" s="25"/>
    </row>
    <row r="108" spans="2:25">
      <c r="B108" s="16" t="s">
        <v>1137</v>
      </c>
      <c r="C108" s="15" t="s">
        <v>174</v>
      </c>
      <c r="D108" s="15" t="s">
        <v>897</v>
      </c>
      <c r="E108" s="458" t="str">
        <f>IFERROR(Initial_questions!E35/SUM(Initial_questions!E34:E38), "Electricity inputs not specified")</f>
        <v>Electricity inputs not specified</v>
      </c>
      <c r="H108" s="12"/>
      <c r="I108" s="12"/>
      <c r="J108" s="107"/>
      <c r="K108" s="107"/>
      <c r="L108" s="107"/>
      <c r="M108" s="107"/>
      <c r="N108" s="107"/>
      <c r="O108" s="12"/>
      <c r="S108" s="39"/>
      <c r="T108" s="39"/>
      <c r="U108" s="39"/>
      <c r="X108" s="25"/>
    </row>
    <row r="109" spans="2:25">
      <c r="B109" s="16" t="s">
        <v>1137</v>
      </c>
      <c r="C109" s="15" t="s">
        <v>459</v>
      </c>
      <c r="D109" s="15" t="s">
        <v>897</v>
      </c>
      <c r="E109" s="458" t="str">
        <f>IFERROR(Initial_questions!E36/SUM(Initial_questions!E34:E38), "Electricity inputs not specified")</f>
        <v>Electricity inputs not specified</v>
      </c>
      <c r="H109" s="12"/>
      <c r="I109" s="12"/>
      <c r="J109" s="107"/>
      <c r="K109" s="107"/>
      <c r="L109" s="107"/>
      <c r="M109" s="107"/>
      <c r="N109" s="107"/>
      <c r="O109" s="12"/>
      <c r="S109" s="39"/>
      <c r="T109" s="39"/>
      <c r="U109" s="39"/>
      <c r="X109" s="25"/>
    </row>
    <row r="110" spans="2:25">
      <c r="B110" s="16" t="s">
        <v>1137</v>
      </c>
      <c r="C110" s="15" t="s">
        <v>176</v>
      </c>
      <c r="D110" s="15" t="s">
        <v>897</v>
      </c>
      <c r="E110" s="458" t="str">
        <f>IFERROR(Initial_questions!E37/SUM(Initial_questions!E34:E38), "Electricity inputs not specified")</f>
        <v>Electricity inputs not specified</v>
      </c>
      <c r="H110" s="12"/>
      <c r="I110" s="12"/>
      <c r="J110" s="107"/>
      <c r="K110" s="107"/>
      <c r="L110" s="107"/>
      <c r="M110" s="107"/>
      <c r="N110" s="107"/>
      <c r="O110" s="12"/>
      <c r="S110" s="39"/>
      <c r="T110" s="39"/>
      <c r="U110" s="39"/>
      <c r="X110" s="25"/>
    </row>
    <row r="111" spans="2:25">
      <c r="B111" s="16" t="s">
        <v>1137</v>
      </c>
      <c r="C111" s="15" t="s">
        <v>1138</v>
      </c>
      <c r="D111" s="15" t="s">
        <v>897</v>
      </c>
      <c r="E111" s="458" t="str">
        <f>IFERROR(Initial_questions!E38/SUM(Initial_questions!E34:E38), "Electricity inputs not specified")</f>
        <v>Electricity inputs not specified</v>
      </c>
      <c r="H111" s="12"/>
      <c r="I111" s="12"/>
      <c r="J111" s="107"/>
      <c r="K111" s="107"/>
      <c r="L111" s="107"/>
      <c r="M111" s="107"/>
      <c r="N111" s="107"/>
      <c r="O111" s="12"/>
      <c r="S111" s="39"/>
      <c r="T111" s="39"/>
      <c r="U111" s="39"/>
      <c r="X111" s="25"/>
    </row>
    <row r="112" spans="2:25">
      <c r="B112" s="16" t="s">
        <v>1139</v>
      </c>
      <c r="C112" s="15" t="s">
        <v>1140</v>
      </c>
      <c r="D112" s="15" t="s">
        <v>897</v>
      </c>
      <c r="E112" s="507"/>
      <c r="H112" s="12"/>
      <c r="I112" s="12"/>
      <c r="J112" s="107"/>
      <c r="K112" s="107"/>
      <c r="L112" s="107"/>
      <c r="M112" s="107"/>
      <c r="N112" s="107"/>
      <c r="O112" s="12"/>
      <c r="S112" s="39"/>
      <c r="T112" s="39"/>
      <c r="U112" s="39"/>
      <c r="X112" s="25"/>
    </row>
    <row r="113" spans="1:29">
      <c r="B113" s="16"/>
      <c r="C113" s="15"/>
      <c r="D113" s="15"/>
      <c r="E113" s="507"/>
      <c r="H113" s="12"/>
      <c r="I113" s="12"/>
      <c r="J113" s="107"/>
      <c r="K113" s="107"/>
      <c r="L113" s="107"/>
      <c r="M113" s="107"/>
      <c r="N113" s="107"/>
      <c r="O113" s="12"/>
      <c r="S113" s="39"/>
      <c r="T113" s="39"/>
      <c r="U113" s="39"/>
      <c r="X113" s="25"/>
    </row>
    <row r="114" spans="1:29">
      <c r="A114" s="19"/>
      <c r="B114" s="16"/>
      <c r="C114" s="15"/>
      <c r="D114" s="15"/>
      <c r="E114" s="497"/>
      <c r="F114" s="19"/>
      <c r="G114" s="19"/>
      <c r="H114" s="19"/>
      <c r="I114" s="19"/>
      <c r="J114" s="113"/>
      <c r="K114" s="113"/>
      <c r="L114" s="113"/>
      <c r="M114" s="113"/>
      <c r="N114" s="113"/>
      <c r="O114" s="19"/>
      <c r="P114" s="19"/>
      <c r="Q114" s="19"/>
      <c r="R114" s="19"/>
      <c r="S114" s="125"/>
      <c r="T114" s="125"/>
      <c r="U114" s="39"/>
      <c r="W114" s="19"/>
      <c r="X114" s="19"/>
      <c r="Y114" s="19"/>
      <c r="Z114" s="19"/>
      <c r="AA114" s="19"/>
      <c r="AB114" s="19"/>
      <c r="AC114" s="19"/>
    </row>
    <row r="115" spans="1:29">
      <c r="E115" s="498"/>
      <c r="J115" s="39"/>
      <c r="K115" s="39"/>
      <c r="L115" s="39"/>
      <c r="M115" s="39"/>
      <c r="S115" s="39"/>
      <c r="T115" s="39"/>
      <c r="U115" s="125"/>
      <c r="V115" s="125"/>
      <c r="Y115" s="19"/>
    </row>
    <row r="116" spans="1:29">
      <c r="E116" s="113"/>
      <c r="J116" s="39"/>
      <c r="K116" s="39"/>
      <c r="L116" s="39"/>
      <c r="M116" s="39"/>
      <c r="S116" s="39"/>
      <c r="T116" s="39"/>
      <c r="U116" s="39"/>
    </row>
    <row r="117" spans="1:29">
      <c r="E117" s="113"/>
      <c r="J117" s="39"/>
      <c r="K117" s="39"/>
      <c r="L117" s="39"/>
      <c r="M117" s="39"/>
      <c r="S117" s="39"/>
      <c r="T117" s="39"/>
      <c r="U117" s="39"/>
    </row>
    <row r="118" spans="1:29">
      <c r="E118" s="113"/>
      <c r="J118" s="39"/>
      <c r="K118" s="39"/>
      <c r="L118" s="39"/>
      <c r="M118" s="39"/>
      <c r="S118" s="39"/>
      <c r="T118" s="39"/>
      <c r="U118" s="39"/>
    </row>
    <row r="119" spans="1:29">
      <c r="E119" s="113"/>
      <c r="J119" s="39"/>
      <c r="K119" s="39"/>
      <c r="L119" s="39"/>
      <c r="M119" s="39"/>
      <c r="S119" s="39"/>
      <c r="T119" s="39"/>
      <c r="U119" s="39"/>
    </row>
    <row r="120" spans="1:29">
      <c r="E120" s="113"/>
      <c r="J120" s="39"/>
      <c r="K120" s="39"/>
      <c r="L120" s="39"/>
      <c r="M120" s="39"/>
      <c r="S120" s="39"/>
      <c r="T120" s="39"/>
      <c r="U120" s="39"/>
    </row>
    <row r="121" spans="1:29">
      <c r="E121" s="113"/>
      <c r="J121" s="39"/>
      <c r="K121" s="39"/>
      <c r="L121" s="39"/>
      <c r="M121" s="39"/>
      <c r="S121" s="39"/>
      <c r="T121" s="39"/>
      <c r="U121" s="39"/>
    </row>
    <row r="122" spans="1:29">
      <c r="E122" s="113"/>
      <c r="J122" s="39"/>
      <c r="K122" s="39"/>
      <c r="L122" s="39"/>
      <c r="M122" s="39"/>
      <c r="S122" s="39"/>
      <c r="T122" s="39"/>
      <c r="U122" s="39"/>
    </row>
    <row r="123" spans="1:29">
      <c r="E123" s="113"/>
      <c r="J123" s="39"/>
      <c r="K123" s="39"/>
      <c r="L123" s="39"/>
      <c r="M123" s="39"/>
      <c r="S123" s="39"/>
      <c r="T123" s="39"/>
      <c r="U123" s="39"/>
    </row>
    <row r="124" spans="1:29">
      <c r="E124" s="113"/>
      <c r="J124" s="39"/>
      <c r="K124" s="39"/>
      <c r="L124" s="39"/>
      <c r="M124" s="39"/>
      <c r="S124" s="39"/>
      <c r="T124" s="39"/>
      <c r="U124" s="39"/>
    </row>
    <row r="125" spans="1:29">
      <c r="E125" s="113"/>
      <c r="J125" s="39"/>
      <c r="K125" s="39"/>
      <c r="L125" s="39"/>
      <c r="M125" s="39"/>
      <c r="S125" s="39"/>
      <c r="T125" s="39"/>
      <c r="U125" s="39"/>
    </row>
    <row r="126" spans="1:29">
      <c r="E126" s="113"/>
      <c r="J126" s="39"/>
      <c r="K126" s="39"/>
      <c r="L126" s="39"/>
      <c r="M126" s="39"/>
      <c r="S126" s="39"/>
      <c r="T126" s="39"/>
      <c r="U126" s="39"/>
    </row>
    <row r="127" spans="1:29">
      <c r="E127" s="113"/>
      <c r="J127" s="39"/>
      <c r="K127" s="39"/>
      <c r="L127" s="39"/>
      <c r="M127" s="39"/>
      <c r="S127" s="39"/>
      <c r="T127" s="39"/>
      <c r="U127" s="39"/>
    </row>
    <row r="128" spans="1:29">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113"/>
      <c r="S148" s="39"/>
      <c r="T148" s="39"/>
      <c r="U148" s="39"/>
    </row>
    <row r="149" spans="5:21">
      <c r="E149" s="113"/>
      <c r="S149" s="39"/>
      <c r="T149" s="39"/>
      <c r="U149" s="39"/>
    </row>
    <row r="150" spans="5:21">
      <c r="E150" s="113"/>
      <c r="S150" s="39"/>
      <c r="T150" s="39"/>
      <c r="U150" s="39"/>
    </row>
    <row r="151" spans="5:21">
      <c r="E151" s="113"/>
      <c r="S151" s="39"/>
      <c r="T151" s="39"/>
      <c r="U151" s="39"/>
    </row>
    <row r="152" spans="5:21">
      <c r="E152" s="113"/>
      <c r="S152" s="39"/>
      <c r="T152" s="39"/>
      <c r="U152" s="39"/>
    </row>
    <row r="153" spans="5:21">
      <c r="E153" s="113"/>
      <c r="S153" s="39"/>
      <c r="T153" s="39"/>
      <c r="U153" s="39"/>
    </row>
    <row r="154" spans="5:21">
      <c r="E154" s="254"/>
      <c r="S154" s="39"/>
      <c r="T154" s="39"/>
      <c r="U154" s="39"/>
    </row>
    <row r="155" spans="5:21">
      <c r="E155" s="254"/>
      <c r="S155" s="39"/>
      <c r="T155" s="39"/>
      <c r="U155" s="39"/>
    </row>
    <row r="156" spans="5:21">
      <c r="E156" s="254"/>
      <c r="S156" s="39"/>
      <c r="T156" s="39"/>
      <c r="U156" s="39"/>
    </row>
    <row r="157" spans="5:21">
      <c r="E157" s="254"/>
      <c r="S157" s="39"/>
      <c r="T157" s="39"/>
      <c r="U157" s="39"/>
    </row>
    <row r="158" spans="5:21">
      <c r="E158" s="254"/>
      <c r="S158" s="39"/>
      <c r="T158" s="39"/>
      <c r="U158" s="39"/>
    </row>
    <row r="159" spans="5:21">
      <c r="E159" s="254"/>
      <c r="S159" s="39"/>
      <c r="T159" s="39"/>
      <c r="U159" s="39"/>
    </row>
    <row r="160" spans="5:21">
      <c r="E160" s="254"/>
      <c r="S160" s="39"/>
      <c r="T160" s="39"/>
      <c r="U160" s="39"/>
    </row>
    <row r="161" spans="5:21">
      <c r="E161" s="254"/>
      <c r="S161" s="39"/>
      <c r="T161" s="39"/>
      <c r="U161" s="39"/>
    </row>
    <row r="162" spans="5:21">
      <c r="E162" s="254"/>
      <c r="S162" s="39"/>
      <c r="T162" s="39"/>
      <c r="U162" s="39"/>
    </row>
    <row r="163" spans="5:21">
      <c r="E163" s="254"/>
      <c r="S163" s="39"/>
      <c r="T163" s="39"/>
      <c r="U163" s="39"/>
    </row>
    <row r="164" spans="5:21">
      <c r="E164" s="254"/>
      <c r="S164" s="39"/>
      <c r="T164" s="39"/>
      <c r="U164" s="39"/>
    </row>
    <row r="165" spans="5:21">
      <c r="E165" s="254"/>
      <c r="S165" s="39"/>
      <c r="T165" s="39"/>
      <c r="U165" s="39"/>
    </row>
    <row r="166" spans="5:21">
      <c r="E166" s="254"/>
      <c r="S166" s="39"/>
      <c r="T166" s="39"/>
      <c r="U166" s="39"/>
    </row>
    <row r="167" spans="5:21">
      <c r="E167" s="254"/>
      <c r="S167" s="39"/>
      <c r="T167" s="39"/>
      <c r="U167" s="39"/>
    </row>
    <row r="168" spans="5:21">
      <c r="E168" s="254"/>
      <c r="S168" s="39"/>
      <c r="T168" s="39"/>
      <c r="U168" s="39"/>
    </row>
    <row r="169" spans="5:21">
      <c r="E169" s="254"/>
      <c r="S169" s="39"/>
      <c r="T169" s="39"/>
      <c r="U169" s="39"/>
    </row>
    <row r="170" spans="5:21">
      <c r="E170" s="254"/>
      <c r="S170" s="39"/>
      <c r="T170" s="39"/>
      <c r="U170" s="39"/>
    </row>
    <row r="171" spans="5:21">
      <c r="E171" s="254"/>
      <c r="S171" s="39"/>
      <c r="T171" s="39"/>
      <c r="U171" s="39"/>
    </row>
    <row r="172" spans="5:21">
      <c r="E172" s="254"/>
      <c r="S172" s="39"/>
      <c r="T172" s="39"/>
      <c r="U172" s="39"/>
    </row>
    <row r="173" spans="5:21">
      <c r="E173" s="254"/>
      <c r="S173" s="39"/>
      <c r="T173" s="39"/>
      <c r="U173" s="39"/>
    </row>
    <row r="174" spans="5:21">
      <c r="E174" s="254"/>
      <c r="S174" s="39"/>
      <c r="T174" s="39"/>
      <c r="U174" s="39"/>
    </row>
    <row r="175" spans="5:21">
      <c r="E175" s="254"/>
      <c r="S175" s="39"/>
      <c r="T175" s="39"/>
      <c r="U175" s="39"/>
    </row>
    <row r="176" spans="5:21">
      <c r="E176" s="254"/>
      <c r="S176" s="39"/>
      <c r="T176" s="39"/>
      <c r="U176" s="39"/>
    </row>
    <row r="177" spans="5:21">
      <c r="E177" s="254"/>
      <c r="S177" s="39"/>
      <c r="T177" s="39"/>
      <c r="U177" s="39"/>
    </row>
    <row r="178" spans="5:21">
      <c r="E178" s="254"/>
      <c r="S178" s="39"/>
      <c r="T178" s="39"/>
      <c r="U178" s="39"/>
    </row>
    <row r="179" spans="5:21">
      <c r="E179" s="254"/>
      <c r="S179" s="39"/>
      <c r="T179" s="39"/>
      <c r="U179" s="39"/>
    </row>
    <row r="180" spans="5:21">
      <c r="E180" s="254"/>
      <c r="S180" s="39"/>
      <c r="T180" s="39"/>
      <c r="U180" s="39"/>
    </row>
    <row r="181" spans="5:21">
      <c r="E181" s="254"/>
      <c r="S181" s="39"/>
      <c r="T181" s="39"/>
      <c r="U181" s="39"/>
    </row>
    <row r="182" spans="5:21">
      <c r="E182" s="254"/>
      <c r="S182" s="39"/>
      <c r="T182" s="39"/>
      <c r="U182" s="39"/>
    </row>
    <row r="183" spans="5:21">
      <c r="E183" s="254"/>
      <c r="S183" s="39"/>
      <c r="T183" s="39"/>
      <c r="U183" s="39"/>
    </row>
    <row r="184" spans="5:21">
      <c r="E184" s="254"/>
      <c r="S184" s="39"/>
      <c r="T184" s="39"/>
      <c r="U184" s="39"/>
    </row>
    <row r="185" spans="5:21">
      <c r="E185" s="254"/>
      <c r="S185" s="39"/>
      <c r="T185" s="39"/>
      <c r="U185" s="39"/>
    </row>
    <row r="186" spans="5:21">
      <c r="E186" s="254"/>
      <c r="S186" s="39"/>
      <c r="T186" s="39"/>
      <c r="U186" s="39"/>
    </row>
    <row r="187" spans="5:21">
      <c r="E187" s="254"/>
      <c r="S187" s="39"/>
      <c r="T187" s="39"/>
      <c r="U187" s="39"/>
    </row>
    <row r="188" spans="5:21">
      <c r="E188" s="254"/>
      <c r="S188" s="39"/>
      <c r="T188" s="39"/>
      <c r="U188" s="39"/>
    </row>
    <row r="189" spans="5:21">
      <c r="E189" s="254"/>
      <c r="S189" s="39"/>
      <c r="T189" s="39"/>
      <c r="U189" s="39"/>
    </row>
    <row r="190" spans="5:21">
      <c r="E190" s="254"/>
      <c r="S190" s="39"/>
      <c r="T190" s="39"/>
      <c r="U190" s="39"/>
    </row>
    <row r="191" spans="5:21">
      <c r="E191" s="254"/>
      <c r="S191" s="39"/>
      <c r="T191" s="39"/>
      <c r="U191" s="39"/>
    </row>
    <row r="192" spans="5:21">
      <c r="E192" s="254"/>
      <c r="S192" s="39"/>
      <c r="T192" s="39"/>
      <c r="U192" s="39"/>
    </row>
    <row r="193" spans="5:21">
      <c r="E193" s="254"/>
      <c r="S193" s="39"/>
      <c r="T193" s="39"/>
      <c r="U193" s="39"/>
    </row>
    <row r="194" spans="5:21">
      <c r="E194" s="254"/>
      <c r="S194" s="39"/>
      <c r="T194" s="39"/>
      <c r="U194" s="39"/>
    </row>
    <row r="195" spans="5:21">
      <c r="E195" s="254"/>
      <c r="U195" s="39"/>
    </row>
    <row r="196" spans="5:21">
      <c r="E196" s="254"/>
    </row>
    <row r="197" spans="5:21">
      <c r="E197" s="254"/>
    </row>
    <row r="198" spans="5:21">
      <c r="E198" s="254"/>
    </row>
    <row r="199" spans="5:21">
      <c r="E199" s="254"/>
    </row>
    <row r="200" spans="5:21">
      <c r="E200" s="254"/>
    </row>
    <row r="201" spans="5:21">
      <c r="E201" s="254"/>
    </row>
    <row r="202" spans="5:21">
      <c r="E202" s="254"/>
    </row>
    <row r="203" spans="5:21">
      <c r="E203" s="254"/>
    </row>
    <row r="204" spans="5:21">
      <c r="E204" s="254"/>
    </row>
    <row r="205" spans="5:21">
      <c r="E205" s="254"/>
    </row>
    <row r="206" spans="5:21">
      <c r="E206" s="254"/>
    </row>
    <row r="207" spans="5:21">
      <c r="E207" s="254"/>
    </row>
    <row r="208" spans="5:21">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row r="247" spans="5:5">
      <c r="E247" s="254"/>
    </row>
    <row r="248" spans="5:5">
      <c r="E248" s="254"/>
    </row>
    <row r="249" spans="5:5">
      <c r="E249" s="254"/>
    </row>
    <row r="250" spans="5:5">
      <c r="E250" s="254"/>
    </row>
    <row r="251" spans="5:5">
      <c r="E251" s="254"/>
    </row>
    <row r="252" spans="5:5">
      <c r="E252" s="254"/>
    </row>
    <row r="253" spans="5:5">
      <c r="E253" s="254"/>
    </row>
    <row r="254" spans="5:5">
      <c r="E254" s="254"/>
    </row>
    <row r="255" spans="5:5">
      <c r="E255" s="254"/>
    </row>
    <row r="256" spans="5:5">
      <c r="E256" s="254"/>
    </row>
    <row r="257" spans="5:5">
      <c r="E257" s="254"/>
    </row>
    <row r="258" spans="5:5">
      <c r="E258" s="254"/>
    </row>
    <row r="259" spans="5:5">
      <c r="E259" s="254"/>
    </row>
    <row r="260" spans="5:5">
      <c r="E260" s="254"/>
    </row>
    <row r="261" spans="5:5">
      <c r="E261" s="254"/>
    </row>
    <row r="262" spans="5:5">
      <c r="E262" s="254"/>
    </row>
    <row r="263" spans="5:5">
      <c r="E263" s="254"/>
    </row>
    <row r="264" spans="5:5">
      <c r="E264" s="254"/>
    </row>
    <row r="265" spans="5:5">
      <c r="E265" s="254"/>
    </row>
    <row r="266" spans="5:5">
      <c r="E266" s="254"/>
    </row>
    <row r="267" spans="5:5">
      <c r="E267" s="254"/>
    </row>
    <row r="268" spans="5:5">
      <c r="E268" s="254"/>
    </row>
    <row r="269" spans="5:5">
      <c r="E269" s="254"/>
    </row>
    <row r="270" spans="5:5">
      <c r="E270" s="254"/>
    </row>
    <row r="271" spans="5:5">
      <c r="E271" s="254"/>
    </row>
    <row r="272" spans="5:5">
      <c r="E272" s="254"/>
    </row>
    <row r="273" spans="5:5">
      <c r="E273" s="254"/>
    </row>
    <row r="274" spans="5:5">
      <c r="E274" s="254"/>
    </row>
    <row r="275" spans="5:5">
      <c r="E275" s="254"/>
    </row>
    <row r="276" spans="5:5">
      <c r="E276" s="254"/>
    </row>
    <row r="277" spans="5:5">
      <c r="E277" s="254"/>
    </row>
  </sheetData>
  <customSheetViews>
    <customSheetView guid="{F03309BC-D3FA-4CF2-833B-D6D9A95FE1FB}" showGridLines="0" state="hidden">
      <pane xSplit="3" ySplit="5" topLeftCell="D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D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C2" sqref="C2:E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7">
    <dataValidation type="list" allowBlank="1" showInputMessage="1" showErrorMessage="1" sqref="D84:D88 D92:D99 D36:D37 D75:D80 D54:D63 D67:D71 D40:D50 D20:D21 D24:D25 D28:D29 D8 D10:D17 D32:D33" xr:uid="{7613AF97-1D36-4D0E-B5F9-8E2B5F4E4C55}">
      <formula1>Flow_units</formula1>
    </dataValidation>
    <dataValidation type="custom" allowBlank="1" showInputMessage="1" showErrorMessage="1" error="Please do not change this formula" prompt="Please do not change this formula" sqref="P1:R4 V1:V4 V107:V1048576 V20 V6:V18 N1:N8 O10 R6:R8 N18:N20 P5 N34:N36 N100:N1048576 N89:N91 N81:N83 N72:N74 N64:N66 N51:N53 N38:N40 K5 N26:N28 N22:N24 O6:O8 R5:V5 B5:I5 N30:N32 P11:P1048576 Q14:R1048576 V39:V102 V105" xr:uid="{21EDA894-B0FD-46CC-8835-A7E37748045E}">
      <formula1>"Please do not change this formula"</formula1>
    </dataValidation>
    <dataValidation type="custom" allowBlank="1" showInputMessage="1" showErrorMessage="1" error="Please do not change this formula" sqref="Q5" xr:uid="{2CA50E51-5177-4C64-A5EC-32869A0DAE80}">
      <formula1>"Please do not change this formula"</formula1>
    </dataValidation>
    <dataValidation type="custom" allowBlank="1" showInputMessage="1" showErrorMessage="1" error="Please do not change formula" sqref="O9 N21 N25 N29 N37 N41:N50 N54:N63 N67:N71 N75:N80 N84:N88 N92:N99 Q9:R13 N9:N17 N33" xr:uid="{13D910D9-61BA-4E6F-835D-8F30DB5BB71D}">
      <formula1>"Please do not change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2:T100 S18:S82 T30:T32 T26:T28 T34:T36 T38:T82 T18:T20 T22:T24 T37 T25 T29 T33" xr:uid="{D0D6EBEE-2057-49FE-A7F2-2E074406E24A}">
      <formula1>0</formula1>
    </dataValidation>
    <dataValidation type="custom" allowBlank="1" showInputMessage="1" showErrorMessage="1" error="Please do not change" sqref="V103 V104" xr:uid="{9222A4E7-559B-4AD1-B70D-BA6F8EAA4850}">
      <formula1>"Please do not change"</formula1>
    </dataValidation>
    <dataValidation type="decimal" operator="greaterThan" allowBlank="1" showInputMessage="1" showErrorMessage="1" sqref="T21" xr:uid="{CBD6326E-CD81-44C3-8C70-41CEDB362731}">
      <formula1>0</formula1>
    </dataValidation>
  </dataValidations>
  <hyperlinks>
    <hyperlink ref="I2:J2" location="'NG Transport'!A1" display="Go to the next step of this pathway" xr:uid="{FC6D9BDF-039A-467C-8246-6B83C749A142}"/>
    <hyperlink ref="I2:K2" location="GHG_ELECTROLYSIS!A1" display="Go to the next step of this pathway" xr:uid="{F2996663-D32E-4070-9B7D-D9400F754801}"/>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extLst>
    <ext xmlns:x14="http://schemas.microsoft.com/office/spreadsheetml/2009/9/main" uri="{78C0D931-6437-407d-A8EE-F0AAD7539E65}">
      <x14:conditionalFormattings>
        <x14:conditionalFormatting xmlns:xm="http://schemas.microsoft.com/office/excel/2006/main">
          <x14:cfRule type="expression" priority="21" id="{0F8AA911-8706-467E-AC03-7E93FE6FADBF}">
            <xm:f>AND(Path&lt;&gt;Units!$B$84, Path&lt;&gt;Units!$B$85, Path&lt;&gt;Units!$B$86, Path&lt;&gt;Units!$B$87,Path&lt;&gt;Units!$B$88,Path&lt;&gt;Units!$B$89,Master_Switch="On")</xm:f>
            <x14:dxf>
              <font>
                <color theme="0"/>
              </font>
              <fill>
                <patternFill>
                  <bgColor theme="0"/>
                </patternFill>
              </fill>
              <border>
                <left/>
                <right/>
                <top/>
                <bottom/>
                <vertical/>
                <horizontal/>
              </border>
            </x14:dxf>
          </x14:cfRule>
          <xm:sqref>A2:XFD103 A104:T109 W104:XFD204 U104:V205 A110:A204 F110:T204 B110:E205</xm:sqref>
        </x14:conditionalFormatting>
        <x14:conditionalFormatting xmlns:xm="http://schemas.microsoft.com/office/excel/2006/main">
          <x14:cfRule type="expression" priority="20" id="{9B49A6AB-C21D-4E75-8536-998F56F290BD}">
            <xm:f>AND(GHG_ELECTROLYSIS!$D$6="Default",Master_Switch="On")</xm:f>
            <x14:dxf>
              <font>
                <color theme="0"/>
              </font>
              <fill>
                <patternFill>
                  <bgColor theme="0"/>
                </patternFill>
              </fill>
              <border>
                <left/>
                <right/>
                <top/>
                <bottom/>
                <vertical/>
                <horizontal/>
              </border>
            </x14:dxf>
          </x14:cfRule>
          <xm:sqref>A21:XFD21</xm:sqref>
        </x14:conditionalFormatting>
        <x14:conditionalFormatting xmlns:xm="http://schemas.microsoft.com/office/excel/2006/main">
          <x14:cfRule type="expression" priority="19" id="{2DCA2039-993F-4248-8994-33C9D4CAC45A}">
            <xm:f>AND(GHG_ELECTROLYSIS!$D$23="Default",Master_Switch="On")</xm:f>
            <x14:dxf>
              <font>
                <color theme="0"/>
              </font>
              <fill>
                <patternFill>
                  <bgColor theme="0"/>
                </patternFill>
              </fill>
              <border>
                <left/>
                <right/>
                <top/>
                <bottom/>
                <vertical/>
                <horizontal/>
              </border>
            </x14:dxf>
          </x14:cfRule>
          <xm:sqref>A25:XFD25</xm:sqref>
        </x14:conditionalFormatting>
        <x14:conditionalFormatting xmlns:xm="http://schemas.microsoft.com/office/excel/2006/main">
          <x14:cfRule type="expression" priority="18" id="{E2A40422-FBC5-4FDA-AFE7-FB86F43663DB}">
            <xm:f>AND(GHG_ELECTROLYSIS!$D$40="Default",Master_Switch="On")</xm:f>
            <x14:dxf>
              <font>
                <color theme="0"/>
              </font>
              <fill>
                <patternFill>
                  <bgColor theme="0"/>
                </patternFill>
              </fill>
              <border>
                <left/>
                <right/>
                <top/>
                <bottom/>
                <vertical/>
                <horizontal/>
              </border>
            </x14:dxf>
          </x14:cfRule>
          <xm:sqref>A29:XFD29</xm:sqref>
        </x14:conditionalFormatting>
        <x14:conditionalFormatting xmlns:xm="http://schemas.microsoft.com/office/excel/2006/main">
          <x14:cfRule type="expression" priority="1" id="{379730FB-6DBE-4BB3-A264-930BD6087ECE}">
            <xm:f>AND(GHG_ELECTROLYSIS!$D$57="Default",Master_Switch="On")</xm:f>
            <x14:dxf>
              <font>
                <color theme="0"/>
              </font>
              <fill>
                <patternFill>
                  <fgColor theme="0"/>
                </patternFill>
              </fill>
            </x14:dxf>
          </x14:cfRule>
          <xm:sqref>A33:XFD33</xm:sqref>
        </x14:conditionalFormatting>
        <x14:conditionalFormatting xmlns:xm="http://schemas.microsoft.com/office/excel/2006/main">
          <x14:cfRule type="expression" priority="17" id="{9EC676D4-F62C-41AF-B463-2E329CAFB792}">
            <xm:f>AND(GHG_ELECTROLYSIS!$D$74="Default",Master_Switch="On")</xm:f>
            <x14:dxf>
              <font>
                <color theme="0"/>
              </font>
              <fill>
                <patternFill>
                  <bgColor theme="0"/>
                </patternFill>
              </fill>
              <border>
                <left/>
                <right/>
                <top/>
                <bottom/>
                <vertical/>
                <horizontal/>
              </border>
            </x14:dxf>
          </x14:cfRule>
          <xm:sqref>A37:XFD37</xm:sqref>
        </x14:conditionalFormatting>
        <x14:conditionalFormatting xmlns:xm="http://schemas.microsoft.com/office/excel/2006/main">
          <x14:cfRule type="expression" priority="244" id="{8CAE66F9-DEDC-4DD0-BCCE-93CDBA99B611}">
            <xm:f>AND(OR(GHG_ELECTROLYSIS!$D$6="Default",GHG_ELECTROLYSIS!$D$23="Default", GHG_ELECTROLYSIS!$D$40="Default",GHG_ELECTROLYSIS!$D$74="Default"),Master_Switch="On")</xm:f>
            <x14:dxf>
              <font>
                <color theme="0"/>
              </font>
              <fill>
                <patternFill>
                  <bgColor theme="0"/>
                </patternFill>
              </fill>
              <border>
                <left/>
                <right/>
                <top/>
                <bottom/>
                <vertical/>
                <horizontal/>
              </border>
            </x14:dxf>
          </x14:cfRule>
          <xm:sqref>A41:XFD50</xm:sqref>
        </x14:conditionalFormatting>
        <x14:conditionalFormatting xmlns:xm="http://schemas.microsoft.com/office/excel/2006/main">
          <x14:cfRule type="expression" priority="245" id="{2639AB12-041F-41B3-B285-017DB1F2FE3C}">
            <xm:f>AND(OR(GHG_ELECTROLYSIS!$D$7="Default",GHG_ELECTROLYSIS!$D$24="Default",GHG_ELECTROLYSIS!$D$41="Default",GHG_ELECTROLYSIS!$D$75="Default"),Master_Switch="On")</xm:f>
            <x14:dxf>
              <font>
                <color theme="0"/>
              </font>
              <fill>
                <patternFill>
                  <bgColor theme="0"/>
                </patternFill>
              </fill>
              <border>
                <left/>
                <right/>
                <top/>
                <bottom/>
                <vertical/>
                <horizontal/>
              </border>
            </x14:dxf>
          </x14:cfRule>
          <xm:sqref>A54:XFD63</xm:sqref>
        </x14:conditionalFormatting>
        <x14:conditionalFormatting xmlns:xm="http://schemas.microsoft.com/office/excel/2006/main">
          <x14:cfRule type="expression" priority="2" id="{07DBBB8B-C167-42C2-9549-C0F436D541A1}">
            <xm:f>AND(GHG_ELECTROLYSIS!$D$40="Default",Master_Switch="On")</xm:f>
            <x14:dxf>
              <font>
                <color theme="0"/>
              </font>
              <fill>
                <patternFill>
                  <bgColor theme="0"/>
                </patternFill>
              </fill>
              <border>
                <left/>
                <right/>
                <top/>
                <bottom/>
                <vertical/>
                <horizontal/>
              </border>
            </x14:dxf>
          </x14:cfRule>
          <xm:sqref>B33:X33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7BD2AD3-B6A0-467D-9DB8-C25A7C6A73B2}">
          <x14:formula1>
            <xm:f>Units!$Z$84</xm:f>
          </x14:formula1>
          <xm:sqref>D9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0">
    <tabColor theme="5"/>
  </sheetPr>
  <dimension ref="A1:AC190"/>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IF(AND(Path&lt;&gt;Units!$B$90,Path&lt;&gt;Units!$B$91,Path&lt;&gt;Units!$B$92,Path&lt;&gt;Units!$B$93, Master_Switch="On"),"User should not fill in this sheet, but switch to other non-blank GHG worksheets","")</f>
        <v>User should not fill in this sheet, but switch to other non-blank GHG worksheets</v>
      </c>
      <c r="C1" s="80"/>
      <c r="E1" s="254"/>
    </row>
    <row r="2" spans="1:29" ht="20.45" customHeight="1">
      <c r="B2" s="80" t="str">
        <f>IF(OR(AND(Initial_questions!$E$73=Units!$H$84,GHG_NG_REFORM_CCS!$D$3="Default",Master_Switch="On"),AND(Initial_questions!$E$73=Units!$H$84,GHG_NG_SPLITTING!$D$3="Default",Master_Switch="On")), "NSTA data used, move to the next step of the pathway","")</f>
        <v/>
      </c>
      <c r="E2" s="254"/>
      <c r="I2" s="735" t="s">
        <v>1141</v>
      </c>
      <c r="J2" s="737"/>
      <c r="K2" s="738"/>
      <c r="L2" s="39"/>
      <c r="M2" s="39"/>
    </row>
    <row r="3" spans="1:29" ht="15" customHeight="1">
      <c r="E3" s="254"/>
    </row>
    <row r="4" spans="1:29" ht="15.6" customHeight="1" thickBot="1">
      <c r="A4" s="19"/>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1142</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84" t="s">
        <v>1069</v>
      </c>
      <c r="C8" s="182" t="s">
        <v>1146</v>
      </c>
      <c r="D8" s="177" t="s">
        <v>447</v>
      </c>
      <c r="E8" s="304"/>
      <c r="F8" s="21"/>
      <c r="G8" s="21"/>
      <c r="H8" s="20"/>
      <c r="I8" s="459"/>
      <c r="J8" s="300"/>
      <c r="K8" s="300"/>
      <c r="L8" s="300"/>
      <c r="M8" s="300"/>
      <c r="N8" s="240">
        <f t="shared" ref="N8:N17" si="0">IF($D8="MWh/yr (LHV)",$E8,$J8*$E8*(1-$L8)/Conversion_kWh_to_MJ)</f>
        <v>0</v>
      </c>
      <c r="O8" s="12"/>
      <c r="P8" s="12"/>
      <c r="S8" s="298" t="str">
        <f t="shared" ref="S8:S17" si="1">IF(B8="", "", IF(D8="MWh/yr (LHV)", "Use column to right", "Enter data here"))</f>
        <v>Use column to right</v>
      </c>
      <c r="T8" s="298" t="e">
        <f>INDEX(Proj_grid_intensity_kWh,MATCH(Operations_year,Proj_grid_year,0))/Conversion_kWh_to_MJ</f>
        <v>#N/A</v>
      </c>
      <c r="U8" s="35" t="s">
        <v>1112</v>
      </c>
      <c r="V8" s="240" t="str">
        <f>IFERROR(IF(D8="tonnes/yr", $S8*$E8/($N$20*3.6), $T8*$E8*3.6/($N$20*3.6)), "Unfilled fields to left")</f>
        <v>Unfilled fields to left</v>
      </c>
      <c r="X8" s="25"/>
      <c r="Y8" s="12"/>
    </row>
    <row r="9" spans="1:29">
      <c r="B9" s="184" t="s">
        <v>1069</v>
      </c>
      <c r="C9" s="182" t="s">
        <v>1147</v>
      </c>
      <c r="D9" s="177" t="s">
        <v>447</v>
      </c>
      <c r="E9" s="304"/>
      <c r="F9" s="21"/>
      <c r="G9" s="21"/>
      <c r="H9" s="20"/>
      <c r="I9" s="459"/>
      <c r="J9" s="300"/>
      <c r="K9" s="300"/>
      <c r="L9" s="300"/>
      <c r="M9" s="300"/>
      <c r="N9" s="240">
        <f t="shared" si="0"/>
        <v>0</v>
      </c>
      <c r="O9" s="12"/>
      <c r="P9" s="12"/>
      <c r="S9" s="298" t="str">
        <f t="shared" si="1"/>
        <v>Use column to right</v>
      </c>
      <c r="T9" s="298" t="str">
        <f t="shared" ref="T9:T17" si="2">IF(B9="", "", IF(D9="MWh/yr (LHV)", "Enter data here", "Use column to left"))</f>
        <v>Enter data here</v>
      </c>
      <c r="U9" s="35" t="s">
        <v>1148</v>
      </c>
      <c r="V9" s="240" t="str">
        <f t="shared" ref="V9:V17" si="3">IFERROR(IF(D9="tonnes/yr", $S9*$E9/($N$20*3.6), $T9*$E9*3.6/($N$20*3.6)), "Unfilled fields to left")</f>
        <v>Unfilled fields to left</v>
      </c>
      <c r="X9" s="25"/>
      <c r="Y9" s="12"/>
    </row>
    <row r="10" spans="1:29">
      <c r="B10" s="184" t="s">
        <v>1090</v>
      </c>
      <c r="C10" s="182" t="s">
        <v>1091</v>
      </c>
      <c r="D10" s="177" t="s">
        <v>425</v>
      </c>
      <c r="E10" s="304"/>
      <c r="F10" s="21"/>
      <c r="G10" s="21"/>
      <c r="H10" s="20"/>
      <c r="I10" s="459"/>
      <c r="J10" s="300"/>
      <c r="K10" s="300"/>
      <c r="L10" s="300"/>
      <c r="M10" s="300"/>
      <c r="N10" s="240">
        <f t="shared" si="0"/>
        <v>0</v>
      </c>
      <c r="O10" s="12"/>
      <c r="P10" s="12"/>
      <c r="S10" s="298" t="str">
        <f t="shared" si="1"/>
        <v>Enter data here</v>
      </c>
      <c r="T10" s="298" t="str">
        <f t="shared" si="2"/>
        <v>Use column to left</v>
      </c>
      <c r="U10" s="35" t="s">
        <v>1148</v>
      </c>
      <c r="V10" s="240" t="str">
        <f t="shared" si="3"/>
        <v>Unfilled fields to left</v>
      </c>
      <c r="X10" s="25"/>
      <c r="Y10" s="12"/>
    </row>
    <row r="11" spans="1:29">
      <c r="B11" s="184" t="s">
        <v>1090</v>
      </c>
      <c r="C11" s="182" t="s">
        <v>1093</v>
      </c>
      <c r="D11" s="177" t="s">
        <v>425</v>
      </c>
      <c r="E11" s="304"/>
      <c r="F11" s="21"/>
      <c r="G11" s="21"/>
      <c r="H11" s="20"/>
      <c r="I11" s="459"/>
      <c r="J11" s="300"/>
      <c r="K11" s="300"/>
      <c r="L11" s="300"/>
      <c r="M11" s="300"/>
      <c r="N11" s="240">
        <f t="shared" si="0"/>
        <v>0</v>
      </c>
      <c r="O11" s="12"/>
      <c r="P11" s="12"/>
      <c r="S11" s="298" t="str">
        <f t="shared" si="1"/>
        <v>Enter data here</v>
      </c>
      <c r="T11" s="298" t="str">
        <f t="shared" si="2"/>
        <v>Use column to left</v>
      </c>
      <c r="U11" s="35" t="s">
        <v>1148</v>
      </c>
      <c r="V11" s="240" t="str">
        <f t="shared" si="3"/>
        <v>Unfilled fields to left</v>
      </c>
      <c r="X11" s="25"/>
      <c r="Y11" s="12"/>
    </row>
    <row r="12" spans="1:29">
      <c r="B12" s="184" t="s">
        <v>1099</v>
      </c>
      <c r="C12" s="182" t="s">
        <v>1058</v>
      </c>
      <c r="D12" s="177" t="s">
        <v>425</v>
      </c>
      <c r="E12" s="304"/>
      <c r="F12" s="21"/>
      <c r="G12" s="21"/>
      <c r="H12" s="20"/>
      <c r="I12" s="459"/>
      <c r="J12" s="300"/>
      <c r="K12" s="300"/>
      <c r="L12" s="300"/>
      <c r="M12" s="300"/>
      <c r="N12" s="240">
        <f t="shared" si="0"/>
        <v>0</v>
      </c>
      <c r="O12" s="12"/>
      <c r="P12" s="12"/>
      <c r="S12" s="298" t="str">
        <f t="shared" si="1"/>
        <v>Enter data here</v>
      </c>
      <c r="T12" s="298" t="str">
        <f t="shared" si="2"/>
        <v>Use column to left</v>
      </c>
      <c r="U12" s="35" t="s">
        <v>1148</v>
      </c>
      <c r="V12" s="240" t="str">
        <f t="shared" si="3"/>
        <v>Unfilled fields to left</v>
      </c>
      <c r="X12" s="25"/>
      <c r="Y12" s="12"/>
    </row>
    <row r="13" spans="1:29">
      <c r="B13" s="184" t="s">
        <v>1099</v>
      </c>
      <c r="C13" s="182" t="s">
        <v>1149</v>
      </c>
      <c r="D13" s="177" t="s">
        <v>425</v>
      </c>
      <c r="E13" s="304"/>
      <c r="F13" s="21"/>
      <c r="G13" s="21"/>
      <c r="H13" s="20"/>
      <c r="I13" s="459"/>
      <c r="J13" s="300"/>
      <c r="K13" s="300"/>
      <c r="L13" s="300"/>
      <c r="M13" s="300"/>
      <c r="N13" s="240">
        <f t="shared" si="0"/>
        <v>0</v>
      </c>
      <c r="O13" s="12"/>
      <c r="P13" s="12"/>
      <c r="S13" s="298" t="str">
        <f t="shared" si="1"/>
        <v>Enter data here</v>
      </c>
      <c r="T13" s="298" t="str">
        <f t="shared" si="2"/>
        <v>Use column to left</v>
      </c>
      <c r="U13" s="35" t="s">
        <v>1148</v>
      </c>
      <c r="V13" s="240" t="str">
        <f t="shared" si="3"/>
        <v>Unfilled fields to left</v>
      </c>
      <c r="X13" s="25"/>
      <c r="Y13" s="12"/>
    </row>
    <row r="14" spans="1:29">
      <c r="B14" s="184" t="s">
        <v>1150</v>
      </c>
      <c r="C14" s="182" t="s">
        <v>1103</v>
      </c>
      <c r="D14" s="177" t="s">
        <v>425</v>
      </c>
      <c r="E14" s="304"/>
      <c r="F14" s="21"/>
      <c r="G14" s="21"/>
      <c r="H14" s="20"/>
      <c r="I14" s="459"/>
      <c r="J14" s="300"/>
      <c r="K14" s="300"/>
      <c r="L14" s="300"/>
      <c r="M14" s="300"/>
      <c r="N14" s="240">
        <f t="shared" si="0"/>
        <v>0</v>
      </c>
      <c r="O14" s="12"/>
      <c r="P14" s="12"/>
      <c r="S14" s="298" t="str">
        <f t="shared" si="1"/>
        <v>Enter data here</v>
      </c>
      <c r="T14" s="298" t="str">
        <f t="shared" si="2"/>
        <v>Use column to left</v>
      </c>
      <c r="U14" s="35" t="s">
        <v>1148</v>
      </c>
      <c r="V14" s="240" t="str">
        <f t="shared" si="3"/>
        <v>Unfilled fields to left</v>
      </c>
      <c r="X14" s="25"/>
      <c r="Y14" s="12"/>
    </row>
    <row r="15" spans="1:29">
      <c r="B15" s="184" t="s">
        <v>1150</v>
      </c>
      <c r="C15" s="182"/>
      <c r="D15" s="177"/>
      <c r="E15" s="304"/>
      <c r="F15" s="21"/>
      <c r="G15" s="21"/>
      <c r="H15" s="20"/>
      <c r="I15" s="459"/>
      <c r="J15" s="300"/>
      <c r="K15" s="300"/>
      <c r="L15" s="300"/>
      <c r="M15" s="300"/>
      <c r="N15" s="240">
        <f t="shared" si="0"/>
        <v>0</v>
      </c>
      <c r="O15" s="12"/>
      <c r="P15" s="12"/>
      <c r="S15" s="298" t="str">
        <f t="shared" si="1"/>
        <v>Enter data here</v>
      </c>
      <c r="T15" s="298" t="str">
        <f t="shared" si="2"/>
        <v>Use column to left</v>
      </c>
      <c r="U15" s="35" t="s">
        <v>1148</v>
      </c>
      <c r="V15" s="240" t="str">
        <f t="shared" si="3"/>
        <v>Unfilled fields to left</v>
      </c>
      <c r="X15" s="25"/>
      <c r="Y15" s="12"/>
    </row>
    <row r="16" spans="1:29">
      <c r="B16" s="184"/>
      <c r="C16" s="182"/>
      <c r="D16" s="177"/>
      <c r="E16" s="304"/>
      <c r="F16" s="21"/>
      <c r="G16" s="21"/>
      <c r="H16" s="20"/>
      <c r="I16" s="459"/>
      <c r="J16" s="300"/>
      <c r="K16" s="300"/>
      <c r="L16" s="300"/>
      <c r="M16" s="300"/>
      <c r="N16" s="240">
        <f t="shared" si="0"/>
        <v>0</v>
      </c>
      <c r="O16" s="12"/>
      <c r="P16" s="12"/>
      <c r="S16" s="298" t="str">
        <f t="shared" si="1"/>
        <v/>
      </c>
      <c r="T16" s="298" t="str">
        <f t="shared" si="2"/>
        <v/>
      </c>
      <c r="U16" s="35"/>
      <c r="V16" s="240" t="str">
        <f t="shared" si="3"/>
        <v>Unfilled fields to left</v>
      </c>
      <c r="X16" s="25"/>
      <c r="Y16" s="12"/>
    </row>
    <row r="17" spans="2:29">
      <c r="B17" s="16"/>
      <c r="C17" s="15"/>
      <c r="D17" s="177"/>
      <c r="E17" s="304"/>
      <c r="F17" s="21"/>
      <c r="G17" s="21"/>
      <c r="H17" s="20"/>
      <c r="I17" s="459"/>
      <c r="J17" s="300"/>
      <c r="K17" s="300"/>
      <c r="L17" s="300"/>
      <c r="M17" s="300"/>
      <c r="N17" s="240">
        <f t="shared" si="0"/>
        <v>0</v>
      </c>
      <c r="O17" s="12"/>
      <c r="P17" s="12"/>
      <c r="S17" s="298" t="str">
        <f t="shared" si="1"/>
        <v/>
      </c>
      <c r="T17" s="298" t="str">
        <f t="shared" si="2"/>
        <v/>
      </c>
      <c r="U17" s="35"/>
      <c r="V17" s="240" t="str">
        <f t="shared" si="3"/>
        <v>Unfilled fields to left</v>
      </c>
      <c r="X17" s="25"/>
      <c r="Y17" s="12"/>
    </row>
    <row r="18" spans="2:29">
      <c r="C18" s="17"/>
      <c r="D18" s="17"/>
      <c r="E18" s="502"/>
      <c r="F18" s="26"/>
      <c r="G18" s="26"/>
      <c r="H18" s="22"/>
      <c r="I18" s="22"/>
      <c r="J18" s="41"/>
      <c r="K18" s="41"/>
      <c r="L18" s="41"/>
      <c r="M18" s="41"/>
      <c r="N18" s="41"/>
      <c r="S18" s="41"/>
      <c r="T18" s="41"/>
      <c r="U18" s="41"/>
      <c r="V18" s="41"/>
      <c r="X18" s="27"/>
      <c r="Y18" s="12"/>
    </row>
    <row r="19" spans="2:29">
      <c r="B19" s="144" t="s">
        <v>1151</v>
      </c>
      <c r="C19" s="144"/>
      <c r="D19" s="144"/>
      <c r="E19" s="489"/>
      <c r="F19" s="460"/>
      <c r="G19" s="460"/>
      <c r="H19" s="460"/>
      <c r="I19" s="460"/>
      <c r="J19" s="489"/>
      <c r="K19" s="489"/>
      <c r="L19" s="299"/>
      <c r="M19" s="299"/>
      <c r="N19" s="299"/>
      <c r="Q19"/>
      <c r="R19"/>
      <c r="S19" s="40"/>
      <c r="T19" s="40"/>
      <c r="U19" s="40"/>
      <c r="V19" s="40"/>
      <c r="W19" s="19"/>
      <c r="X19" s="19"/>
      <c r="Y19" s="19"/>
      <c r="Z19" s="19"/>
      <c r="AA19" s="19"/>
      <c r="AB19" s="19"/>
      <c r="AC19" s="19"/>
    </row>
    <row r="20" spans="2:29">
      <c r="B20" s="16" t="s">
        <v>1152</v>
      </c>
      <c r="C20" s="182" t="s">
        <v>1153</v>
      </c>
      <c r="D20" s="177" t="s">
        <v>447</v>
      </c>
      <c r="E20" s="304"/>
      <c r="F20" s="21"/>
      <c r="G20" s="21"/>
      <c r="H20" s="21"/>
      <c r="I20" s="21"/>
      <c r="J20" s="300"/>
      <c r="K20" s="304"/>
      <c r="L20" s="304"/>
      <c r="M20" s="304"/>
      <c r="N20" s="240">
        <f t="shared" ref="N20:N32" si="4">IF($D20="MWh/yr (LHV)",$E20,$J20*$E20*(1-$L20)/Conversion_kWh_to_MJ)</f>
        <v>0</v>
      </c>
      <c r="O20" s="244" t="s">
        <v>563</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04"/>
      <c r="F21" s="21"/>
      <c r="G21" s="21"/>
      <c r="H21" s="20"/>
      <c r="I21" s="20"/>
      <c r="J21" s="300"/>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04"/>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04"/>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04"/>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04"/>
      <c r="F25" s="21"/>
      <c r="G25" s="21"/>
      <c r="H25" s="20"/>
      <c r="I25" s="459"/>
      <c r="J25" s="300"/>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04"/>
      <c r="F26" s="21"/>
      <c r="G26" s="21"/>
      <c r="H26" s="20"/>
      <c r="I26" s="459"/>
      <c r="J26" s="300"/>
      <c r="K26" s="300"/>
      <c r="L26" s="300"/>
      <c r="M26" s="300"/>
      <c r="N26" s="240">
        <f t="shared" si="4"/>
        <v>0</v>
      </c>
      <c r="O26" s="12"/>
      <c r="P26" s="12"/>
      <c r="Q26" s="12"/>
      <c r="R26" s="12"/>
      <c r="S26" s="107"/>
      <c r="T26" s="107"/>
      <c r="U26" s="107"/>
      <c r="V26" s="12"/>
      <c r="X26" s="21"/>
    </row>
    <row r="27" spans="2:29" s="14" customFormat="1">
      <c r="B27" s="184" t="s">
        <v>1105</v>
      </c>
      <c r="C27" s="182" t="s">
        <v>1157</v>
      </c>
      <c r="D27" s="177" t="s">
        <v>425</v>
      </c>
      <c r="E27" s="304"/>
      <c r="F27" s="461"/>
      <c r="G27" s="21"/>
      <c r="H27" s="20"/>
      <c r="I27" s="459"/>
      <c r="J27" s="300"/>
      <c r="K27" s="300"/>
      <c r="L27" s="300"/>
      <c r="M27" s="300"/>
      <c r="N27" s="240">
        <f t="shared" si="4"/>
        <v>0</v>
      </c>
      <c r="O27" s="12"/>
      <c r="P27" s="12"/>
      <c r="Q27" s="12"/>
      <c r="R27" s="12"/>
      <c r="S27" s="524">
        <f>1*1000</f>
        <v>1000</v>
      </c>
      <c r="T27" s="473"/>
      <c r="U27" s="526" t="s">
        <v>1158</v>
      </c>
      <c r="V27" s="240" t="str">
        <f t="shared" ref="V27:V32" si="6">IFERROR(IF(D27="tonnes/yr", $S27*$E27/($N$20*3.6), $T27*$E27*3.6/($N$20*3.6)), "Unfilled fields to left")</f>
        <v>Unfilled fields to left</v>
      </c>
      <c r="X27" s="21"/>
    </row>
    <row r="28" spans="2:29" s="14" customFormat="1">
      <c r="B28" s="184" t="s">
        <v>1118</v>
      </c>
      <c r="C28" s="182" t="s">
        <v>1159</v>
      </c>
      <c r="D28" s="177" t="s">
        <v>425</v>
      </c>
      <c r="E28" s="35">
        <f>E27*E37</f>
        <v>0</v>
      </c>
      <c r="F28" s="461"/>
      <c r="G28" s="21"/>
      <c r="H28" s="20"/>
      <c r="I28" s="459"/>
      <c r="J28" s="300"/>
      <c r="K28" s="300"/>
      <c r="L28" s="300"/>
      <c r="M28" s="300"/>
      <c r="N28" s="240">
        <f t="shared" si="4"/>
        <v>0</v>
      </c>
      <c r="O28" s="12"/>
      <c r="P28" s="12"/>
      <c r="Q28" s="12"/>
      <c r="R28" s="12"/>
      <c r="S28" s="524">
        <v>-1000</v>
      </c>
      <c r="T28" s="473"/>
      <c r="U28" s="526" t="s">
        <v>1160</v>
      </c>
      <c r="V28" s="240" t="str">
        <f t="shared" si="6"/>
        <v>Unfilled fields to left</v>
      </c>
      <c r="X28" s="21"/>
    </row>
    <row r="29" spans="2:29" s="14" customFormat="1">
      <c r="B29" s="184" t="s">
        <v>1161</v>
      </c>
      <c r="C29" s="182" t="s">
        <v>1121</v>
      </c>
      <c r="D29" s="177" t="s">
        <v>425</v>
      </c>
      <c r="E29" s="304"/>
      <c r="F29" s="461"/>
      <c r="G29" s="21"/>
      <c r="H29" s="20"/>
      <c r="I29" s="459"/>
      <c r="J29" s="300"/>
      <c r="K29" s="300"/>
      <c r="L29" s="300"/>
      <c r="M29" s="300"/>
      <c r="N29" s="240">
        <f t="shared" si="4"/>
        <v>0</v>
      </c>
      <c r="O29" s="12"/>
      <c r="P29" s="12"/>
      <c r="Q29" s="12"/>
      <c r="R29" s="12"/>
      <c r="S29" s="524">
        <f>28*1000</f>
        <v>28000</v>
      </c>
      <c r="T29" s="473"/>
      <c r="U29" s="526" t="s">
        <v>1107</v>
      </c>
      <c r="V29" s="240" t="str">
        <f t="shared" si="6"/>
        <v>Unfilled fields to left</v>
      </c>
      <c r="X29" s="21"/>
    </row>
    <row r="30" spans="2:29" s="14" customFormat="1">
      <c r="B30" s="184" t="s">
        <v>1161</v>
      </c>
      <c r="C30" s="182" t="s">
        <v>1123</v>
      </c>
      <c r="D30" s="177" t="s">
        <v>425</v>
      </c>
      <c r="E30" s="304"/>
      <c r="F30" s="21"/>
      <c r="G30" s="21"/>
      <c r="H30" s="20"/>
      <c r="I30" s="459"/>
      <c r="J30" s="300"/>
      <c r="K30" s="300"/>
      <c r="L30" s="300"/>
      <c r="M30" s="300"/>
      <c r="N30" s="240">
        <f t="shared" si="4"/>
        <v>0</v>
      </c>
      <c r="O30" s="12"/>
      <c r="P30" s="12"/>
      <c r="Q30" s="12"/>
      <c r="R30" s="12"/>
      <c r="S30" s="530">
        <v>265000</v>
      </c>
      <c r="T30" s="514"/>
      <c r="U30" s="526" t="s">
        <v>1107</v>
      </c>
      <c r="V30" s="240" t="str">
        <f t="shared" si="6"/>
        <v>Unfilled fields to left</v>
      </c>
      <c r="X30" s="21"/>
    </row>
    <row r="31" spans="2:29" s="14" customFormat="1">
      <c r="B31" s="16"/>
      <c r="C31" s="15"/>
      <c r="D31" s="177"/>
      <c r="E31" s="304"/>
      <c r="F31" s="21"/>
      <c r="G31" s="21"/>
      <c r="H31" s="20"/>
      <c r="I31" s="459"/>
      <c r="J31" s="300"/>
      <c r="K31" s="300"/>
      <c r="L31" s="300"/>
      <c r="M31" s="300"/>
      <c r="N31" s="240">
        <f t="shared" si="4"/>
        <v>0</v>
      </c>
      <c r="O31" s="12"/>
      <c r="P31" s="12"/>
      <c r="Q31" s="12"/>
      <c r="R31" s="12"/>
      <c r="S31" s="525"/>
      <c r="T31" s="473"/>
      <c r="U31" s="527"/>
      <c r="V31" s="240" t="str">
        <f t="shared" si="6"/>
        <v>Unfilled fields to left</v>
      </c>
      <c r="X31" s="21"/>
    </row>
    <row r="32" spans="2:29" s="14" customFormat="1">
      <c r="B32" s="16"/>
      <c r="C32" s="15"/>
      <c r="D32" s="177"/>
      <c r="E32" s="304"/>
      <c r="F32" s="21"/>
      <c r="G32" s="21"/>
      <c r="H32" s="20"/>
      <c r="I32" s="459"/>
      <c r="J32" s="300"/>
      <c r="K32" s="300"/>
      <c r="L32" s="300"/>
      <c r="M32" s="300"/>
      <c r="N32" s="240">
        <f t="shared" si="4"/>
        <v>0</v>
      </c>
      <c r="O32" s="12"/>
      <c r="P32" s="12"/>
      <c r="Q32" s="12"/>
      <c r="R32" s="12"/>
      <c r="S32" s="524"/>
      <c r="T32" s="473"/>
      <c r="U32" s="527"/>
      <c r="V32" s="240" t="str">
        <f t="shared" si="6"/>
        <v>Unfilled fields to left</v>
      </c>
      <c r="X32" s="21"/>
    </row>
    <row r="33" spans="2:25">
      <c r="C33" s="17"/>
      <c r="D33" s="17"/>
      <c r="E33" s="139"/>
      <c r="F33" s="17"/>
      <c r="H33" s="18"/>
      <c r="I33" s="18"/>
      <c r="J33" s="40"/>
      <c r="K33" s="40"/>
      <c r="L33" s="39"/>
      <c r="M33" s="39"/>
      <c r="O33" s="12"/>
      <c r="P33" s="12"/>
      <c r="S33" s="40"/>
      <c r="T33" s="40"/>
      <c r="U33" s="40"/>
      <c r="V33" s="40"/>
      <c r="Y33" s="12"/>
    </row>
    <row r="34" spans="2:25">
      <c r="D34" s="17"/>
      <c r="E34" s="139"/>
      <c r="J34" s="39"/>
      <c r="K34" s="39"/>
      <c r="L34" s="107"/>
      <c r="M34" s="107"/>
      <c r="N34" s="107"/>
      <c r="O34" s="12"/>
      <c r="P34" s="12"/>
      <c r="S34" s="39"/>
      <c r="T34" s="39"/>
      <c r="U34" s="38" t="s">
        <v>1162</v>
      </c>
      <c r="V34" s="152">
        <f>SUM(V7:V33)</f>
        <v>0</v>
      </c>
      <c r="Y34" s="12"/>
    </row>
    <row r="35" spans="2:25">
      <c r="B35" s="144" t="s">
        <v>133</v>
      </c>
      <c r="C35" s="158"/>
      <c r="D35" s="158"/>
      <c r="E35" s="495"/>
      <c r="I35" s="12"/>
      <c r="J35" s="107"/>
      <c r="K35" s="107"/>
      <c r="L35" s="107"/>
      <c r="M35" s="107"/>
      <c r="N35" s="107"/>
      <c r="O35" s="12"/>
      <c r="P35" s="12"/>
      <c r="S35" s="107"/>
      <c r="T35" s="107"/>
      <c r="U35" s="107"/>
      <c r="Y35" s="12"/>
    </row>
    <row r="36" spans="2:25">
      <c r="B36" s="16" t="s">
        <v>1134</v>
      </c>
      <c r="C36" s="15" t="s">
        <v>1135</v>
      </c>
      <c r="D36" s="15" t="s">
        <v>1136</v>
      </c>
      <c r="E36" s="497"/>
      <c r="G36" s="19"/>
      <c r="H36" s="12"/>
      <c r="I36" s="12"/>
      <c r="J36" s="107"/>
      <c r="K36" s="107"/>
      <c r="L36" s="107"/>
      <c r="M36" s="107"/>
      <c r="N36" s="107"/>
      <c r="O36" s="12"/>
      <c r="P36" s="12"/>
      <c r="S36" s="107"/>
      <c r="T36" s="107"/>
      <c r="U36" s="107"/>
      <c r="V36" s="12"/>
      <c r="X36" s="25"/>
      <c r="Y36" s="12"/>
    </row>
    <row r="37" spans="2:25">
      <c r="B37" s="16" t="s">
        <v>1139</v>
      </c>
      <c r="C37" s="15" t="s">
        <v>1140</v>
      </c>
      <c r="D37" s="15" t="s">
        <v>897</v>
      </c>
      <c r="E37" s="508"/>
      <c r="H37" s="12"/>
      <c r="I37" s="12"/>
      <c r="J37" s="107"/>
      <c r="K37" s="107"/>
      <c r="L37" s="39"/>
      <c r="M37" s="39"/>
      <c r="S37" s="107"/>
      <c r="T37" s="107"/>
      <c r="U37" s="107"/>
      <c r="V37" s="12"/>
      <c r="X37" s="25"/>
      <c r="Y37" s="12"/>
    </row>
    <row r="38" spans="2:25">
      <c r="B38" s="16"/>
      <c r="C38" s="15"/>
      <c r="D38" s="15"/>
      <c r="E38" s="508"/>
      <c r="J38" s="39"/>
      <c r="K38" s="39"/>
      <c r="L38" s="39"/>
      <c r="M38" s="39"/>
      <c r="S38" s="39"/>
      <c r="T38" s="39"/>
      <c r="U38" s="39"/>
      <c r="X38" s="25"/>
    </row>
    <row r="39" spans="2:25">
      <c r="B39" s="16"/>
      <c r="C39" s="15"/>
      <c r="D39" s="15"/>
      <c r="E39" s="503"/>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S122" s="39"/>
      <c r="T122" s="39"/>
      <c r="U122" s="39"/>
    </row>
    <row r="123" spans="5:21">
      <c r="E123" s="107"/>
      <c r="J123" s="39"/>
      <c r="K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1"/>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pane xSplit="3" ySplit="5" topLeftCell="Q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C2" sqref="C2:E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2" xr:uid="{73E139E7-384D-4529-82EB-C42A75445CC8}">
      <formula1>Flow_units</formula1>
    </dataValidation>
    <dataValidation type="custom" allowBlank="1" showInputMessage="1" showErrorMessage="1" error="Please do not change this formula" prompt="Please do not change this formula" sqref="W4 V1:V4 S5:V5 V6:V7 V28:V1048576 V8:V27" xr:uid="{326EA5AE-EBA4-4636-A3D2-F2F7911330D8}">
      <formula1>"Please do not change this formula"</formula1>
    </dataValidation>
    <dataValidation type="custom" allowBlank="1" showInputMessage="1" showErrorMessage="1" error="Please do not change this formula" sqref="O6:O19 O21:O1048576 R23:R1048576 P1:Q1048576 R1:R19 N1:O5 N6:N1048576" xr:uid="{E5619B01-906C-4172-A8BC-72F28C69A5AE}">
      <formula1>"Please do not change this formula"</formula1>
    </dataValidation>
    <dataValidation type="custom" allowBlank="1" showInputMessage="1" showErrorMessage="1" error="Please do not change" sqref="O20 R20:R22" xr:uid="{CC058DB0-AC0E-4DF7-8557-15126D6CC2AF}">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7 S29:T33" xr:uid="{06EE3A9F-3A57-4A9D-A02B-BDBBC611DE72}">
      <formula1>0</formula1>
    </dataValidation>
  </dataValidations>
  <hyperlinks>
    <hyperlink ref="I2:J2" location="'NG Transport'!A1" display="Go to the next step of this pathway" xr:uid="{2A02F32A-0CCD-4C2E-9FEF-46F16364ABAE}"/>
    <hyperlink ref="I2:K2" location="NG_Transport!A1" display="Go to the next step of this pathway" xr:uid="{83146335-0260-4739-B1DB-6DB48BA9E911}"/>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93" id="{00000000-000E-0000-1600-00005C000000}">
            <xm:f>AND(Path&lt;&gt;Units!$B$90,Path&lt;&gt;Units!$B$91,Path&lt;&gt;Units!$B$92, Path&lt;&gt;Units!$B$93,Master_Switch="On")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 id="{D69538E6-95DE-411E-A219-997608FDE610}">
            <xm:f>AND(Initial_questions!$E$73=Units!$H$84,GHG_NG_SPLITTING!$D$3="Default",Master_Switch="On")</xm:f>
            <x14:dxf>
              <font>
                <color theme="0"/>
              </font>
              <fill>
                <patternFill>
                  <fgColor theme="0"/>
                  <bgColor theme="0"/>
                </patternFill>
              </fill>
            </x14:dxf>
          </x14:cfRule>
          <x14:cfRule type="expression" priority="253" id="{EEB7E19D-D89E-45C5-820B-FD530B01DAF7}">
            <xm:f>AND(Initial_questions!$E$73=Units!$H$84,GHG_NG_REFORM_CCS!$D$3="Default",Master_Switch="On")</xm:f>
            <x14:dxf>
              <font>
                <color theme="0"/>
              </font>
              <fill>
                <patternFill>
                  <bgColor theme="0"/>
                </patternFill>
              </fill>
              <border>
                <left/>
                <right/>
                <top/>
                <bottom/>
                <vertical/>
                <horizontal/>
              </border>
            </x14:dxf>
          </x14:cfRule>
          <x14:cfRule type="expression" priority="254" id="{B055A149-C709-4940-A194-981B785DD515}">
            <xm:f>AND(OR(GHG_NG_REFORM_CCS!$D$3="Default",GHG_NG_SPLITTING!$D$3="Default"),Master_Switch="On")</xm:f>
            <x14:dxf>
              <font>
                <color theme="0"/>
              </font>
              <fill>
                <patternFill>
                  <bgColor theme="0"/>
                </patternFill>
              </fill>
              <border>
                <left/>
                <right/>
                <top/>
                <bottom/>
              </border>
            </x14:dxf>
          </x14:cfRule>
          <xm:sqref>A3:XFD200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67691-B22C-4EAE-BAB9-62ED7F9B778E}">
  <sheetPr codeName="Sheet21">
    <tabColor theme="5"/>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IF(AND(Path&lt;&gt;Units!$B$90,Path&lt;&gt;Units!$B$91,Path&lt;&gt;Units!$B$92,Path&lt;&gt;Units!$B$93,Master_Switch="On"),"User should not fill in this sheet, but switch to other non-blank GHG worksheets","")</f>
        <v>User should not fill in this sheet, but switch to other non-blank GHG worksheets</v>
      </c>
      <c r="E1" s="254"/>
    </row>
    <row r="2" spans="1:29" s="19" customFormat="1" ht="20.45" customHeight="1">
      <c r="B2" s="80" t="str">
        <f>IF(OR(AND(Initial_questions!$E$73=Units!$H$84,GHG_NG_REFORM_CCS!$D$3="Default",Master_Switch="On"),AND(Initial_questions!$E$73=Units!$H$84,GHG_NG_SPLITTING!$D$3="Default",Master_Switch="On")), "NSTA data used, move to the next step of the pathway","")</f>
        <v/>
      </c>
      <c r="E2" s="254"/>
      <c r="H2" s="126"/>
      <c r="I2" s="735" t="s">
        <v>1141</v>
      </c>
      <c r="J2" s="737"/>
      <c r="K2" s="738"/>
      <c r="L2" s="39"/>
      <c r="M2" s="39"/>
      <c r="N2" s="39"/>
      <c r="O2"/>
      <c r="P2"/>
      <c r="Q2" s="12"/>
      <c r="R2" s="12"/>
      <c r="S2" s="126"/>
      <c r="T2" s="126"/>
      <c r="U2" s="126"/>
      <c r="V2" s="125"/>
      <c r="Y2"/>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1153</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1164</v>
      </c>
      <c r="D9" s="177" t="s">
        <v>447</v>
      </c>
      <c r="E9" s="35"/>
      <c r="F9" s="21"/>
      <c r="G9" s="21"/>
      <c r="H9" s="20"/>
      <c r="I9" s="36"/>
      <c r="J9" s="298"/>
      <c r="K9" s="300"/>
      <c r="L9" s="300"/>
      <c r="M9" s="300"/>
      <c r="N9" s="240">
        <f t="shared" si="0"/>
        <v>0</v>
      </c>
      <c r="O9" s="12"/>
      <c r="P9" s="12"/>
      <c r="S9" s="35" t="str">
        <f>IF(B9="", "", IF(D9="MWh/yr (LHV)", "Use column to right", "Enter data here"))</f>
        <v>Use column to right</v>
      </c>
      <c r="T9" s="298"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IF(B10="", "", IF(D10="MWh/yr (LHV)", "Use column to right", "Enter data here"))</f>
        <v>Enter data here</v>
      </c>
      <c r="T10" s="35" t="str">
        <f t="shared" ref="T10"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ref="S11:S17" si="3">IF(B11="", "", IF(D11="MWh/yr (LHV)", "Use column to right", "Enter data here"))</f>
        <v>Enter data here</v>
      </c>
      <c r="T11" s="35" t="str">
        <f t="shared" ref="T11:T17" si="4">IF(B11="", "", IF(D11="MWh/yr (LHV)", "Enter data here", "Use column to left"))</f>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3"/>
        <v>Enter data here</v>
      </c>
      <c r="T12" s="35" t="str">
        <f t="shared" si="4"/>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3"/>
        <v>Enter data here</v>
      </c>
      <c r="T13" s="35" t="str">
        <f t="shared" si="4"/>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3"/>
        <v>Enter data here</v>
      </c>
      <c r="T14" s="35" t="str">
        <f t="shared" si="4"/>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P15" s="12"/>
      <c r="S15" s="35" t="str">
        <f t="shared" si="3"/>
        <v>Enter data here</v>
      </c>
      <c r="T15" s="35" t="str">
        <f t="shared" si="4"/>
        <v>Use column to left</v>
      </c>
      <c r="U15" s="35" t="s">
        <v>1148</v>
      </c>
      <c r="V15" s="240" t="str">
        <f t="shared" si="1"/>
        <v>Unfilled fields to left</v>
      </c>
      <c r="X15" s="25"/>
      <c r="Y15" s="12"/>
    </row>
    <row r="16" spans="1:29">
      <c r="B16" s="184" t="s">
        <v>1150</v>
      </c>
      <c r="C16" s="182"/>
      <c r="D16" s="177"/>
      <c r="E16" s="35"/>
      <c r="F16" s="21"/>
      <c r="G16" s="21"/>
      <c r="H16" s="20"/>
      <c r="I16" s="36"/>
      <c r="J16" s="298"/>
      <c r="K16" s="300"/>
      <c r="L16" s="300"/>
      <c r="M16" s="300"/>
      <c r="N16" s="240">
        <f t="shared" si="0"/>
        <v>0</v>
      </c>
      <c r="O16" s="12"/>
      <c r="P16" s="12"/>
      <c r="S16" s="35" t="str">
        <f t="shared" si="3"/>
        <v>Enter data here</v>
      </c>
      <c r="T16" s="35" t="str">
        <f t="shared" si="4"/>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3"/>
        <v/>
      </c>
      <c r="T17" s="35" t="str">
        <f t="shared" si="4"/>
        <v/>
      </c>
      <c r="U17" s="35"/>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1153</v>
      </c>
      <c r="D20" s="177" t="s">
        <v>425</v>
      </c>
      <c r="E20" s="35"/>
      <c r="F20" s="21"/>
      <c r="G20" s="21"/>
      <c r="H20" s="21"/>
      <c r="I20" s="21"/>
      <c r="J20" s="298"/>
      <c r="K20" s="304"/>
      <c r="L20" s="304"/>
      <c r="M20" s="304"/>
      <c r="N20" s="240">
        <f t="shared" ref="N20:N31" si="5">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1165</v>
      </c>
      <c r="D27" s="177" t="s">
        <v>425</v>
      </c>
      <c r="E27" s="35"/>
      <c r="F27" s="34"/>
      <c r="G27" s="21"/>
      <c r="H27" s="20"/>
      <c r="I27" s="36"/>
      <c r="J27" s="298"/>
      <c r="K27" s="300"/>
      <c r="L27" s="300"/>
      <c r="M27" s="300"/>
      <c r="N27" s="240">
        <f t="shared" si="5"/>
        <v>0</v>
      </c>
      <c r="O27" s="12"/>
      <c r="P27" s="12"/>
      <c r="Q27" s="12"/>
      <c r="R27" s="12"/>
      <c r="S27" s="298">
        <f>1*1000</f>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5"/>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I6" activePane="bottomRight" state="frozen"/>
      <selection pane="bottomRight" activeCell="D2" sqref="D2"/>
      <pageMargins left="0" right="0" top="0" bottom="0" header="0" footer="0"/>
      <pageSetup paperSize="9" orientation="portrait" r:id="rId1"/>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pane xSplit="3" ySplit="5" topLeftCell="I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C2" sqref="C2:E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9F35EDD0-6B20-4F98-AF9C-C506DD99BB57}">
      <formula1>Flow_units</formula1>
    </dataValidation>
    <dataValidation type="custom" allowBlank="1" showInputMessage="1" showErrorMessage="1" error="Please do not change this formula" prompt="Please do not change this formula" sqref="V6:V1048576 W4 V1:V4 S5:V5" xr:uid="{102F1B4D-A629-4DE8-A46B-B91CB5A9969D}">
      <formula1>"Please do not change this formula"</formula1>
    </dataValidation>
    <dataValidation type="custom" allowBlank="1" showInputMessage="1" showErrorMessage="1" error="Please do not change this formula" sqref="R23:R1048576 R1:R19 N1:Q1048576" xr:uid="{75975586-B7D1-4202-8AAE-3C7B1C4E67FD}">
      <formula1>"Please do not change this formula"</formula1>
    </dataValidation>
    <dataValidation type="custom" allowBlank="1" showInputMessage="1" showErrorMessage="1" error="Please do not change" sqref="R20:R22" xr:uid="{763D72D5-074B-4589-ADEC-91DB2C463C3A}">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T32" xr:uid="{548347C6-28DB-4300-B626-11193E0A9EA5}">
      <formula1>0</formula1>
    </dataValidation>
  </dataValidations>
  <hyperlinks>
    <hyperlink ref="I2:J2" location="'NG Processing'!A1" display="Go to the next step of this pathway" xr:uid="{EB96EBCB-8A0E-4F0A-AD31-536E3335A81E}"/>
    <hyperlink ref="I2:K2" location="NG_Processing!A1" display="Go to the next step of this pathway" xr:uid="{D53E1D65-C510-435E-9AE2-EF3296ED17BF}"/>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23" id="{00000000-000E-0000-1700-00007A000000}">
            <xm:f>AND(Path&lt;&gt;Units!$B$90,Path&lt;&gt;Units!$B$91,Path&lt;&gt;Units!$B$92, Path&lt;&gt;Units!$B$93,Master_Switch="On")</xm:f>
            <x14:dxf>
              <font>
                <color theme="0"/>
              </font>
              <fill>
                <patternFill>
                  <fgColor theme="0"/>
                  <bgColor theme="0"/>
                </patternFill>
              </fill>
              <border>
                <left/>
                <right/>
                <top/>
                <bottom/>
                <vertical/>
                <horizontal/>
              </border>
            </x14:dxf>
          </x14:cfRule>
          <xm:sqref>A2:XFD200</xm:sqref>
        </x14:conditionalFormatting>
        <x14:conditionalFormatting xmlns:xm="http://schemas.microsoft.com/office/excel/2006/main">
          <x14:cfRule type="expression" priority="1" id="{D7A48FC3-B366-4700-B5AC-85CD80E7D731}">
            <xm:f>AND(Initial_questions!$E$73=Units!$H$84,GHG_NG_SPLITTING!$D$3="Default",Master_Switch="On")</xm:f>
            <x14:dxf>
              <font>
                <color theme="0"/>
              </font>
              <fill>
                <patternFill>
                  <fgColor theme="0"/>
                  <bgColor theme="0"/>
                </patternFill>
              </fill>
            </x14:dxf>
          </x14:cfRule>
          <x14:cfRule type="expression" priority="255" id="{73915850-E6A6-43BB-B84E-578347A2FD19}">
            <xm:f>AND(OR(GHG_NG_REFORM_CCS!$D$3="Default",GHG_NG_SPLITTING!$D$3="Default"),Master_Switch="On")</xm:f>
            <x14:dxf>
              <font>
                <color theme="0"/>
              </font>
              <fill>
                <patternFill>
                  <bgColor theme="0"/>
                </patternFill>
              </fill>
              <border>
                <left/>
                <right/>
                <top/>
                <bottom/>
              </border>
            </x14:dxf>
          </x14:cfRule>
          <x14:cfRule type="expression" priority="256" id="{2DB49396-16F6-4567-BFC1-7B9D38C5760E}">
            <xm:f>AND(Initial_questions!$E$73=Units!$H$84,GHG_NG_REFORM_CCS!$D$3="Default",Master_Switch="On")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DA012-F37D-469D-BE81-578411833C01}">
  <sheetPr codeName="Sheet22">
    <tabColor theme="5"/>
  </sheetPr>
  <dimension ref="A1:AC189"/>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7109375" customWidth="1"/>
    <col min="16" max="16" width="8.5703125" style="12" customWidth="1"/>
    <col min="17" max="17" width="17.14062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cm="1">
        <f t="array" ref="A1">IF(AND(Path&lt;&gt;Units!$B$90:$B$93, Master_Switch="On"),"User should not fill in this sheet, but switch to other non-blank GHG worksheets","")</f>
        <v>User should not fill in this sheet, but switch to other non-blank GHG worksheets</v>
      </c>
      <c r="E1" s="254"/>
    </row>
    <row r="2" spans="1:29" ht="20.45" customHeight="1">
      <c r="B2" s="80" t="str">
        <f>IF(OR(AND(Initial_questions!$E$73=Units!$H$84,GHG_NG_REFORM_CCS!$D$3="Default",Master_Switch="On"),AND(Initial_questions!$E$73=Units!$H$84,GHG_NG_SPLITTING!$D$3="Default",Master_Switch="On")), "NSTA data used,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1153</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S9" s="35" t="str">
        <f t="shared" ref="S9:S10" si="1">IF(B9="", "", IF(D9="MWh/yr (LHV)", "Use column to right", "Enter data here"))</f>
        <v>Use column to right</v>
      </c>
      <c r="T9" s="298"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 t="shared" si="1"/>
        <v>Enter data here</v>
      </c>
      <c r="T10" s="35" t="str">
        <f t="shared" ref="T10"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ref="S11:S17" si="4">IF(B11="", "", IF(D11="MWh/yr (LHV)", "Use column to right", "Enter data here"))</f>
        <v>Enter data here</v>
      </c>
      <c r="T11" s="35" t="str">
        <f t="shared" ref="T11:T17" si="5">IF(B11="", "", IF(D11="MWh/yr (LHV)", "Enter data here", "Use column to left"))</f>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4"/>
        <v>Enter data here</v>
      </c>
      <c r="T12" s="35" t="str">
        <f t="shared" si="5"/>
        <v>Use column to left</v>
      </c>
      <c r="U12" s="35" t="s">
        <v>1148</v>
      </c>
      <c r="V12" s="240"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4"/>
        <v>Enter data here</v>
      </c>
      <c r="T13" s="35" t="str">
        <f t="shared" si="5"/>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4"/>
        <v>Enter data here</v>
      </c>
      <c r="T14" s="35" t="str">
        <f t="shared" si="5"/>
        <v>Use column to left</v>
      </c>
      <c r="U14" s="35" t="s">
        <v>1148</v>
      </c>
      <c r="V14" s="240" t="str">
        <f t="shared" si="2"/>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S15" s="35" t="str">
        <f t="shared" si="4"/>
        <v>Enter data here</v>
      </c>
      <c r="T15" s="35" t="str">
        <f t="shared" si="5"/>
        <v>Use column to left</v>
      </c>
      <c r="U15" s="35" t="s">
        <v>1148</v>
      </c>
      <c r="V15" s="240" t="str">
        <f t="shared" si="2"/>
        <v>Unfilled fields to left</v>
      </c>
      <c r="X15" s="25"/>
      <c r="Y15" s="12"/>
    </row>
    <row r="16" spans="1:29">
      <c r="B16" s="184" t="s">
        <v>1150</v>
      </c>
      <c r="C16" s="182"/>
      <c r="D16" s="177"/>
      <c r="E16" s="35"/>
      <c r="F16" s="21"/>
      <c r="G16" s="21"/>
      <c r="H16" s="20"/>
      <c r="I16" s="36"/>
      <c r="J16" s="298"/>
      <c r="K16" s="300"/>
      <c r="L16" s="300"/>
      <c r="M16" s="300"/>
      <c r="N16" s="240">
        <f t="shared" si="0"/>
        <v>0</v>
      </c>
      <c r="O16" s="12"/>
      <c r="S16" s="35" t="str">
        <f t="shared" si="4"/>
        <v>Enter data here</v>
      </c>
      <c r="T16" s="35" t="str">
        <f t="shared" si="5"/>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4"/>
        <v/>
      </c>
      <c r="T17" s="35" t="str">
        <f t="shared" si="5"/>
        <v/>
      </c>
      <c r="U17" s="35"/>
      <c r="V17" s="240" t="str">
        <f t="shared" si="2"/>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1153</v>
      </c>
      <c r="D20" s="177" t="s">
        <v>425</v>
      </c>
      <c r="E20" s="35"/>
      <c r="F20" s="21"/>
      <c r="G20" s="21"/>
      <c r="H20" s="21"/>
      <c r="I20" s="21"/>
      <c r="J20" s="298"/>
      <c r="K20" s="304"/>
      <c r="L20" s="304"/>
      <c r="M20" s="304"/>
      <c r="N20" s="240">
        <f t="shared" ref="N20:N32" si="6">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1157</v>
      </c>
      <c r="D27" s="177" t="s">
        <v>425</v>
      </c>
      <c r="E27" s="35"/>
      <c r="F27" s="34"/>
      <c r="G27" s="21"/>
      <c r="H27" s="20"/>
      <c r="I27" s="36"/>
      <c r="J27" s="298"/>
      <c r="K27" s="300"/>
      <c r="L27" s="300"/>
      <c r="M27" s="300"/>
      <c r="N27" s="240">
        <f t="shared" si="6"/>
        <v>0</v>
      </c>
      <c r="O27" s="12"/>
      <c r="P27" s="12"/>
      <c r="Q27" s="12"/>
      <c r="R27" s="12"/>
      <c r="S27" s="298">
        <v>1000</v>
      </c>
      <c r="T27" s="473"/>
      <c r="U27" s="35" t="s">
        <v>1158</v>
      </c>
      <c r="V27" s="240" t="str">
        <f t="shared" ref="V27:V32" si="8">IFERROR(IF(D27="tonnes/yr", $S27*$E27/($N$20*3.6), $T27*$E27*3.6/($N$20*3.6)), "Unfilled fields to left")</f>
        <v>Unfilled fields to left</v>
      </c>
      <c r="X27" s="21"/>
    </row>
    <row r="28" spans="2:29" s="14" customFormat="1">
      <c r="B28" s="184" t="s">
        <v>1118</v>
      </c>
      <c r="C28" s="182" t="s">
        <v>1159</v>
      </c>
      <c r="D28" s="177" t="s">
        <v>425</v>
      </c>
      <c r="E28" s="35">
        <f>E27*E37</f>
        <v>0</v>
      </c>
      <c r="F28" s="34"/>
      <c r="G28" s="21"/>
      <c r="H28" s="20"/>
      <c r="I28" s="36"/>
      <c r="J28" s="298"/>
      <c r="K28" s="300"/>
      <c r="L28" s="300"/>
      <c r="M28" s="300"/>
      <c r="N28" s="240">
        <f t="shared" si="6"/>
        <v>0</v>
      </c>
      <c r="O28" s="12"/>
      <c r="P28" s="12"/>
      <c r="Q28" s="12"/>
      <c r="R28" s="12"/>
      <c r="S28" s="298">
        <v>-1000</v>
      </c>
      <c r="T28" s="473"/>
      <c r="U28" s="35" t="s">
        <v>1160</v>
      </c>
      <c r="V28" s="240" t="str">
        <f t="shared" si="8"/>
        <v>Unfilled fields to left</v>
      </c>
      <c r="X28" s="21"/>
    </row>
    <row r="29" spans="2:29" s="14" customFormat="1">
      <c r="B29" s="184" t="s">
        <v>1161</v>
      </c>
      <c r="C29" s="182" t="s">
        <v>1121</v>
      </c>
      <c r="D29" s="177" t="s">
        <v>425</v>
      </c>
      <c r="E29" s="35"/>
      <c r="F29" s="34"/>
      <c r="G29" s="21"/>
      <c r="H29" s="20"/>
      <c r="I29" s="36"/>
      <c r="J29" s="298"/>
      <c r="K29" s="300"/>
      <c r="L29" s="300"/>
      <c r="M29" s="300"/>
      <c r="N29" s="240">
        <f t="shared" si="6"/>
        <v>0</v>
      </c>
      <c r="O29" s="12"/>
      <c r="P29" s="12"/>
      <c r="Q29" s="12"/>
      <c r="R29" s="12"/>
      <c r="S29" s="298">
        <f>28*1000</f>
        <v>28000</v>
      </c>
      <c r="T29" s="473"/>
      <c r="U29" s="35" t="s">
        <v>1107</v>
      </c>
      <c r="V29" s="240" t="str">
        <f t="shared" si="8"/>
        <v>Unfilled fields to left</v>
      </c>
      <c r="X29" s="21"/>
    </row>
    <row r="30" spans="2:29" s="14" customFormat="1">
      <c r="B30" s="184" t="s">
        <v>1161</v>
      </c>
      <c r="C30" s="182" t="s">
        <v>1123</v>
      </c>
      <c r="D30" s="177" t="s">
        <v>425</v>
      </c>
      <c r="E30" s="35"/>
      <c r="F30" s="21"/>
      <c r="G30" s="21"/>
      <c r="H30" s="20"/>
      <c r="I30" s="36"/>
      <c r="J30" s="298"/>
      <c r="K30" s="300"/>
      <c r="L30" s="300"/>
      <c r="M30" s="300"/>
      <c r="N30" s="240">
        <f t="shared" si="6"/>
        <v>0</v>
      </c>
      <c r="O30" s="12"/>
      <c r="P30" s="12"/>
      <c r="Q30" s="12"/>
      <c r="R30" s="12"/>
      <c r="S30" s="35">
        <v>265000</v>
      </c>
      <c r="T30" s="514"/>
      <c r="U30" s="35" t="s">
        <v>1107</v>
      </c>
      <c r="V30" s="240" t="str">
        <f t="shared" si="8"/>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40" t="str">
        <f t="shared" si="8"/>
        <v>Unfilled fields to left</v>
      </c>
      <c r="X31" s="21"/>
    </row>
    <row r="32" spans="2:29" s="14" customFormat="1">
      <c r="B32" s="16"/>
      <c r="C32" s="15"/>
      <c r="D32" s="177"/>
      <c r="E32" s="35"/>
      <c r="F32" s="21"/>
      <c r="G32" s="21"/>
      <c r="H32" s="20"/>
      <c r="I32" s="36"/>
      <c r="J32" s="298"/>
      <c r="K32" s="300"/>
      <c r="L32" s="300"/>
      <c r="M32" s="300"/>
      <c r="N32" s="240">
        <f t="shared" si="6"/>
        <v>0</v>
      </c>
      <c r="O32" s="12"/>
      <c r="P32" s="12"/>
      <c r="Q32" s="12"/>
      <c r="R32" s="12"/>
      <c r="S32" s="298"/>
      <c r="T32" s="473"/>
      <c r="U32" s="300"/>
      <c r="V32" s="240" t="str">
        <f t="shared" si="8"/>
        <v>Unfilled fields to left</v>
      </c>
      <c r="X32" s="21"/>
    </row>
    <row r="33" spans="2:25">
      <c r="C33" s="17"/>
      <c r="D33" s="17"/>
      <c r="E33" s="139"/>
      <c r="F33" s="17"/>
      <c r="H33" s="18"/>
      <c r="I33" s="18"/>
      <c r="J33" s="40"/>
      <c r="K33" s="40"/>
      <c r="L33" s="40"/>
      <c r="M33" s="40"/>
      <c r="N33" s="40"/>
      <c r="O33" s="12"/>
      <c r="S33" s="40"/>
      <c r="T33" s="40"/>
      <c r="U33" s="40"/>
      <c r="V33" s="40"/>
      <c r="Y33" s="12"/>
    </row>
    <row r="34" spans="2:25">
      <c r="D34" s="17"/>
      <c r="E34" s="139"/>
      <c r="J34" s="39"/>
      <c r="K34" s="39"/>
      <c r="L34" s="39"/>
      <c r="M34" s="39"/>
      <c r="O34" s="12"/>
      <c r="S34" s="39"/>
      <c r="T34" s="39"/>
      <c r="U34" s="38" t="s">
        <v>1162</v>
      </c>
      <c r="V34" s="152">
        <f>SUM(V7:V33)</f>
        <v>0</v>
      </c>
      <c r="Y34" s="12"/>
    </row>
    <row r="35" spans="2:25">
      <c r="B35" s="144" t="s">
        <v>133</v>
      </c>
      <c r="C35" s="158"/>
      <c r="D35" s="158"/>
      <c r="E35" s="495"/>
      <c r="I35" s="12"/>
      <c r="J35" s="107"/>
      <c r="K35" s="107"/>
      <c r="L35" s="107"/>
      <c r="M35" s="107"/>
      <c r="N35" s="107"/>
      <c r="O35" s="12"/>
      <c r="S35" s="107"/>
      <c r="T35" s="107"/>
      <c r="U35" s="107"/>
      <c r="Y35" s="12"/>
    </row>
    <row r="36" spans="2:25">
      <c r="B36" s="16" t="s">
        <v>1134</v>
      </c>
      <c r="C36" s="15" t="s">
        <v>1135</v>
      </c>
      <c r="D36" s="15" t="s">
        <v>1136</v>
      </c>
      <c r="E36" s="497"/>
      <c r="G36" s="19"/>
      <c r="H36" s="12"/>
      <c r="I36" s="12"/>
      <c r="J36" s="107"/>
      <c r="K36" s="107"/>
      <c r="L36" s="107"/>
      <c r="M36" s="107"/>
      <c r="N36" s="107"/>
      <c r="O36" s="12"/>
      <c r="S36" s="107"/>
      <c r="T36" s="107"/>
      <c r="U36" s="107"/>
      <c r="V36" s="12"/>
      <c r="X36" s="25"/>
      <c r="Y36" s="12"/>
    </row>
    <row r="37" spans="2:25">
      <c r="B37" s="16" t="s">
        <v>1139</v>
      </c>
      <c r="C37" s="15" t="s">
        <v>1140</v>
      </c>
      <c r="D37" s="15" t="s">
        <v>897</v>
      </c>
      <c r="E37" s="508"/>
      <c r="H37" s="12"/>
      <c r="I37" s="12"/>
      <c r="J37" s="107"/>
      <c r="K37" s="107"/>
      <c r="L37" s="107"/>
      <c r="M37" s="107"/>
      <c r="N37" s="107"/>
      <c r="O37" s="12"/>
      <c r="S37" s="107"/>
      <c r="T37" s="107"/>
      <c r="U37" s="107"/>
      <c r="V37" s="12"/>
      <c r="X37" s="25"/>
      <c r="Y37" s="12"/>
    </row>
    <row r="38" spans="2:25">
      <c r="B38" s="16"/>
      <c r="C38" s="15"/>
      <c r="D38" s="15"/>
      <c r="E38" s="508"/>
      <c r="J38" s="39"/>
      <c r="K38" s="39"/>
      <c r="L38" s="39"/>
      <c r="M38" s="39"/>
      <c r="S38" s="39"/>
      <c r="T38" s="39"/>
      <c r="U38" s="39"/>
      <c r="X38" s="25"/>
    </row>
    <row r="39" spans="2:25">
      <c r="B39" s="16"/>
      <c r="C39" s="15"/>
      <c r="D39" s="15"/>
      <c r="E39" s="503"/>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sheetData>
  <customSheetViews>
    <customSheetView guid="{F03309BC-D3FA-4CF2-833B-D6D9A95FE1FB}" showGridLines="0" state="hidden">
      <pane xSplit="3" ySplit="5" topLeftCell="N6" activePane="bottomRight" state="frozen"/>
      <selection pane="bottomRight" activeCell="D2" sqref="D2"/>
      <pageMargins left="0" right="0" top="0" bottom="0" header="0" footer="0"/>
      <pageSetup paperSize="9" orientation="portrait" r:id="rId1"/>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pane xSplit="3" ySplit="5" topLeftCell="N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C2" sqref="C2:E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2" xr:uid="{B4091724-DB3C-40AE-8136-7E3F4BF7E8DF}">
      <formula1>Flow_units</formula1>
    </dataValidation>
    <dataValidation type="custom" allowBlank="1" showInputMessage="1" showErrorMessage="1" error="Please do not change this formula" prompt="Please do not change this formula" sqref="W4 V6:V1048576 N33:N1048576 V1:V4 P1:R4 Q23:R1048576 R6:R19 N1:N7 N18:N19 P21:P1048576 O4 O6:O19 S5:V5" xr:uid="{B7EB62FE-45E3-43D4-85EF-AB9EA7F01344}">
      <formula1>"Please do not change this formula"</formula1>
    </dataValidation>
    <dataValidation type="custom" allowBlank="1" showInputMessage="1" showErrorMessage="1" error="Please do not change this formula" sqref="O5:R5" xr:uid="{B1313A91-0630-429E-96FA-F44E3D72E5C2}">
      <formula1>"Please do not change this formula"</formula1>
    </dataValidation>
    <dataValidation type="custom" allowBlank="1" showInputMessage="1" showErrorMessage="1" error="Please do not change" sqref="R20:R22" xr:uid="{57D892E8-4654-40F4-A71A-5BDBBA45163A}">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29:T33 S9:T27" xr:uid="{F23DA46E-33AB-4385-B0E7-15082A3BF2F1}">
      <formula1>0</formula1>
    </dataValidation>
  </dataValidations>
  <hyperlinks>
    <hyperlink ref="I2:J2" location="'NG Further Transport'!A1" display="Go to the next step of this pathway" xr:uid="{5A5692F4-F81E-4C96-B615-6ED4D2644601}"/>
    <hyperlink ref="I2:K2" location="NG_Further_Transport!A1" display="Go to the next step of this pathway" xr:uid="{0B118A1A-C0E2-404E-9574-44CC0A9A162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47" id="{00000000-000E-0000-1800-000092000000}">
            <xm:f>AND(Path&lt;&gt;Units!$B$90,Path&lt;&gt;Units!$B$91,Path&lt;&gt;Units!$B$92, Path&lt;&gt;Units!$B$93,Master_Switch="On")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 id="{7BAEC88B-C6F6-4F48-982F-9232C4DE329F}">
            <xm:f>AND(Initial_questions!$E$73=Units!$H$84,GHG_NG_SPLITTING!$D$3="Default",Master_Switch="On")</xm:f>
            <x14:dxf>
              <font>
                <color theme="0"/>
              </font>
              <fill>
                <patternFill>
                  <bgColor theme="0"/>
                </patternFill>
              </fill>
              <border>
                <left/>
                <right/>
                <top/>
                <bottom/>
                <vertical/>
                <horizontal/>
              </border>
            </x14:dxf>
          </x14:cfRule>
          <x14:cfRule type="expression" priority="257" id="{C6C35D21-9C1E-4076-99CB-C3CB83ABCB90}">
            <xm:f>AND(Initial_questions!$E$73=Units!$H$84,GHG_NG_REFORM_CCS!$D$3="Default",Master_Switch="On")</xm:f>
            <x14:dxf>
              <font>
                <color theme="0"/>
              </font>
              <fill>
                <patternFill>
                  <bgColor theme="0"/>
                </patternFill>
              </fill>
              <border>
                <left/>
                <right/>
                <top/>
                <bottom/>
                <vertical/>
                <horizontal/>
              </border>
            </x14:dxf>
          </x14:cfRule>
          <x14:cfRule type="expression" priority="258" id="{2243D025-3538-4CBA-B3E9-EFB98731C892}">
            <xm:f>AND(OR(GHG_NG_REFORM_CCS!$D$3="Default",GHG_NG_SPLITTING!$D$3="Default"),Master_Switch="On")</xm:f>
            <x14:dxf>
              <font>
                <color theme="0"/>
              </font>
              <fill>
                <patternFill>
                  <bgColor theme="0"/>
                </patternFill>
              </fill>
              <border>
                <left/>
                <right/>
                <top/>
                <bottom/>
              </border>
            </x14:dxf>
          </x14:cfRule>
          <xm:sqref>A3:XFD200</xm:sqref>
        </x14:conditionalFormatting>
      </x14:conditionalFormatting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3DC4-6D88-4637-AC53-21ABD7F26973}">
  <sheetPr codeName="Sheet23">
    <tabColor theme="5"/>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cm="1">
        <f t="array" ref="A1">IF(AND(Path&lt;&gt;Units!$B$90:$B$93, Master_Switch="On"),"User should not fill in this sheet, but switch to other non-blank GHG worksheets","")</f>
        <v>User should not fill in this sheet, but switch to other non-blank GHG worksheets</v>
      </c>
      <c r="E1" s="254"/>
    </row>
    <row r="2" spans="1:29" ht="20.45" customHeight="1">
      <c r="B2" s="80" t="str">
        <f>IF(OR(AND(Initial_questions!$E$73=Units!$H$84,GHG_NG_REFORM_CCS!$D$3="Default",Master_Switch="On"),AND(Initial_questions!$E$73=Units!$H$84,GHG_NG_SPLITTING!$D$3="Default",Master_Switch="On")), "NSTA data used,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1153</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1164</v>
      </c>
      <c r="D9" s="177" t="s">
        <v>447</v>
      </c>
      <c r="E9" s="35"/>
      <c r="F9" s="21"/>
      <c r="G9" s="21"/>
      <c r="H9" s="20"/>
      <c r="I9" s="36"/>
      <c r="J9" s="298"/>
      <c r="K9" s="300"/>
      <c r="L9" s="300"/>
      <c r="M9" s="300"/>
      <c r="N9" s="240">
        <f t="shared" si="0"/>
        <v>0</v>
      </c>
      <c r="O9" s="12"/>
      <c r="P9" s="12"/>
      <c r="S9" s="35" t="str">
        <f t="shared" ref="S9:S17" si="1">IF(B9="", "", IF(D9="MWh/yr (LHV)", "Use column to right", "Enter data here"))</f>
        <v>Use column to right</v>
      </c>
      <c r="T9" s="298"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si="1"/>
        <v>Enter data here</v>
      </c>
      <c r="T11" s="35" t="str">
        <f t="shared" si="3"/>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1"/>
        <v>Enter data here</v>
      </c>
      <c r="T12" s="35" t="str">
        <f t="shared" si="3"/>
        <v>Use column to left</v>
      </c>
      <c r="U12" s="35" t="s">
        <v>1148</v>
      </c>
      <c r="V12" s="240"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1"/>
        <v>Enter data here</v>
      </c>
      <c r="T14" s="35" t="str">
        <f t="shared" si="3"/>
        <v>Use column to left</v>
      </c>
      <c r="U14" s="35" t="s">
        <v>1148</v>
      </c>
      <c r="V14" s="240" t="str">
        <f t="shared" si="2"/>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P15" s="12"/>
      <c r="S15" s="35" t="str">
        <f t="shared" si="1"/>
        <v>Enter data here</v>
      </c>
      <c r="T15" s="35" t="str">
        <f t="shared" si="3"/>
        <v>Use column to left</v>
      </c>
      <c r="U15" s="35" t="s">
        <v>1148</v>
      </c>
      <c r="V15" s="240" t="str">
        <f t="shared" si="2"/>
        <v>Unfilled fields to left</v>
      </c>
      <c r="X15" s="25"/>
      <c r="Y15" s="12"/>
    </row>
    <row r="16" spans="1:29">
      <c r="B16" s="184" t="s">
        <v>1150</v>
      </c>
      <c r="C16" s="182"/>
      <c r="D16" s="177"/>
      <c r="E16" s="35"/>
      <c r="F16" s="21"/>
      <c r="G16" s="21"/>
      <c r="H16" s="20"/>
      <c r="I16" s="36"/>
      <c r="J16" s="298"/>
      <c r="K16" s="300"/>
      <c r="L16" s="300"/>
      <c r="M16" s="300"/>
      <c r="N16" s="240">
        <f t="shared" si="0"/>
        <v>0</v>
      </c>
      <c r="O16" s="12"/>
      <c r="P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1153</v>
      </c>
      <c r="D20" s="177" t="s">
        <v>425</v>
      </c>
      <c r="E20" s="35"/>
      <c r="F20" s="21"/>
      <c r="G20" s="21"/>
      <c r="H20" s="21"/>
      <c r="I20" s="21"/>
      <c r="J20" s="298"/>
      <c r="K20" s="304"/>
      <c r="L20" s="304"/>
      <c r="M20" s="304"/>
      <c r="N20" s="240">
        <f t="shared" ref="N20:N31"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1165</v>
      </c>
      <c r="D27" s="177" t="s">
        <v>425</v>
      </c>
      <c r="E27" s="35"/>
      <c r="F27" s="34"/>
      <c r="G27" s="21"/>
      <c r="H27" s="20"/>
      <c r="I27" s="36"/>
      <c r="J27" s="298"/>
      <c r="K27" s="300"/>
      <c r="L27" s="300"/>
      <c r="M27" s="300"/>
      <c r="N27" s="240">
        <f t="shared" si="4"/>
        <v>0</v>
      </c>
      <c r="O27" s="12"/>
      <c r="P27" s="12"/>
      <c r="Q27" s="12"/>
      <c r="R27" s="12"/>
      <c r="S27" s="298">
        <f>1*1000</f>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K6" activePane="bottomRight" state="frozen"/>
      <selection pane="bottomRight" activeCell="D2" sqref="D2"/>
      <pageMargins left="0" right="0" top="0" bottom="0" header="0" footer="0"/>
      <pageSetup paperSize="9" orientation="portrait" r:id="rId1"/>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pane xSplit="3" ySplit="5" topLeftCell="K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C2" sqref="C2:E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20:D31 D8:D17" xr:uid="{A6694520-268B-457F-AC89-C416B8EFC726}">
      <formula1>Flow_units</formula1>
    </dataValidation>
    <dataValidation type="custom" allowBlank="1" showInputMessage="1" showErrorMessage="1" error="Please do not change this formula" prompt="Please do not change this formula" sqref="V6:V1048576 W4 V1:V4 S5:V5" xr:uid="{84EA5A4B-58D9-4886-B070-275F8FD1E462}">
      <formula1>"Please do not change this formula"</formula1>
    </dataValidation>
    <dataValidation type="custom" allowBlank="1" showInputMessage="1" showErrorMessage="1" error="Please do not change this formula" sqref="R6:R19 R23:R1048576 N1:N1048576 O1:R5 O6:Q1048576" xr:uid="{84924E1B-D53B-4F19-80BB-4DE3E70BE53E}">
      <formula1>"Please do not change this formula"</formula1>
    </dataValidation>
    <dataValidation type="custom" allowBlank="1" showInputMessage="1" showErrorMessage="1" error="Please do not change" sqref="R20:R22" xr:uid="{50708688-E50A-4A59-9057-E3B4C0F9AA0C}">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T32" xr:uid="{8F2ABC2D-459A-4D74-A971-58C15AFCC37C}">
      <formula1>0</formula1>
    </dataValidation>
  </dataValidations>
  <hyperlinks>
    <hyperlink ref="I2:K2" location="NG_Reforming_CCS!A1" display="Go to the next step of this pathway" xr:uid="{0EC7679A-F6BF-4B7B-87F4-5CCAE92BC494}"/>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63A0CDF6-D942-427C-8CEF-DB3093339305}">
            <xm:f>AND(Path&lt;&gt;Units!$B$90,Path&lt;&gt;Units!$B$91,Path&lt;&gt;Units!$B$92, Path&lt;&gt;Units!$B$93,Master_Switch="On")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 id="{A8B56E2F-4F61-41A2-8E60-9E21BA330CE2}">
            <xm:f>AND(Initial_questions!$E$73=Units!$H$84,GHG_NG_SPLITTING!$D$3="Default",Master_Switch="On")</xm:f>
            <x14:dxf>
              <font>
                <color theme="0"/>
              </font>
              <fill>
                <patternFill>
                  <bgColor theme="0"/>
                </patternFill>
              </fill>
              <border>
                <left/>
                <right/>
                <top/>
                <bottom/>
                <vertical/>
                <horizontal/>
              </border>
            </x14:dxf>
          </x14:cfRule>
          <x14:cfRule type="expression" priority="260" id="{205C802A-EFA6-4F48-9FA5-4927BF8321A3}">
            <xm:f>AND(Initial_questions!$E$73=Units!$H$84,GHG_NG_REFORM_CCS!$D$3="Default",Master_Switch="On")</xm:f>
            <x14:dxf>
              <font>
                <color theme="0"/>
              </font>
              <fill>
                <patternFill>
                  <bgColor theme="0"/>
                </patternFill>
              </fill>
              <border>
                <left/>
                <right/>
                <top/>
                <bottom/>
                <vertical/>
                <horizontal/>
              </border>
            </x14:dxf>
          </x14:cfRule>
          <x14:cfRule type="expression" priority="261" id="{6848A98E-B354-41AE-B4C7-BC3D1AB7FFB9}">
            <xm:f>AND(OR(GHG_NG_REFORM_CCS!$D$3="Default",GHG_NG_SPLITTING!$D$3="Default"),Master_Switch="On")</xm:f>
            <x14:dxf>
              <font>
                <color theme="0"/>
              </font>
              <fill>
                <patternFill>
                  <bgColor theme="0"/>
                </patternFill>
              </fill>
              <border>
                <left/>
                <right/>
                <top/>
                <bottom/>
              </border>
            </x14:dxf>
          </x14:cfRule>
          <xm:sqref>A3:XFD200</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theme="5"/>
  </sheetPr>
  <dimension ref="A1:AB246"/>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9" customWidth="1"/>
    <col min="2" max="2" width="23.28515625" style="19" customWidth="1"/>
    <col min="3" max="3" width="37.140625" style="19" customWidth="1"/>
    <col min="4" max="4" width="13.28515625" style="19" customWidth="1"/>
    <col min="5" max="5" width="16.42578125" style="455" customWidth="1"/>
    <col min="6" max="6" width="22" style="19" customWidth="1"/>
    <col min="7" max="7" width="18.7109375" style="19" customWidth="1"/>
    <col min="8" max="8" width="13.42578125" style="126" customWidth="1"/>
    <col min="9" max="9" width="14.140625" style="126" customWidth="1"/>
    <col min="10" max="10" width="14" style="126" customWidth="1"/>
    <col min="11" max="11" width="13.85546875" style="126" customWidth="1"/>
    <col min="12" max="13" width="13.85546875" style="13" customWidth="1"/>
    <col min="14" max="14" width="14.28515625" style="39" customWidth="1"/>
    <col min="15" max="15" width="18" customWidth="1"/>
    <col min="16" max="16" width="10.140625" style="12" customWidth="1"/>
    <col min="17" max="17" width="18.85546875" style="12" customWidth="1"/>
    <col min="18" max="18" width="17.5703125" style="12" customWidth="1"/>
    <col min="19" max="20" width="20.7109375" style="126" customWidth="1"/>
    <col min="21" max="21" width="22.7109375" style="126" customWidth="1"/>
    <col min="22" max="22" width="20.28515625" style="125" customWidth="1"/>
    <col min="23" max="23" width="16.5703125" style="19" customWidth="1"/>
    <col min="24" max="24" width="26" style="19" customWidth="1"/>
    <col min="26" max="16384" width="7.140625" style="19"/>
  </cols>
  <sheetData>
    <row r="1" spans="1:28" ht="31.9" customHeight="1">
      <c r="A1" s="80" t="str">
        <f>IF(AND(Path&lt;&gt;Units!$B$90, Path&lt;&gt;Units!$B$91,Path&lt;&gt;Units!$B$92,Master_Switch="On"),"User should not fill in this sheet, but switch to other non-blank GHG worksheets","")</f>
        <v>User should not fill in this sheet, but switch to other non-blank GHG worksheets</v>
      </c>
      <c r="E1" s="254"/>
    </row>
    <row r="2" spans="1:28" ht="20.45" customHeight="1">
      <c r="B2" s="80"/>
      <c r="E2" s="254"/>
      <c r="I2" s="739" t="s">
        <v>1031</v>
      </c>
      <c r="J2" s="737"/>
      <c r="K2" s="738"/>
      <c r="L2" s="39"/>
      <c r="M2" s="39"/>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O6" s="12"/>
      <c r="Q6" s="39"/>
    </row>
    <row r="7" spans="1:28">
      <c r="B7" s="144" t="s">
        <v>1051</v>
      </c>
      <c r="C7" s="144"/>
      <c r="D7" s="144"/>
      <c r="E7" s="322"/>
      <c r="F7" s="144"/>
      <c r="G7" s="144"/>
      <c r="H7" s="144"/>
      <c r="I7" s="144"/>
      <c r="J7" s="144"/>
      <c r="K7" s="322"/>
      <c r="L7" s="144"/>
      <c r="M7" s="144"/>
      <c r="N7" s="299"/>
      <c r="O7" s="12"/>
      <c r="Q7" s="551"/>
      <c r="S7" s="18"/>
      <c r="T7" s="18"/>
      <c r="U7" s="18"/>
      <c r="V7" s="40"/>
      <c r="Y7" s="19"/>
    </row>
    <row r="8" spans="1:28">
      <c r="B8" s="16" t="s">
        <v>1052</v>
      </c>
      <c r="C8" s="182" t="s">
        <v>1153</v>
      </c>
      <c r="D8" s="177" t="s">
        <v>425</v>
      </c>
      <c r="E8" s="35"/>
      <c r="F8" s="24"/>
      <c r="G8" s="24"/>
      <c r="H8" s="24"/>
      <c r="I8" s="24"/>
      <c r="J8" s="35"/>
      <c r="K8" s="35"/>
      <c r="L8" s="304"/>
      <c r="M8" s="304"/>
      <c r="N8" s="240">
        <f t="shared" ref="N8:N17" si="0">IF($D8="MWh/yr (LHV)",$E8,$J8*$E8*(1-$L8)/Conversion_kWh_to_MJ)</f>
        <v>0</v>
      </c>
      <c r="O8" s="12"/>
      <c r="Q8" s="550"/>
      <c r="S8" s="40"/>
      <c r="T8" s="40"/>
      <c r="U8" s="40"/>
      <c r="V8" s="40"/>
      <c r="X8" s="21"/>
      <c r="Y8" s="19"/>
    </row>
    <row r="9" spans="1:28">
      <c r="B9" s="16" t="s">
        <v>1054</v>
      </c>
      <c r="C9" s="15" t="s">
        <v>1169</v>
      </c>
      <c r="D9" s="15" t="s">
        <v>425</v>
      </c>
      <c r="E9" s="35">
        <f>Hydrogen_flow</f>
        <v>0</v>
      </c>
      <c r="F9" s="24"/>
      <c r="G9" s="24"/>
      <c r="H9" s="24"/>
      <c r="I9" s="24"/>
      <c r="J9" s="35">
        <v>120</v>
      </c>
      <c r="K9" s="35"/>
      <c r="L9" s="547">
        <v>0</v>
      </c>
      <c r="M9" s="304"/>
      <c r="N9" s="240">
        <f t="shared" si="0"/>
        <v>0</v>
      </c>
      <c r="O9" s="88" t="str">
        <f>IFERROR(N9/N8,"")</f>
        <v/>
      </c>
      <c r="Q9" s="511">
        <f>IF($D9="MWh/yr (LHV)",$E9,$E9*MAX(0, $J9*(1-$L9)-2.441*$L9)/Conversion_kWh_to_MJ)</f>
        <v>0</v>
      </c>
      <c r="R9" s="43" t="str">
        <f>IFERROR(Q9/(SUM($Q$9:$Q$13)),"")</f>
        <v/>
      </c>
      <c r="S9" s="42"/>
      <c r="T9" s="42"/>
      <c r="U9" s="42"/>
      <c r="V9" s="19"/>
      <c r="X9" s="21"/>
      <c r="Y9" s="19"/>
    </row>
    <row r="10" spans="1:28">
      <c r="B10" s="184" t="s">
        <v>1056</v>
      </c>
      <c r="C10" s="182" t="s">
        <v>1057</v>
      </c>
      <c r="D10" s="177" t="s">
        <v>447</v>
      </c>
      <c r="E10" s="35"/>
      <c r="F10" s="21"/>
      <c r="G10" s="21"/>
      <c r="H10" s="20"/>
      <c r="I10" s="33"/>
      <c r="J10" s="298"/>
      <c r="K10" s="300"/>
      <c r="L10" s="300"/>
      <c r="M10" s="300"/>
      <c r="N10" s="240">
        <f t="shared" si="0"/>
        <v>0</v>
      </c>
      <c r="O10" s="12"/>
      <c r="Q10" s="511">
        <f>IF($D10="MWh/yr (LHV)",$E10,$E10*MAX(0, $J10*(1-$L10)-2.441*$L10)/Conversion_kWh_to_MJ)</f>
        <v>0</v>
      </c>
      <c r="R10" s="43" t="str">
        <f t="shared" ref="R10:R13" si="1">IFERROR(Q10/(SUM($Q$9:$Q$13)),"")</f>
        <v/>
      </c>
      <c r="S10" s="42"/>
      <c r="T10" s="42"/>
      <c r="U10" s="42"/>
      <c r="V10" s="19"/>
      <c r="W10" s="23"/>
      <c r="X10" s="21"/>
      <c r="Y10" s="19"/>
    </row>
    <row r="11" spans="1:28">
      <c r="B11" s="184" t="s">
        <v>1056</v>
      </c>
      <c r="C11" s="182" t="s">
        <v>1170</v>
      </c>
      <c r="D11" s="177" t="s">
        <v>447</v>
      </c>
      <c r="E11" s="35"/>
      <c r="F11" s="21"/>
      <c r="G11" s="21"/>
      <c r="H11" s="20"/>
      <c r="I11" s="20"/>
      <c r="J11" s="300"/>
      <c r="K11" s="300"/>
      <c r="L11" s="300"/>
      <c r="M11" s="300"/>
      <c r="N11" s="240">
        <f t="shared" si="0"/>
        <v>0</v>
      </c>
      <c r="O11" s="12"/>
      <c r="Q11" s="511">
        <f>IF($D11="MWh/yr (LHV)",$E11,$E11*MAX(0, $J11*(1-$L11)-2.441*$L11)/Conversion_kWh_to_MJ)</f>
        <v>0</v>
      </c>
      <c r="R11" s="43" t="str">
        <f t="shared" si="1"/>
        <v/>
      </c>
      <c r="S11" s="42"/>
      <c r="T11" s="42"/>
      <c r="U11" s="42"/>
      <c r="V11" s="14"/>
      <c r="W11" s="23"/>
      <c r="X11" s="21"/>
      <c r="Y11" s="19"/>
    </row>
    <row r="12" spans="1:28">
      <c r="B12" s="184" t="s">
        <v>1056</v>
      </c>
      <c r="C12" s="182" t="s">
        <v>1059</v>
      </c>
      <c r="D12" s="177" t="s">
        <v>425</v>
      </c>
      <c r="E12" s="35"/>
      <c r="F12" s="21"/>
      <c r="G12" s="21"/>
      <c r="H12" s="20"/>
      <c r="I12" s="20"/>
      <c r="J12" s="300"/>
      <c r="K12" s="300"/>
      <c r="L12" s="300"/>
      <c r="M12" s="300"/>
      <c r="N12" s="240">
        <f t="shared" si="0"/>
        <v>0</v>
      </c>
      <c r="O12" s="12"/>
      <c r="Q12" s="511">
        <f>IF($D12="MWh/yr (LHV)",$E12,$E12*MAX(0, $J12*(1-$L12)-2.441*$L12)/Conversion_kWh_to_MJ)</f>
        <v>0</v>
      </c>
      <c r="R12" s="43" t="str">
        <f t="shared" si="1"/>
        <v/>
      </c>
      <c r="S12" s="40"/>
      <c r="T12" s="40"/>
      <c r="U12" s="40"/>
      <c r="V12" s="40"/>
      <c r="X12" s="21"/>
      <c r="Y12" s="19"/>
    </row>
    <row r="13" spans="1:28">
      <c r="B13" s="184" t="s">
        <v>1056</v>
      </c>
      <c r="C13" s="182" t="s">
        <v>1060</v>
      </c>
      <c r="D13" s="177" t="s">
        <v>425</v>
      </c>
      <c r="E13" s="35"/>
      <c r="F13" s="21"/>
      <c r="G13" s="21"/>
      <c r="H13" s="20"/>
      <c r="I13" s="20"/>
      <c r="J13" s="300"/>
      <c r="K13" s="300"/>
      <c r="L13" s="300"/>
      <c r="M13" s="300"/>
      <c r="N13" s="240">
        <f t="shared" si="0"/>
        <v>0</v>
      </c>
      <c r="O13" s="12"/>
      <c r="Q13" s="511">
        <f>IF($D13="MWh/yr (LHV)",$E13,$E13*MAX(0, $J13*(1-$L13)-2.441*$L13)/Conversion_kWh_to_MJ)</f>
        <v>0</v>
      </c>
      <c r="R13" s="43" t="str">
        <f t="shared" si="1"/>
        <v/>
      </c>
      <c r="S13" s="40"/>
      <c r="T13" s="40"/>
      <c r="U13" s="40"/>
      <c r="V13" s="40"/>
      <c r="X13" s="21"/>
      <c r="Y13" s="19"/>
    </row>
    <row r="14" spans="1:28" s="14" customFormat="1">
      <c r="B14" s="184" t="s">
        <v>1061</v>
      </c>
      <c r="C14" s="182" t="s">
        <v>1156</v>
      </c>
      <c r="D14" s="177" t="s">
        <v>425</v>
      </c>
      <c r="E14" s="35"/>
      <c r="F14" s="21"/>
      <c r="G14" s="21"/>
      <c r="H14" s="20"/>
      <c r="I14" s="20"/>
      <c r="J14" s="300"/>
      <c r="K14" s="300"/>
      <c r="L14" s="300"/>
      <c r="M14" s="300"/>
      <c r="N14" s="240">
        <f t="shared" si="0"/>
        <v>0</v>
      </c>
      <c r="O14" s="12"/>
      <c r="P14" s="12"/>
      <c r="Q14" s="12"/>
      <c r="R14" s="12"/>
      <c r="S14" s="113"/>
      <c r="T14" s="113"/>
      <c r="U14" s="113"/>
      <c r="V14" s="19"/>
      <c r="W14" s="23"/>
      <c r="X14" s="21"/>
      <c r="Y14" s="23"/>
      <c r="Z14" s="42"/>
      <c r="AB14" s="19"/>
    </row>
    <row r="15" spans="1:28" s="14" customFormat="1">
      <c r="B15" s="184" t="s">
        <v>1061</v>
      </c>
      <c r="C15" s="182" t="s">
        <v>1063</v>
      </c>
      <c r="D15" s="177" t="s">
        <v>425</v>
      </c>
      <c r="E15" s="35"/>
      <c r="F15" s="21"/>
      <c r="G15" s="21"/>
      <c r="H15" s="20"/>
      <c r="I15" s="20"/>
      <c r="J15" s="300"/>
      <c r="K15" s="300"/>
      <c r="L15" s="300"/>
      <c r="M15" s="300"/>
      <c r="N15" s="240">
        <f t="shared" si="0"/>
        <v>0</v>
      </c>
      <c r="O15" s="12"/>
      <c r="P15" s="12"/>
      <c r="Q15" s="12"/>
      <c r="R15" s="12"/>
      <c r="S15" s="113"/>
      <c r="T15" s="113"/>
      <c r="U15" s="113"/>
      <c r="V15" s="19"/>
      <c r="W15" s="23"/>
      <c r="X15" s="21"/>
      <c r="Y15" s="23"/>
      <c r="Z15" s="42"/>
      <c r="AB15" s="19"/>
    </row>
    <row r="16" spans="1:28" s="14" customFormat="1">
      <c r="B16" s="184" t="s">
        <v>1064</v>
      </c>
      <c r="C16" s="182" t="s">
        <v>1065</v>
      </c>
      <c r="D16" s="177" t="s">
        <v>425</v>
      </c>
      <c r="E16" s="35"/>
      <c r="F16" s="21"/>
      <c r="G16" s="21"/>
      <c r="H16" s="20"/>
      <c r="I16" s="36"/>
      <c r="J16" s="298"/>
      <c r="K16" s="300"/>
      <c r="L16" s="300"/>
      <c r="M16" s="300"/>
      <c r="N16" s="240">
        <f t="shared" si="0"/>
        <v>0</v>
      </c>
      <c r="O16" s="12"/>
      <c r="P16" s="12"/>
      <c r="Q16" s="12"/>
      <c r="R16" s="12"/>
      <c r="S16" s="113"/>
      <c r="T16" s="113"/>
      <c r="U16" s="113"/>
      <c r="V16" s="19"/>
      <c r="X16" s="21"/>
    </row>
    <row r="17" spans="2:25" s="14" customFormat="1">
      <c r="B17" s="184" t="s">
        <v>1064</v>
      </c>
      <c r="C17" s="182" t="s">
        <v>1066</v>
      </c>
      <c r="D17" s="177" t="s">
        <v>425</v>
      </c>
      <c r="E17" s="35"/>
      <c r="F17" s="21"/>
      <c r="G17" s="21"/>
      <c r="H17" s="20"/>
      <c r="I17" s="36"/>
      <c r="J17" s="298"/>
      <c r="K17" s="300"/>
      <c r="L17" s="300"/>
      <c r="M17" s="300"/>
      <c r="N17" s="240">
        <f t="shared" si="0"/>
        <v>0</v>
      </c>
      <c r="O17" s="12"/>
      <c r="P17" s="12"/>
      <c r="Q17" s="12"/>
      <c r="R17" s="12"/>
      <c r="S17" s="113"/>
      <c r="T17" s="113"/>
      <c r="U17" s="113"/>
      <c r="V17" s="19"/>
      <c r="X17" s="21"/>
    </row>
    <row r="18" spans="2:25">
      <c r="B18" s="78"/>
      <c r="C18" s="260"/>
      <c r="D18" s="78"/>
      <c r="E18" s="478"/>
      <c r="F18" s="259"/>
      <c r="G18" s="79"/>
      <c r="H18" s="258"/>
      <c r="I18" s="258"/>
      <c r="J18" s="478"/>
      <c r="K18" s="252"/>
      <c r="L18" s="73"/>
      <c r="M18" s="73"/>
      <c r="N18" s="73"/>
      <c r="O18" s="12"/>
      <c r="S18" s="40"/>
      <c r="T18" s="40"/>
      <c r="U18" s="40"/>
      <c r="V18" s="40"/>
      <c r="X18" s="259"/>
      <c r="Y18" s="19"/>
    </row>
    <row r="19" spans="2:25" ht="30.95">
      <c r="B19" s="80" t="str">
        <f>IF(AND(GHG_NG_REFORM_CCS!$D$7="Default",Master_Switch="On"),"Default data selected for the emissions category below, move to the next emissions category within this step","")</f>
        <v/>
      </c>
      <c r="C19" s="260"/>
      <c r="D19" s="78"/>
      <c r="E19" s="478"/>
      <c r="F19" s="259"/>
      <c r="G19" s="79"/>
      <c r="H19" s="258"/>
      <c r="I19" s="258"/>
      <c r="J19" s="478"/>
      <c r="K19" s="252"/>
      <c r="L19" s="73"/>
      <c r="M19" s="73"/>
      <c r="N19" s="73"/>
      <c r="O19" s="12"/>
      <c r="S19" s="40"/>
      <c r="T19" s="40"/>
      <c r="U19" s="40"/>
      <c r="V19" s="40"/>
      <c r="X19" s="259"/>
      <c r="Y19" s="19"/>
    </row>
    <row r="20" spans="2:25">
      <c r="B20" s="144" t="s">
        <v>1171</v>
      </c>
      <c r="C20" s="257"/>
      <c r="D20" s="257"/>
      <c r="E20" s="490"/>
      <c r="F20" s="256"/>
      <c r="G20" s="255"/>
      <c r="H20" s="150"/>
      <c r="I20" s="150"/>
      <c r="J20" s="490"/>
      <c r="K20" s="487"/>
      <c r="L20" s="488"/>
      <c r="M20" s="488"/>
      <c r="N20" s="487"/>
      <c r="O20" s="150"/>
      <c r="P20" s="151"/>
      <c r="Q20" s="151"/>
      <c r="R20" s="151"/>
      <c r="S20" s="476"/>
      <c r="T20" s="482"/>
      <c r="U20" s="476"/>
      <c r="V20" s="152">
        <f>SUM(V21:V30)</f>
        <v>0</v>
      </c>
      <c r="Y20" s="19"/>
    </row>
    <row r="21" spans="2:25">
      <c r="B21" s="184" t="s">
        <v>1069</v>
      </c>
      <c r="C21" s="182" t="s">
        <v>1172</v>
      </c>
      <c r="D21" s="177" t="s">
        <v>447</v>
      </c>
      <c r="E21" s="35"/>
      <c r="F21" s="24"/>
      <c r="G21" s="24"/>
      <c r="H21" s="24"/>
      <c r="I21" s="24"/>
      <c r="J21" s="301"/>
      <c r="K21" s="35"/>
      <c r="L21" s="304"/>
      <c r="M21" s="304"/>
      <c r="N21" s="240">
        <f t="shared" ref="N21:N30" si="2">IF($D21="MWh/yr (LHV)",$E21,$J21*$E21*(1-$L21)/Conversion_kWh_to_MJ)</f>
        <v>0</v>
      </c>
      <c r="O21" s="12"/>
      <c r="S21" s="35" t="str">
        <f t="shared" ref="S21:S30" si="3">IF(B21="", "", IF(D21="MWh/yr (LHV)", "Use column to right", "Enter data here"))</f>
        <v>Use column to right</v>
      </c>
      <c r="T21" s="298" t="e">
        <f>Initial_questions!$E$43*1/Conversion_kWh_to_MJ</f>
        <v>#VALUE!</v>
      </c>
      <c r="U21" s="298" t="s">
        <v>1110</v>
      </c>
      <c r="V21" s="241" t="str">
        <f t="shared" ref="V21:V30" si="4">IFERROR(IF(D21="tonnes/yr", $S21*$E21/($N$9*3.6), $T21*$E21*3.6/($N$9*3.6)), "Unfilled fields to left")</f>
        <v>Unfilled fields to left</v>
      </c>
      <c r="X21" s="21"/>
      <c r="Y21" s="19"/>
    </row>
    <row r="22" spans="2:25">
      <c r="B22" s="184" t="s">
        <v>1069</v>
      </c>
      <c r="C22" s="182" t="s">
        <v>1173</v>
      </c>
      <c r="D22" s="177" t="s">
        <v>447</v>
      </c>
      <c r="E22" s="35"/>
      <c r="F22" s="24"/>
      <c r="G22" s="24"/>
      <c r="H22" s="24"/>
      <c r="I22" s="24"/>
      <c r="J22" s="298"/>
      <c r="K22" s="298"/>
      <c r="L22" s="300"/>
      <c r="M22" s="300"/>
      <c r="N22" s="240">
        <f t="shared" si="2"/>
        <v>0</v>
      </c>
      <c r="O22" s="12"/>
      <c r="S22" s="35" t="str">
        <f t="shared" si="3"/>
        <v>Use column to right</v>
      </c>
      <c r="T22" s="298" t="e">
        <f>Initial_questions!$E$43*1/Conversion_kWh_to_MJ</f>
        <v>#VALUE!</v>
      </c>
      <c r="U22" s="298" t="s">
        <v>1110</v>
      </c>
      <c r="V22" s="355" t="str">
        <f t="shared" si="4"/>
        <v>Unfilled fields to left</v>
      </c>
      <c r="X22" s="25"/>
      <c r="Y22" s="19"/>
    </row>
    <row r="23" spans="2:25">
      <c r="B23" s="184" t="s">
        <v>1069</v>
      </c>
      <c r="C23" s="182" t="s">
        <v>1174</v>
      </c>
      <c r="D23" s="177" t="s">
        <v>447</v>
      </c>
      <c r="E23" s="35"/>
      <c r="F23" s="24"/>
      <c r="G23" s="24"/>
      <c r="H23" s="24"/>
      <c r="I23" s="24"/>
      <c r="J23" s="298"/>
      <c r="K23" s="298"/>
      <c r="L23" s="300"/>
      <c r="M23" s="300"/>
      <c r="N23" s="240">
        <f t="shared" si="2"/>
        <v>0</v>
      </c>
      <c r="O23" s="55"/>
      <c r="S23" s="35" t="str">
        <f t="shared" si="3"/>
        <v>Use column to right</v>
      </c>
      <c r="T23" s="298" t="e">
        <f>Initial_questions!$E$43*1/Conversion_kWh_to_MJ</f>
        <v>#VALUE!</v>
      </c>
      <c r="U23" s="298" t="s">
        <v>1110</v>
      </c>
      <c r="V23" s="355" t="str">
        <f t="shared" si="4"/>
        <v>Unfilled fields to left</v>
      </c>
      <c r="X23" s="25"/>
      <c r="Y23" s="19"/>
    </row>
    <row r="24" spans="2:25">
      <c r="B24" s="184" t="s">
        <v>1069</v>
      </c>
      <c r="C24" s="182" t="s">
        <v>1087</v>
      </c>
      <c r="D24" s="177" t="s">
        <v>447</v>
      </c>
      <c r="E24" s="35"/>
      <c r="F24" s="82"/>
      <c r="G24" s="21"/>
      <c r="H24" s="20"/>
      <c r="I24" s="36"/>
      <c r="J24" s="298"/>
      <c r="K24" s="300"/>
      <c r="L24" s="304"/>
      <c r="M24" s="304"/>
      <c r="N24" s="240">
        <f t="shared" si="2"/>
        <v>0</v>
      </c>
      <c r="O24" s="19"/>
      <c r="P24" s="19"/>
      <c r="Q24" s="19"/>
      <c r="R24" s="19"/>
      <c r="S24" s="35" t="str">
        <f t="shared" si="3"/>
        <v>Use column to right</v>
      </c>
      <c r="T24" s="35" t="str">
        <f t="shared" ref="T24:T30" si="5">IF(B24="", "", IF(D24="MWh/yr (LHV)", "Enter data here", "Use column to left"))</f>
        <v>Enter data here</v>
      </c>
      <c r="U24" s="35" t="s">
        <v>1088</v>
      </c>
      <c r="V24" s="355" t="str">
        <f t="shared" si="4"/>
        <v>Unfilled fields to left</v>
      </c>
      <c r="X24" s="25"/>
      <c r="Y24" s="19"/>
    </row>
    <row r="25" spans="2:25">
      <c r="B25" s="184" t="s">
        <v>1069</v>
      </c>
      <c r="C25" s="182" t="s">
        <v>1089</v>
      </c>
      <c r="D25" s="177" t="s">
        <v>447</v>
      </c>
      <c r="E25" s="35"/>
      <c r="F25" s="21"/>
      <c r="G25" s="21"/>
      <c r="H25" s="20"/>
      <c r="I25" s="36"/>
      <c r="J25" s="298"/>
      <c r="K25" s="300"/>
      <c r="L25" s="304"/>
      <c r="M25" s="304"/>
      <c r="N25" s="240">
        <f t="shared" si="2"/>
        <v>0</v>
      </c>
      <c r="O25" s="19"/>
      <c r="P25" s="19"/>
      <c r="Q25" s="19"/>
      <c r="R25" s="19"/>
      <c r="S25" s="35" t="str">
        <f t="shared" si="3"/>
        <v>Use column to right</v>
      </c>
      <c r="T25" s="35" t="str">
        <f t="shared" si="5"/>
        <v>Enter data here</v>
      </c>
      <c r="U25" s="35" t="s">
        <v>1088</v>
      </c>
      <c r="V25" s="355" t="str">
        <f t="shared" si="4"/>
        <v>Unfilled fields to left</v>
      </c>
      <c r="X25" s="25"/>
      <c r="Y25" s="19"/>
    </row>
    <row r="26" spans="2:25">
      <c r="B26" s="184" t="s">
        <v>1090</v>
      </c>
      <c r="C26" s="182" t="s">
        <v>1091</v>
      </c>
      <c r="D26" s="177" t="s">
        <v>425</v>
      </c>
      <c r="E26" s="35"/>
      <c r="F26" s="21"/>
      <c r="G26" s="21"/>
      <c r="H26" s="21"/>
      <c r="I26" s="21"/>
      <c r="J26" s="304"/>
      <c r="K26" s="304"/>
      <c r="L26" s="300"/>
      <c r="M26" s="300"/>
      <c r="N26" s="240">
        <f t="shared" si="2"/>
        <v>0</v>
      </c>
      <c r="O26" s="19"/>
      <c r="P26" s="19"/>
      <c r="Q26" s="19"/>
      <c r="R26" s="19"/>
      <c r="S26" s="35" t="str">
        <f t="shared" si="3"/>
        <v>Enter data here</v>
      </c>
      <c r="T26" s="35" t="str">
        <f t="shared" si="5"/>
        <v>Use column to left</v>
      </c>
      <c r="U26" s="35" t="s">
        <v>1092</v>
      </c>
      <c r="V26" s="355" t="str">
        <f t="shared" si="4"/>
        <v>Unfilled fields to left</v>
      </c>
      <c r="X26" s="21"/>
      <c r="Y26" s="19"/>
    </row>
    <row r="27" spans="2:25">
      <c r="B27" s="184" t="s">
        <v>1090</v>
      </c>
      <c r="C27" s="182" t="s">
        <v>1093</v>
      </c>
      <c r="D27" s="177" t="s">
        <v>425</v>
      </c>
      <c r="E27" s="35"/>
      <c r="F27" s="21"/>
      <c r="G27" s="21"/>
      <c r="H27" s="21"/>
      <c r="I27" s="21"/>
      <c r="J27" s="304"/>
      <c r="K27" s="304"/>
      <c r="L27" s="300"/>
      <c r="M27" s="300"/>
      <c r="N27" s="240">
        <f t="shared" si="2"/>
        <v>0</v>
      </c>
      <c r="O27" s="19"/>
      <c r="P27" s="19"/>
      <c r="Q27" s="19"/>
      <c r="R27" s="19"/>
      <c r="S27" s="35" t="str">
        <f t="shared" si="3"/>
        <v>Enter data here</v>
      </c>
      <c r="T27" s="35" t="str">
        <f t="shared" si="5"/>
        <v>Use column to left</v>
      </c>
      <c r="U27" s="35" t="s">
        <v>1092</v>
      </c>
      <c r="V27" s="355" t="str">
        <f t="shared" si="4"/>
        <v>Unfilled fields to left</v>
      </c>
      <c r="X27" s="21"/>
      <c r="Y27" s="19"/>
    </row>
    <row r="28" spans="2:25">
      <c r="B28" s="184" t="s">
        <v>1090</v>
      </c>
      <c r="C28" s="182" t="s">
        <v>1094</v>
      </c>
      <c r="D28" s="177" t="s">
        <v>425</v>
      </c>
      <c r="E28" s="35"/>
      <c r="F28" s="21"/>
      <c r="G28" s="21"/>
      <c r="H28" s="21"/>
      <c r="I28" s="21"/>
      <c r="J28" s="304"/>
      <c r="K28" s="304"/>
      <c r="L28" s="300"/>
      <c r="M28" s="300"/>
      <c r="N28" s="240">
        <f t="shared" si="2"/>
        <v>0</v>
      </c>
      <c r="O28" s="19"/>
      <c r="P28" s="19"/>
      <c r="Q28" s="19"/>
      <c r="R28" s="19"/>
      <c r="S28" s="35" t="str">
        <f t="shared" si="3"/>
        <v>Enter data here</v>
      </c>
      <c r="T28" s="35" t="str">
        <f t="shared" si="5"/>
        <v>Use column to left</v>
      </c>
      <c r="U28" s="35" t="s">
        <v>1092</v>
      </c>
      <c r="V28" s="355" t="str">
        <f t="shared" si="4"/>
        <v>Unfilled fields to left</v>
      </c>
      <c r="X28" s="21"/>
      <c r="Y28" s="19"/>
    </row>
    <row r="29" spans="2:25">
      <c r="B29" s="16"/>
      <c r="C29" s="15"/>
      <c r="D29" s="177"/>
      <c r="E29" s="35"/>
      <c r="F29" s="21"/>
      <c r="G29" s="21"/>
      <c r="H29" s="20"/>
      <c r="I29" s="36"/>
      <c r="J29" s="298"/>
      <c r="K29" s="300"/>
      <c r="L29" s="300"/>
      <c r="M29" s="300"/>
      <c r="N29" s="240">
        <f t="shared" si="2"/>
        <v>0</v>
      </c>
      <c r="O29" s="19"/>
      <c r="P29" s="19"/>
      <c r="Q29" s="19"/>
      <c r="R29" s="19"/>
      <c r="S29" s="35" t="str">
        <f t="shared" si="3"/>
        <v/>
      </c>
      <c r="T29" s="35" t="str">
        <f t="shared" si="5"/>
        <v/>
      </c>
      <c r="U29" s="35"/>
      <c r="V29" s="355" t="str">
        <f t="shared" si="4"/>
        <v>Unfilled fields to left</v>
      </c>
      <c r="X29" s="25"/>
      <c r="Y29" s="19"/>
    </row>
    <row r="30" spans="2:25">
      <c r="B30" s="16"/>
      <c r="C30" s="15"/>
      <c r="D30" s="177"/>
      <c r="E30" s="35"/>
      <c r="F30" s="21"/>
      <c r="G30" s="21"/>
      <c r="H30" s="20"/>
      <c r="I30" s="36"/>
      <c r="J30" s="298"/>
      <c r="K30" s="300"/>
      <c r="L30" s="300"/>
      <c r="M30" s="300"/>
      <c r="N30" s="240">
        <f t="shared" si="2"/>
        <v>0</v>
      </c>
      <c r="O30" s="19"/>
      <c r="P30" s="19"/>
      <c r="Q30" s="19"/>
      <c r="R30" s="19"/>
      <c r="S30" s="35" t="str">
        <f t="shared" si="3"/>
        <v/>
      </c>
      <c r="T30" s="35" t="str">
        <f t="shared" si="5"/>
        <v/>
      </c>
      <c r="U30" s="35"/>
      <c r="V30" s="355" t="str">
        <f t="shared" si="4"/>
        <v>Unfilled fields to left</v>
      </c>
      <c r="X30" s="25"/>
      <c r="Y30" s="19"/>
    </row>
    <row r="31" spans="2:25">
      <c r="C31" s="260"/>
      <c r="D31" s="260"/>
      <c r="E31" s="505"/>
      <c r="F31" s="79"/>
      <c r="G31" s="79"/>
      <c r="H31" s="258"/>
      <c r="I31" s="253"/>
      <c r="J31" s="478"/>
      <c r="K31" s="252"/>
      <c r="L31" s="73"/>
      <c r="M31" s="73"/>
      <c r="N31" s="73"/>
      <c r="O31" s="12"/>
      <c r="S31" s="478"/>
      <c r="T31" s="252"/>
      <c r="U31" s="252"/>
      <c r="V31" s="252"/>
      <c r="X31" s="251"/>
      <c r="Y31" s="19"/>
    </row>
    <row r="32" spans="2:25" ht="30.95">
      <c r="B32" s="80" t="str">
        <f>IF(AND(GHG_NG_REFORM_CCS!$D$8="Default",Master_Switch="On"),"Default data selected for the emissions category below, move to the next emissions category within this step","")</f>
        <v/>
      </c>
      <c r="C32" s="260"/>
      <c r="D32" s="260"/>
      <c r="E32" s="505"/>
      <c r="F32" s="79"/>
      <c r="G32" s="79"/>
      <c r="H32" s="258"/>
      <c r="I32" s="253"/>
      <c r="J32" s="478"/>
      <c r="K32" s="252"/>
      <c r="L32" s="73"/>
      <c r="M32" s="73"/>
      <c r="N32" s="73"/>
      <c r="O32" s="12"/>
      <c r="S32" s="478"/>
      <c r="T32" s="252"/>
      <c r="U32" s="252"/>
      <c r="V32" s="252"/>
      <c r="X32" s="251"/>
      <c r="Y32" s="19"/>
    </row>
    <row r="33" spans="2:25" ht="16.5">
      <c r="B33" s="144" t="s">
        <v>1175</v>
      </c>
      <c r="C33" s="250"/>
      <c r="D33" s="250"/>
      <c r="E33" s="506"/>
      <c r="F33" s="249"/>
      <c r="G33" s="249"/>
      <c r="H33" s="248"/>
      <c r="I33" s="247"/>
      <c r="J33" s="483"/>
      <c r="K33" s="484"/>
      <c r="L33" s="472"/>
      <c r="M33" s="472"/>
      <c r="N33" s="472"/>
      <c r="O33" s="157"/>
      <c r="P33" s="157"/>
      <c r="Q33" s="157"/>
      <c r="R33" s="157"/>
      <c r="S33" s="483"/>
      <c r="T33" s="484"/>
      <c r="U33" s="484"/>
      <c r="V33" s="152">
        <f>SUM(V34:V43)</f>
        <v>0</v>
      </c>
      <c r="X33" s="251"/>
      <c r="Y33" s="19"/>
    </row>
    <row r="34" spans="2:25">
      <c r="B34" s="184" t="s">
        <v>1096</v>
      </c>
      <c r="C34" s="182" t="s">
        <v>1176</v>
      </c>
      <c r="D34" s="177" t="s">
        <v>425</v>
      </c>
      <c r="E34" s="35"/>
      <c r="F34" s="21"/>
      <c r="G34" s="21"/>
      <c r="H34" s="21"/>
      <c r="I34" s="21"/>
      <c r="J34" s="304"/>
      <c r="K34" s="304"/>
      <c r="L34" s="304"/>
      <c r="M34" s="304"/>
      <c r="N34" s="240">
        <f t="shared" ref="N34:N43" si="6">IF($D34="MWh/yr (LHV)",$E34,$J34*$E34*(1-$L34)/Conversion_kWh_to_MJ)</f>
        <v>0</v>
      </c>
      <c r="O34" s="12"/>
      <c r="S34" s="35" t="s">
        <v>1177</v>
      </c>
      <c r="T34" s="35" t="s">
        <v>1178</v>
      </c>
      <c r="U34" s="35" t="s">
        <v>1098</v>
      </c>
      <c r="V34" s="240" t="str">
        <f t="shared" ref="V34:V43" si="7">IFERROR(IF(D34="tonnes/yr", $S34*$E34/($N$9*3.6), $T34*$E34*3.6/($N$9*3.6)), "Unfilled fields to left")</f>
        <v>Unfilled fields to left</v>
      </c>
      <c r="X34" s="21"/>
      <c r="Y34" s="19"/>
    </row>
    <row r="35" spans="2:25">
      <c r="B35" s="184" t="s">
        <v>1099</v>
      </c>
      <c r="C35" s="182" t="s">
        <v>1058</v>
      </c>
      <c r="D35" s="177" t="s">
        <v>425</v>
      </c>
      <c r="E35" s="35"/>
      <c r="F35" s="21"/>
      <c r="G35" s="21"/>
      <c r="H35" s="20"/>
      <c r="I35" s="36"/>
      <c r="J35" s="298"/>
      <c r="K35" s="300"/>
      <c r="L35" s="300"/>
      <c r="M35" s="300"/>
      <c r="N35" s="240">
        <f t="shared" si="6"/>
        <v>0</v>
      </c>
      <c r="O35" s="12"/>
      <c r="S35" s="35" t="s">
        <v>1177</v>
      </c>
      <c r="T35" s="35" t="s">
        <v>1178</v>
      </c>
      <c r="U35" s="35" t="s">
        <v>1098</v>
      </c>
      <c r="V35" s="240" t="str">
        <f t="shared" si="7"/>
        <v>Unfilled fields to left</v>
      </c>
      <c r="X35" s="25"/>
      <c r="Y35" s="19"/>
    </row>
    <row r="36" spans="2:25">
      <c r="B36" s="184" t="s">
        <v>1099</v>
      </c>
      <c r="C36" s="182" t="s">
        <v>1101</v>
      </c>
      <c r="D36" s="177" t="s">
        <v>425</v>
      </c>
      <c r="E36" s="35"/>
      <c r="F36" s="21"/>
      <c r="G36" s="21"/>
      <c r="H36" s="20"/>
      <c r="I36" s="36"/>
      <c r="J36" s="298"/>
      <c r="K36" s="300"/>
      <c r="L36" s="300"/>
      <c r="M36" s="300"/>
      <c r="N36" s="240">
        <f t="shared" si="6"/>
        <v>0</v>
      </c>
      <c r="O36" s="12"/>
      <c r="S36" s="35" t="s">
        <v>1177</v>
      </c>
      <c r="T36" s="35" t="s">
        <v>1178</v>
      </c>
      <c r="U36" s="35" t="s">
        <v>1098</v>
      </c>
      <c r="V36" s="240" t="str">
        <f t="shared" si="7"/>
        <v>Unfilled fields to left</v>
      </c>
      <c r="X36" s="25"/>
      <c r="Y36" s="19"/>
    </row>
    <row r="37" spans="2:25">
      <c r="B37" s="184" t="s">
        <v>1099</v>
      </c>
      <c r="C37" s="182"/>
      <c r="D37" s="177"/>
      <c r="E37" s="35"/>
      <c r="F37" s="21"/>
      <c r="G37" s="21"/>
      <c r="H37" s="20"/>
      <c r="I37" s="36"/>
      <c r="J37" s="298"/>
      <c r="K37" s="300"/>
      <c r="L37" s="300"/>
      <c r="M37" s="300"/>
      <c r="N37" s="240">
        <f t="shared" si="6"/>
        <v>0</v>
      </c>
      <c r="O37" s="12"/>
      <c r="S37" s="35" t="s">
        <v>1177</v>
      </c>
      <c r="T37" s="35" t="s">
        <v>1178</v>
      </c>
      <c r="U37" s="35" t="s">
        <v>1098</v>
      </c>
      <c r="V37" s="240" t="str">
        <f t="shared" si="7"/>
        <v>Unfilled fields to left</v>
      </c>
      <c r="X37" s="25"/>
      <c r="Y37" s="19"/>
    </row>
    <row r="38" spans="2:25">
      <c r="B38" s="184" t="s">
        <v>1102</v>
      </c>
      <c r="C38" s="182" t="s">
        <v>1103</v>
      </c>
      <c r="D38" s="177" t="s">
        <v>425</v>
      </c>
      <c r="E38" s="35"/>
      <c r="F38" s="21"/>
      <c r="G38" s="21"/>
      <c r="H38" s="20"/>
      <c r="I38" s="36"/>
      <c r="J38" s="298"/>
      <c r="K38" s="300"/>
      <c r="L38" s="300"/>
      <c r="M38" s="300"/>
      <c r="N38" s="240">
        <f t="shared" si="6"/>
        <v>0</v>
      </c>
      <c r="O38" s="12"/>
      <c r="S38" s="35" t="s">
        <v>1177</v>
      </c>
      <c r="T38" s="35" t="s">
        <v>1178</v>
      </c>
      <c r="U38" s="35" t="s">
        <v>1098</v>
      </c>
      <c r="V38" s="240" t="str">
        <f t="shared" si="7"/>
        <v>Unfilled fields to left</v>
      </c>
      <c r="X38" s="25"/>
      <c r="Y38" s="19"/>
    </row>
    <row r="39" spans="2:25">
      <c r="B39" s="184" t="s">
        <v>1102</v>
      </c>
      <c r="C39" s="182"/>
      <c r="D39" s="177"/>
      <c r="E39" s="35"/>
      <c r="F39" s="21"/>
      <c r="G39" s="21"/>
      <c r="H39" s="20"/>
      <c r="I39" s="36"/>
      <c r="J39" s="298"/>
      <c r="K39" s="300"/>
      <c r="L39" s="300"/>
      <c r="M39" s="300"/>
      <c r="N39" s="240">
        <f t="shared" si="6"/>
        <v>0</v>
      </c>
      <c r="O39" s="12"/>
      <c r="S39" s="35" t="s">
        <v>1177</v>
      </c>
      <c r="T39" s="35" t="s">
        <v>1178</v>
      </c>
      <c r="U39" s="35" t="s">
        <v>1098</v>
      </c>
      <c r="V39" s="240" t="str">
        <f t="shared" si="7"/>
        <v>Unfilled fields to left</v>
      </c>
      <c r="X39" s="25"/>
      <c r="Y39" s="19"/>
    </row>
    <row r="40" spans="2:25">
      <c r="B40" s="16"/>
      <c r="C40" s="15"/>
      <c r="D40" s="177"/>
      <c r="E40" s="35"/>
      <c r="F40" s="21"/>
      <c r="G40" s="21"/>
      <c r="H40" s="20"/>
      <c r="I40" s="36"/>
      <c r="J40" s="298"/>
      <c r="K40" s="300"/>
      <c r="L40" s="300"/>
      <c r="M40" s="300"/>
      <c r="N40" s="240">
        <f t="shared" si="6"/>
        <v>0</v>
      </c>
      <c r="O40" s="12"/>
      <c r="S40" s="298"/>
      <c r="T40" s="300"/>
      <c r="U40" s="300"/>
      <c r="V40" s="240" t="str">
        <f t="shared" si="7"/>
        <v>Unfilled fields to left</v>
      </c>
      <c r="X40" s="25"/>
      <c r="Y40" s="19"/>
    </row>
    <row r="41" spans="2:25">
      <c r="B41" s="16"/>
      <c r="C41" s="15"/>
      <c r="D41" s="177"/>
      <c r="E41" s="35"/>
      <c r="F41" s="21"/>
      <c r="G41" s="21"/>
      <c r="H41" s="20"/>
      <c r="I41" s="36"/>
      <c r="J41" s="298"/>
      <c r="K41" s="300"/>
      <c r="L41" s="300"/>
      <c r="M41" s="300"/>
      <c r="N41" s="240">
        <f t="shared" si="6"/>
        <v>0</v>
      </c>
      <c r="O41" s="12"/>
      <c r="S41" s="298"/>
      <c r="T41" s="300"/>
      <c r="U41" s="300"/>
      <c r="V41" s="240" t="str">
        <f t="shared" si="7"/>
        <v>Unfilled fields to left</v>
      </c>
      <c r="X41" s="25"/>
      <c r="Y41" s="19"/>
    </row>
    <row r="42" spans="2:25">
      <c r="B42" s="16"/>
      <c r="C42" s="15"/>
      <c r="D42" s="177"/>
      <c r="E42" s="35"/>
      <c r="F42" s="21"/>
      <c r="G42" s="21"/>
      <c r="H42" s="20"/>
      <c r="I42" s="36"/>
      <c r="J42" s="298"/>
      <c r="K42" s="300"/>
      <c r="L42" s="300"/>
      <c r="M42" s="300"/>
      <c r="N42" s="240">
        <f t="shared" si="6"/>
        <v>0</v>
      </c>
      <c r="O42" s="12"/>
      <c r="S42" s="298"/>
      <c r="T42" s="300"/>
      <c r="U42" s="300"/>
      <c r="V42" s="240" t="str">
        <f t="shared" si="7"/>
        <v>Unfilled fields to left</v>
      </c>
      <c r="X42" s="25"/>
      <c r="Y42" s="19"/>
    </row>
    <row r="43" spans="2:25">
      <c r="B43" s="16"/>
      <c r="C43" s="15"/>
      <c r="D43" s="177"/>
      <c r="E43" s="35"/>
      <c r="F43" s="21"/>
      <c r="G43" s="21"/>
      <c r="H43" s="20"/>
      <c r="I43" s="36"/>
      <c r="J43" s="298"/>
      <c r="K43" s="300"/>
      <c r="L43" s="300"/>
      <c r="M43" s="300"/>
      <c r="N43" s="240">
        <f t="shared" si="6"/>
        <v>0</v>
      </c>
      <c r="O43" s="12"/>
      <c r="S43" s="298"/>
      <c r="T43" s="300"/>
      <c r="U43" s="300"/>
      <c r="V43" s="240" t="str">
        <f t="shared" si="7"/>
        <v>Unfilled fields to left</v>
      </c>
      <c r="X43" s="25"/>
      <c r="Y43" s="19"/>
    </row>
    <row r="44" spans="2:25">
      <c r="B44" s="14"/>
      <c r="C44" s="83"/>
      <c r="D44" s="83"/>
      <c r="E44" s="494"/>
      <c r="F44" s="84"/>
      <c r="G44" s="85"/>
      <c r="H44" s="86"/>
      <c r="I44" s="86"/>
      <c r="J44" s="87"/>
      <c r="K44" s="87"/>
      <c r="L44" s="87"/>
      <c r="M44" s="87"/>
      <c r="N44" s="87"/>
      <c r="O44" s="28"/>
      <c r="P44" s="14"/>
      <c r="Q44" s="14"/>
      <c r="R44" s="14"/>
      <c r="S44" s="87"/>
      <c r="T44" s="87"/>
      <c r="U44" s="87"/>
      <c r="V44" s="87"/>
      <c r="X44" s="246"/>
      <c r="Y44" s="19"/>
    </row>
    <row r="45" spans="2:25" s="14" customFormat="1" ht="16.5">
      <c r="B45" s="144" t="s">
        <v>1179</v>
      </c>
      <c r="C45" s="158"/>
      <c r="D45" s="158"/>
      <c r="E45" s="495"/>
      <c r="F45" s="159"/>
      <c r="G45" s="160"/>
      <c r="H45" s="159"/>
      <c r="I45" s="159"/>
      <c r="J45" s="305"/>
      <c r="K45" s="305"/>
      <c r="L45" s="472"/>
      <c r="M45" s="472"/>
      <c r="N45" s="472"/>
      <c r="O45" s="157"/>
      <c r="P45" s="157"/>
      <c r="Q45" s="157"/>
      <c r="R45" s="157"/>
      <c r="S45" s="305"/>
      <c r="T45" s="305"/>
      <c r="U45" s="305"/>
      <c r="V45" s="152">
        <f>SUM(V46:V50)</f>
        <v>0</v>
      </c>
      <c r="X45" s="79"/>
    </row>
    <row r="46" spans="2:25" s="14" customFormat="1">
      <c r="B46" s="16" t="s">
        <v>1105</v>
      </c>
      <c r="C46" s="182" t="s">
        <v>1180</v>
      </c>
      <c r="D46" s="177" t="s">
        <v>425</v>
      </c>
      <c r="E46" s="35"/>
      <c r="F46" s="24"/>
      <c r="G46" s="24"/>
      <c r="H46" s="24"/>
      <c r="I46" s="24"/>
      <c r="J46" s="35"/>
      <c r="K46" s="35"/>
      <c r="L46" s="304"/>
      <c r="M46" s="304"/>
      <c r="N46" s="240">
        <f>IF($D46="MWh/yr (LHV)",$E46,$J46*$E46*(1-$L46)/Conversion_kWh_to_MJ)</f>
        <v>0</v>
      </c>
      <c r="O46" s="12"/>
      <c r="P46" s="12"/>
      <c r="Q46" s="12"/>
      <c r="R46" s="12"/>
      <c r="S46" s="298">
        <v>1000</v>
      </c>
      <c r="T46" s="473"/>
      <c r="U46" s="35" t="s">
        <v>1158</v>
      </c>
      <c r="V46" s="240" t="str">
        <f>IFERROR(IF(D46="tonnes/yr", $S46*$E46/($N$9*3.6), $T46*$E46*3.6/($N$9*3.6)), "Unfilled fields to left")</f>
        <v>Unfilled fields to left</v>
      </c>
      <c r="W46" s="112"/>
      <c r="X46" s="21"/>
    </row>
    <row r="47" spans="2:25" s="14" customFormat="1">
      <c r="B47" s="16"/>
      <c r="C47" s="15"/>
      <c r="D47" s="177"/>
      <c r="E47" s="35"/>
      <c r="F47" s="63"/>
      <c r="G47" s="63"/>
      <c r="H47" s="63"/>
      <c r="I47" s="63"/>
      <c r="J47" s="302"/>
      <c r="K47" s="304"/>
      <c r="L47" s="304"/>
      <c r="M47" s="304"/>
      <c r="N47" s="240">
        <f>IF($D47="MWh/yr (LHV)",$E47,$J47*$E47*(1-$L47)/Conversion_kWh_to_MJ)</f>
        <v>0</v>
      </c>
      <c r="O47" s="12"/>
      <c r="P47" s="12"/>
      <c r="Q47" s="12"/>
      <c r="R47" s="12"/>
      <c r="S47" s="300"/>
      <c r="T47" s="473"/>
      <c r="U47" s="300"/>
      <c r="V47" s="240" t="str">
        <f>IFERROR(IF(D47="tonnes/yr", $S47*$E47/($N$9*3.6), $T47*$E47*3.6/($N$9*3.6)), "Unfilled fields to left")</f>
        <v>Unfilled fields to left</v>
      </c>
      <c r="X47" s="21"/>
    </row>
    <row r="48" spans="2:25" s="14" customFormat="1">
      <c r="B48" s="64"/>
      <c r="C48" s="15"/>
      <c r="D48" s="177"/>
      <c r="E48" s="35"/>
      <c r="F48" s="21"/>
      <c r="G48" s="21"/>
      <c r="H48" s="63"/>
      <c r="I48" s="63"/>
      <c r="J48" s="302"/>
      <c r="K48" s="304"/>
      <c r="L48" s="304"/>
      <c r="M48" s="304"/>
      <c r="N48" s="240">
        <f>IF($D48="MWh/yr (LHV)",$E48,$J48*$E48*(1-$L48)/Conversion_kWh_to_MJ)</f>
        <v>0</v>
      </c>
      <c r="O48" s="19"/>
      <c r="P48" s="19"/>
      <c r="Q48" s="19"/>
      <c r="R48" s="19"/>
      <c r="S48" s="306"/>
      <c r="T48" s="473"/>
      <c r="U48" s="300"/>
      <c r="V48" s="240" t="str">
        <f>IFERROR(IF(D48="tonnes/yr", $S48*$E48/($N$9*3.6), $T48*$E48*3.6/($N$9*3.6)), "Unfilled fields to left")</f>
        <v>Unfilled fields to left</v>
      </c>
      <c r="X48" s="65"/>
    </row>
    <row r="49" spans="2:25" s="14" customFormat="1">
      <c r="B49" s="64"/>
      <c r="C49" s="15"/>
      <c r="D49" s="177"/>
      <c r="E49" s="35"/>
      <c r="F49" s="21"/>
      <c r="G49" s="21"/>
      <c r="H49" s="21"/>
      <c r="I49" s="21"/>
      <c r="J49" s="304"/>
      <c r="K49" s="304"/>
      <c r="L49" s="304"/>
      <c r="M49" s="304"/>
      <c r="N49" s="240">
        <f>IF($D49="MWh/yr (LHV)",$E49,$J49*$E49*(1-$L49)/Conversion_kWh_to_MJ)</f>
        <v>0</v>
      </c>
      <c r="O49" s="19"/>
      <c r="P49" s="19"/>
      <c r="Q49" s="19"/>
      <c r="R49" s="19"/>
      <c r="S49" s="306"/>
      <c r="T49" s="473"/>
      <c r="U49" s="300"/>
      <c r="V49" s="240" t="str">
        <f>IFERROR(IF(D49="tonnes/yr", $S49*$E49/($N$9*3.6), $T49*$E49*3.6/($N$9*3.6)), "Unfilled fields to left")</f>
        <v>Unfilled fields to left</v>
      </c>
      <c r="X49" s="65"/>
    </row>
    <row r="50" spans="2:25" s="14" customFormat="1">
      <c r="B50" s="64"/>
      <c r="C50" s="15"/>
      <c r="D50" s="177"/>
      <c r="E50" s="35"/>
      <c r="F50" s="21"/>
      <c r="G50" s="21"/>
      <c r="H50" s="21"/>
      <c r="I50" s="21"/>
      <c r="J50" s="304"/>
      <c r="K50" s="304"/>
      <c r="L50" s="304"/>
      <c r="M50" s="304"/>
      <c r="N50" s="240">
        <f>IF($D50="MWh/yr (LHV)",$E50,$J50*$E50*(1-$L50)/Conversion_kWh_to_MJ)</f>
        <v>0</v>
      </c>
      <c r="O50" s="19"/>
      <c r="P50" s="19"/>
      <c r="Q50" s="19"/>
      <c r="R50" s="19"/>
      <c r="S50" s="306"/>
      <c r="T50" s="473"/>
      <c r="U50" s="300"/>
      <c r="V50" s="240" t="str">
        <f>IFERROR(IF(D50="tonnes/yr", $S50*$E50/($N$9*3.6), $T50*$E50*3.6/($N$9*3.6)), "Unfilled fields to left")</f>
        <v>Unfilled fields to left</v>
      </c>
      <c r="X50" s="65"/>
    </row>
    <row r="51" spans="2:25">
      <c r="B51" s="14"/>
      <c r="C51" s="83"/>
      <c r="D51" s="83"/>
      <c r="E51" s="494"/>
      <c r="F51" s="84"/>
      <c r="G51" s="85"/>
      <c r="H51" s="86"/>
      <c r="I51" s="86"/>
      <c r="J51" s="87"/>
      <c r="K51" s="87"/>
      <c r="L51" s="141"/>
      <c r="M51" s="141"/>
      <c r="N51" s="73"/>
      <c r="O51" s="19"/>
      <c r="P51" s="19"/>
      <c r="Q51" s="19"/>
      <c r="R51" s="19"/>
      <c r="S51" s="87"/>
      <c r="T51" s="87"/>
      <c r="U51" s="87"/>
      <c r="V51" s="87"/>
      <c r="X51" s="246"/>
      <c r="Y51" s="19"/>
    </row>
    <row r="52" spans="2:25" ht="16.5">
      <c r="B52" s="144" t="s">
        <v>1108</v>
      </c>
      <c r="C52" s="250"/>
      <c r="D52" s="250"/>
      <c r="E52" s="506"/>
      <c r="F52" s="249"/>
      <c r="G52" s="249"/>
      <c r="H52" s="248"/>
      <c r="I52" s="247"/>
      <c r="J52" s="483"/>
      <c r="K52" s="484"/>
      <c r="L52" s="472"/>
      <c r="M52" s="472"/>
      <c r="N52" s="472"/>
      <c r="O52" s="157"/>
      <c r="P52" s="157"/>
      <c r="Q52" s="157"/>
      <c r="R52" s="157"/>
      <c r="S52" s="483"/>
      <c r="T52" s="484"/>
      <c r="U52" s="484"/>
      <c r="V52" s="152">
        <f>SUM(V53:V58)</f>
        <v>0</v>
      </c>
      <c r="X52" s="251"/>
      <c r="Y52" s="19"/>
    </row>
    <row r="53" spans="2:25" s="14" customFormat="1">
      <c r="B53" s="184" t="s">
        <v>1069</v>
      </c>
      <c r="C53" s="182" t="s">
        <v>1109</v>
      </c>
      <c r="D53" s="177" t="s">
        <v>447</v>
      </c>
      <c r="E53" s="35"/>
      <c r="F53" s="24"/>
      <c r="G53" s="24"/>
      <c r="H53" s="24"/>
      <c r="I53" s="316"/>
      <c r="J53" s="298"/>
      <c r="K53" s="298"/>
      <c r="L53" s="304"/>
      <c r="M53" s="304"/>
      <c r="N53" s="240">
        <f t="shared" ref="N53:N58" si="8">IF($D53="MWh/yr (LHV)",$E53,$J53*$E53*(1-$L53)/Conversion_kWh_to_MJ)</f>
        <v>0</v>
      </c>
      <c r="O53" s="19"/>
      <c r="P53" s="19"/>
      <c r="Q53" s="19"/>
      <c r="R53" s="19"/>
      <c r="S53" s="298" t="str">
        <f>IF(B53="", "", IF(D53="MWh/yr (LHV)", "Use column to right", "Enter data here"))</f>
        <v>Use column to right</v>
      </c>
      <c r="T53" s="298" t="e">
        <f>Initial_questions!$E$43*1/Conversion_kWh_to_MJ</f>
        <v>#VALUE!</v>
      </c>
      <c r="U53" s="35" t="s">
        <v>1110</v>
      </c>
      <c r="V53" s="240" t="str">
        <f t="shared" ref="V53:V58" si="9">IFERROR(IF(D53="tonnes/yr", $S53*$E53/($N$9*3.6), $T53*$E53*3.6/($N$9*3.6)), "Unfilled fields to left")</f>
        <v>Unfilled fields to left</v>
      </c>
      <c r="X53" s="21"/>
    </row>
    <row r="54" spans="2:25" s="14" customFormat="1">
      <c r="B54" s="184" t="s">
        <v>1069</v>
      </c>
      <c r="C54" s="182" t="s">
        <v>1111</v>
      </c>
      <c r="D54" s="177" t="s">
        <v>447</v>
      </c>
      <c r="E54" s="35"/>
      <c r="F54" s="24"/>
      <c r="G54" s="24"/>
      <c r="H54" s="24"/>
      <c r="I54" s="24"/>
      <c r="J54" s="298"/>
      <c r="K54" s="298"/>
      <c r="L54" s="304"/>
      <c r="M54" s="304"/>
      <c r="N54" s="240">
        <f t="shared" si="8"/>
        <v>0</v>
      </c>
      <c r="O54" s="19"/>
      <c r="P54" s="19"/>
      <c r="Q54" s="19"/>
      <c r="R54" s="19"/>
      <c r="S54" s="298" t="str">
        <f>IF(B54="", "", IF(D54="MWh/yr (LHV)", "Use column to right", "Enter data here"))</f>
        <v>Use column to right</v>
      </c>
      <c r="T54" s="298" t="e">
        <f>INDEX(Proj_grid_intensity_kWh,MATCH(Operations_year,Proj_grid_year,0))/Conversion_kWh_to_MJ</f>
        <v>#N/A</v>
      </c>
      <c r="U54" s="35" t="s">
        <v>1112</v>
      </c>
      <c r="V54" s="240" t="str">
        <f t="shared" si="9"/>
        <v>Unfilled fields to left</v>
      </c>
      <c r="X54" s="65"/>
    </row>
    <row r="55" spans="2:25" s="14" customFormat="1">
      <c r="B55" s="184" t="s">
        <v>1069</v>
      </c>
      <c r="C55" s="182" t="s">
        <v>1113</v>
      </c>
      <c r="D55" s="177" t="s">
        <v>425</v>
      </c>
      <c r="E55" s="35"/>
      <c r="F55" s="24"/>
      <c r="G55" s="24"/>
      <c r="H55" s="24"/>
      <c r="I55" s="24"/>
      <c r="J55" s="298"/>
      <c r="K55" s="298"/>
      <c r="L55" s="304"/>
      <c r="M55" s="304"/>
      <c r="N55" s="240">
        <f t="shared" si="8"/>
        <v>0</v>
      </c>
      <c r="O55" s="19"/>
      <c r="P55" s="19"/>
      <c r="Q55" s="19"/>
      <c r="R55" s="19"/>
      <c r="S55" s="298" t="str">
        <f>IF(B55="", "", IF(D55="MWh/yr (LHV)", "Use column to right", "Enter data here"))</f>
        <v>Enter data here</v>
      </c>
      <c r="T55" s="298" t="str">
        <f>IF(B55="", "", IF(D55="MWh/yr (LHV)", "Enter data here", "Use column to left"))</f>
        <v>Use column to left</v>
      </c>
      <c r="U55" s="35" t="s">
        <v>1114</v>
      </c>
      <c r="V55" s="240" t="str">
        <f t="shared" si="9"/>
        <v>Unfilled fields to left</v>
      </c>
      <c r="X55" s="65"/>
    </row>
    <row r="56" spans="2:25">
      <c r="B56" s="184" t="s">
        <v>1069</v>
      </c>
      <c r="C56" s="182" t="s">
        <v>1115</v>
      </c>
      <c r="D56" s="177" t="s">
        <v>425</v>
      </c>
      <c r="E56" s="35"/>
      <c r="F56" s="21"/>
      <c r="G56" s="21"/>
      <c r="H56" s="21"/>
      <c r="I56" s="21"/>
      <c r="J56" s="304"/>
      <c r="K56" s="304"/>
      <c r="L56" s="304"/>
      <c r="M56" s="304"/>
      <c r="N56" s="240">
        <f t="shared" si="8"/>
        <v>0</v>
      </c>
      <c r="O56" s="12"/>
      <c r="S56" s="298" t="str">
        <f>IF(B56="", "", IF(D56="MWh/yr (LHV)", "Use column to right", "Enter data here"))</f>
        <v>Enter data here</v>
      </c>
      <c r="T56" s="298" t="str">
        <f>IF(B56="", "", IF(D56="MWh/yr (LHV)", "Enter data here", "Use column to left"))</f>
        <v>Use column to left</v>
      </c>
      <c r="U56" s="35" t="s">
        <v>1114</v>
      </c>
      <c r="V56" s="240" t="str">
        <f t="shared" si="9"/>
        <v>Unfilled fields to left</v>
      </c>
      <c r="X56" s="21"/>
      <c r="Y56" s="19"/>
    </row>
    <row r="57" spans="2:25">
      <c r="B57" s="184" t="s">
        <v>1069</v>
      </c>
      <c r="C57" s="182" t="s">
        <v>1116</v>
      </c>
      <c r="D57" s="177" t="s">
        <v>447</v>
      </c>
      <c r="E57" s="35"/>
      <c r="F57" s="21"/>
      <c r="G57" s="21"/>
      <c r="H57" s="21"/>
      <c r="I57" s="21"/>
      <c r="J57" s="304"/>
      <c r="K57" s="304"/>
      <c r="L57" s="304"/>
      <c r="M57" s="304"/>
      <c r="N57" s="240">
        <f t="shared" si="8"/>
        <v>0</v>
      </c>
      <c r="O57" s="12"/>
      <c r="S57" s="298" t="str">
        <f>IF(B57="", "", IF(D57="MWh/yr (LHV)", "Use column to right", "Enter data here"))</f>
        <v>Use column to right</v>
      </c>
      <c r="T57" s="298" t="e">
        <f>INDEX(Proj_grid_intensity_kWh,MATCH(Operations_year,Proj_grid_year,0))/Conversion_kWh_to_MJ</f>
        <v>#N/A</v>
      </c>
      <c r="U57" s="35" t="s">
        <v>1112</v>
      </c>
      <c r="V57" s="240" t="str">
        <f t="shared" si="9"/>
        <v>Unfilled fields to left</v>
      </c>
      <c r="X57" s="21"/>
      <c r="Y57" s="19"/>
    </row>
    <row r="58" spans="2:25">
      <c r="B58" s="16"/>
      <c r="C58" s="15"/>
      <c r="D58" s="177"/>
      <c r="E58" s="35"/>
      <c r="F58" s="21"/>
      <c r="G58" s="21"/>
      <c r="H58" s="21"/>
      <c r="I58" s="21"/>
      <c r="J58" s="304"/>
      <c r="K58" s="304"/>
      <c r="L58" s="304"/>
      <c r="M58" s="304"/>
      <c r="N58" s="240">
        <f t="shared" si="8"/>
        <v>0</v>
      </c>
      <c r="O58" s="12"/>
      <c r="S58" s="300"/>
      <c r="T58" s="300"/>
      <c r="U58" s="300"/>
      <c r="V58" s="240" t="str">
        <f t="shared" si="9"/>
        <v>Unfilled fields to left</v>
      </c>
      <c r="X58" s="21"/>
      <c r="Y58" s="19"/>
    </row>
    <row r="59" spans="2:25" s="14" customFormat="1">
      <c r="B59" s="78"/>
      <c r="C59" s="260"/>
      <c r="D59" s="260"/>
      <c r="E59" s="492"/>
      <c r="F59" s="79"/>
      <c r="G59" s="79"/>
      <c r="H59" s="258"/>
      <c r="I59" s="258"/>
      <c r="J59" s="252"/>
      <c r="K59" s="252"/>
      <c r="L59" s="73"/>
      <c r="M59" s="73"/>
      <c r="N59" s="73"/>
      <c r="O59" s="12"/>
      <c r="P59" s="12"/>
      <c r="Q59" s="12"/>
      <c r="R59" s="12"/>
      <c r="S59" s="252"/>
      <c r="T59" s="252"/>
      <c r="U59" s="252"/>
      <c r="V59" s="252"/>
      <c r="X59" s="79"/>
    </row>
    <row r="60" spans="2:25" s="14" customFormat="1" ht="16.5">
      <c r="B60" s="144" t="s">
        <v>1117</v>
      </c>
      <c r="C60" s="158"/>
      <c r="D60" s="158"/>
      <c r="E60" s="495"/>
      <c r="F60" s="159"/>
      <c r="G60" s="160"/>
      <c r="H60" s="159"/>
      <c r="I60" s="159"/>
      <c r="J60" s="305"/>
      <c r="K60" s="305"/>
      <c r="L60" s="472"/>
      <c r="M60" s="472"/>
      <c r="N60" s="472"/>
      <c r="O60" s="157"/>
      <c r="P60" s="157"/>
      <c r="Q60" s="157"/>
      <c r="R60" s="157"/>
      <c r="S60" s="305"/>
      <c r="T60" s="305"/>
      <c r="U60" s="305"/>
      <c r="V60" s="152">
        <f>SUM(V61:V65)</f>
        <v>0</v>
      </c>
      <c r="X60" s="79"/>
    </row>
    <row r="61" spans="2:25" s="14" customFormat="1">
      <c r="B61" s="16" t="s">
        <v>1118</v>
      </c>
      <c r="C61" s="182" t="s">
        <v>1181</v>
      </c>
      <c r="D61" s="177" t="s">
        <v>425</v>
      </c>
      <c r="E61" s="35">
        <f>E46*$E$80</f>
        <v>0</v>
      </c>
      <c r="F61" s="316"/>
      <c r="G61" s="316"/>
      <c r="H61" s="316"/>
      <c r="I61" s="316"/>
      <c r="J61" s="491"/>
      <c r="K61" s="35"/>
      <c r="L61" s="304"/>
      <c r="M61" s="304"/>
      <c r="N61" s="240">
        <f>IF($D61="MWh/yr (LHV)",$E61,$J61*$E61*(1-$L61)/Conversion_kWh_to_MJ)</f>
        <v>0</v>
      </c>
      <c r="O61" s="12"/>
      <c r="P61" s="12"/>
      <c r="Q61" s="12"/>
      <c r="R61" s="12"/>
      <c r="S61" s="298">
        <v>-1000</v>
      </c>
      <c r="T61" s="473"/>
      <c r="U61" s="35" t="s">
        <v>1182</v>
      </c>
      <c r="V61" s="240" t="str">
        <f>IFERROR(IF(D61="tonnes/yr", $S61*$E61/($N$9*3.6), $T61*$E61*3.6/($N$9*3.6)), "Unfilled fields to left")</f>
        <v>Unfilled fields to left</v>
      </c>
      <c r="X61" s="21"/>
    </row>
    <row r="62" spans="2:25" s="14" customFormat="1">
      <c r="B62" s="16"/>
      <c r="C62" s="15"/>
      <c r="D62" s="177"/>
      <c r="E62" s="35"/>
      <c r="F62" s="63"/>
      <c r="G62" s="63"/>
      <c r="H62" s="63"/>
      <c r="I62" s="63"/>
      <c r="J62" s="302"/>
      <c r="K62" s="304"/>
      <c r="L62" s="304"/>
      <c r="M62" s="304"/>
      <c r="N62" s="240">
        <f>IF($D62="MWh/yr (LHV)",$E62,$J62*$E62*(1-$L62)/Conversion_kWh_to_MJ)</f>
        <v>0</v>
      </c>
      <c r="O62" s="19"/>
      <c r="P62" s="19"/>
      <c r="Q62" s="19"/>
      <c r="R62" s="19"/>
      <c r="S62" s="300"/>
      <c r="T62" s="473"/>
      <c r="U62" s="300"/>
      <c r="V62" s="240" t="str">
        <f>IFERROR(IF(D62="tonnes/yr", $S62*$E62/($N$9*3.6), $T62*$E62*3.6/($N$9*3.6)), "Unfilled fields to left")</f>
        <v>Unfilled fields to left</v>
      </c>
      <c r="X62" s="21"/>
    </row>
    <row r="63" spans="2:25" s="14" customFormat="1">
      <c r="B63" s="64"/>
      <c r="C63" s="15"/>
      <c r="D63" s="177"/>
      <c r="E63" s="35"/>
      <c r="F63" s="21"/>
      <c r="G63" s="21"/>
      <c r="H63" s="63"/>
      <c r="I63" s="63"/>
      <c r="J63" s="302"/>
      <c r="K63" s="304"/>
      <c r="L63" s="304"/>
      <c r="M63" s="304"/>
      <c r="N63" s="240">
        <f>IF($D63="MWh/yr (LHV)",$E63,$J63*$E63*(1-$L63)/Conversion_kWh_to_MJ)</f>
        <v>0</v>
      </c>
      <c r="O63" s="19"/>
      <c r="P63" s="19"/>
      <c r="Q63" s="19"/>
      <c r="R63" s="19"/>
      <c r="S63" s="306"/>
      <c r="T63" s="473"/>
      <c r="U63" s="300"/>
      <c r="V63" s="240" t="str">
        <f>IFERROR(IF(D63="tonnes/yr", $S63*$E63/($N$9*3.6), $T63*$E63*3.6/($N$9*3.6)), "Unfilled fields to left")</f>
        <v>Unfilled fields to left</v>
      </c>
      <c r="X63" s="65"/>
    </row>
    <row r="64" spans="2:25" s="14" customFormat="1">
      <c r="B64" s="64"/>
      <c r="C64" s="15"/>
      <c r="D64" s="177"/>
      <c r="E64" s="35"/>
      <c r="F64" s="21"/>
      <c r="G64" s="21"/>
      <c r="H64" s="21"/>
      <c r="I64" s="21"/>
      <c r="J64" s="304"/>
      <c r="K64" s="304"/>
      <c r="L64" s="304"/>
      <c r="M64" s="304"/>
      <c r="N64" s="240">
        <f>IF($D64="MWh/yr (LHV)",$E64,$J64*$E64*(1-$L64)/Conversion_kWh_to_MJ)</f>
        <v>0</v>
      </c>
      <c r="O64" s="19"/>
      <c r="P64" s="19"/>
      <c r="Q64" s="19"/>
      <c r="R64" s="19"/>
      <c r="S64" s="306"/>
      <c r="T64" s="473"/>
      <c r="U64" s="300"/>
      <c r="V64" s="240" t="str">
        <f>IFERROR(IF(D64="tonnes/yr", $S64*$E64/($N$9*3.6), $T64*$E64*3.6/($N$9*3.6)), "Unfilled fields to left")</f>
        <v>Unfilled fields to left</v>
      </c>
      <c r="X64" s="65"/>
    </row>
    <row r="65" spans="2:25" s="14" customFormat="1">
      <c r="B65" s="64"/>
      <c r="C65" s="15"/>
      <c r="D65" s="177"/>
      <c r="E65" s="35"/>
      <c r="F65" s="21"/>
      <c r="G65" s="21"/>
      <c r="H65" s="21"/>
      <c r="I65" s="21"/>
      <c r="J65" s="304"/>
      <c r="K65" s="304"/>
      <c r="L65" s="304"/>
      <c r="M65" s="304"/>
      <c r="N65" s="240">
        <f>IF($D65="MWh/yr (LHV)",$E65,$J65*$E65*(1-$L65)/Conversion_kWh_to_MJ)</f>
        <v>0</v>
      </c>
      <c r="O65" s="19"/>
      <c r="P65" s="19"/>
      <c r="Q65" s="19"/>
      <c r="R65" s="19"/>
      <c r="S65" s="306"/>
      <c r="T65" s="473"/>
      <c r="U65" s="300"/>
      <c r="V65" s="240" t="str">
        <f>IFERROR(IF(D65="tonnes/yr", $S65*$E65/($N$9*3.6), $T65*$E65*3.6/($N$9*3.6)), "Unfilled fields to left")</f>
        <v>Unfilled fields to left</v>
      </c>
      <c r="X65" s="65"/>
    </row>
    <row r="66" spans="2:25" s="14" customFormat="1">
      <c r="B66" s="78"/>
      <c r="C66" s="260"/>
      <c r="D66" s="260"/>
      <c r="E66" s="492"/>
      <c r="F66" s="79"/>
      <c r="G66" s="79"/>
      <c r="H66" s="258"/>
      <c r="I66" s="258"/>
      <c r="J66" s="252"/>
      <c r="K66" s="252"/>
      <c r="L66" s="73"/>
      <c r="M66" s="73"/>
      <c r="N66" s="73"/>
      <c r="O66" s="12"/>
      <c r="P66" s="12"/>
      <c r="Q66" s="12"/>
      <c r="R66" s="12"/>
      <c r="S66" s="252"/>
      <c r="T66" s="252"/>
      <c r="U66" s="252"/>
      <c r="V66" s="252"/>
      <c r="X66" s="79"/>
    </row>
    <row r="67" spans="2:25" s="14" customFormat="1" ht="16.5">
      <c r="B67" s="144" t="s">
        <v>132</v>
      </c>
      <c r="C67" s="158"/>
      <c r="D67" s="158"/>
      <c r="E67" s="495"/>
      <c r="F67" s="159"/>
      <c r="G67" s="160"/>
      <c r="H67" s="159"/>
      <c r="I67" s="159"/>
      <c r="J67" s="305"/>
      <c r="K67" s="305"/>
      <c r="L67" s="472"/>
      <c r="M67" s="472"/>
      <c r="N67" s="472"/>
      <c r="O67" s="157"/>
      <c r="P67" s="157"/>
      <c r="Q67" s="157"/>
      <c r="R67" s="157"/>
      <c r="S67" s="305"/>
      <c r="T67" s="305"/>
      <c r="U67" s="305"/>
      <c r="V67" s="152">
        <f>SUM(V68:V75)</f>
        <v>0</v>
      </c>
      <c r="X67" s="79"/>
    </row>
    <row r="68" spans="2:25" s="14" customFormat="1">
      <c r="B68" s="184" t="s">
        <v>1120</v>
      </c>
      <c r="C68" s="182" t="s">
        <v>1121</v>
      </c>
      <c r="D68" s="177" t="s">
        <v>425</v>
      </c>
      <c r="E68" s="35"/>
      <c r="F68" s="24"/>
      <c r="G68" s="21"/>
      <c r="H68" s="24"/>
      <c r="I68" s="24"/>
      <c r="J68" s="491"/>
      <c r="K68" s="35"/>
      <c r="L68" s="304"/>
      <c r="M68" s="304"/>
      <c r="N68" s="240">
        <f t="shared" ref="N68:N75" si="10">IF($D68="MWh/yr (LHV)",$E68,$J68*$E68*(1-$L68)/Conversion_kWh_to_MJ)</f>
        <v>0</v>
      </c>
      <c r="O68" s="12"/>
      <c r="P68" s="12"/>
      <c r="Q68" s="12"/>
      <c r="R68" s="12"/>
      <c r="S68" s="298">
        <f t="shared" ref="S68" si="11">28*1000</f>
        <v>28000</v>
      </c>
      <c r="T68" s="473"/>
      <c r="U68" s="35" t="s">
        <v>1107</v>
      </c>
      <c r="V68" s="240" t="str">
        <f t="shared" ref="V68:V75" si="12">IFERROR(IF(D68="tonnes/yr", $S68*$E68/($N$9*3.6), $T68*$E68*3.6/($N$9*3.6)), "Unfilled fields to left")</f>
        <v>Unfilled fields to left</v>
      </c>
      <c r="X68" s="21"/>
    </row>
    <row r="69" spans="2:25" s="14" customFormat="1">
      <c r="B69" s="185" t="s">
        <v>1122</v>
      </c>
      <c r="C69" s="182" t="s">
        <v>1123</v>
      </c>
      <c r="D69" s="177" t="s">
        <v>425</v>
      </c>
      <c r="E69" s="35"/>
      <c r="F69" s="24"/>
      <c r="G69" s="65"/>
      <c r="H69" s="24"/>
      <c r="I69" s="24"/>
      <c r="J69" s="491"/>
      <c r="K69" s="35"/>
      <c r="L69" s="306"/>
      <c r="M69" s="306"/>
      <c r="N69" s="240">
        <f t="shared" si="10"/>
        <v>0</v>
      </c>
      <c r="O69" s="19"/>
      <c r="P69" s="19"/>
      <c r="Q69" s="19"/>
      <c r="R69" s="19"/>
      <c r="S69" s="298">
        <v>265000</v>
      </c>
      <c r="T69" s="473"/>
      <c r="U69" s="35" t="s">
        <v>1107</v>
      </c>
      <c r="V69" s="240" t="str">
        <f t="shared" si="12"/>
        <v>Unfilled fields to left</v>
      </c>
      <c r="X69" s="65"/>
    </row>
    <row r="70" spans="2:25" s="14" customFormat="1">
      <c r="B70" s="185" t="s">
        <v>1124</v>
      </c>
      <c r="C70" s="182" t="s">
        <v>1125</v>
      </c>
      <c r="D70" s="177" t="s">
        <v>425</v>
      </c>
      <c r="E70" s="35"/>
      <c r="F70" s="24"/>
      <c r="G70" s="65"/>
      <c r="H70" s="24"/>
      <c r="I70" s="24"/>
      <c r="J70" s="491"/>
      <c r="K70" s="35"/>
      <c r="L70" s="306"/>
      <c r="M70" s="306"/>
      <c r="N70" s="240">
        <f t="shared" si="10"/>
        <v>0</v>
      </c>
      <c r="O70" s="19"/>
      <c r="P70" s="19"/>
      <c r="Q70" s="19"/>
      <c r="R70" s="19"/>
      <c r="S70" s="298">
        <v>23500000</v>
      </c>
      <c r="T70" s="473"/>
      <c r="U70" s="35" t="s">
        <v>1107</v>
      </c>
      <c r="V70" s="240" t="str">
        <f t="shared" si="12"/>
        <v>Unfilled fields to left</v>
      </c>
      <c r="X70" s="65"/>
    </row>
    <row r="71" spans="2:25" s="14" customFormat="1">
      <c r="B71" s="185" t="s">
        <v>1126</v>
      </c>
      <c r="C71" s="182" t="s">
        <v>1127</v>
      </c>
      <c r="D71" s="177" t="s">
        <v>425</v>
      </c>
      <c r="E71" s="35"/>
      <c r="F71" s="24"/>
      <c r="G71" s="65"/>
      <c r="H71" s="24"/>
      <c r="I71" s="24"/>
      <c r="J71" s="491"/>
      <c r="K71" s="35"/>
      <c r="L71" s="306"/>
      <c r="M71" s="306"/>
      <c r="N71" s="240">
        <f t="shared" si="10"/>
        <v>0</v>
      </c>
      <c r="O71" s="19"/>
      <c r="P71" s="19"/>
      <c r="Q71" s="19"/>
      <c r="R71" s="19"/>
      <c r="S71" s="480" t="s">
        <v>1128</v>
      </c>
      <c r="T71" s="473"/>
      <c r="U71" s="35"/>
      <c r="V71" s="240" t="str">
        <f t="shared" si="12"/>
        <v>Unfilled fields to left</v>
      </c>
      <c r="X71" s="65"/>
    </row>
    <row r="72" spans="2:25" s="14" customFormat="1">
      <c r="B72" s="185" t="s">
        <v>1126</v>
      </c>
      <c r="C72" s="182" t="s">
        <v>1127</v>
      </c>
      <c r="D72" s="177" t="s">
        <v>425</v>
      </c>
      <c r="E72" s="35"/>
      <c r="F72" s="24"/>
      <c r="G72" s="65"/>
      <c r="H72" s="24"/>
      <c r="I72" s="24"/>
      <c r="J72" s="491"/>
      <c r="K72" s="35"/>
      <c r="L72" s="306"/>
      <c r="M72" s="306"/>
      <c r="N72" s="240">
        <f t="shared" si="10"/>
        <v>0</v>
      </c>
      <c r="O72" s="19"/>
      <c r="P72" s="19"/>
      <c r="Q72" s="19"/>
      <c r="R72" s="19"/>
      <c r="S72" s="480" t="s">
        <v>1128</v>
      </c>
      <c r="T72" s="473"/>
      <c r="U72" s="35"/>
      <c r="V72" s="240" t="str">
        <f t="shared" si="12"/>
        <v>Unfilled fields to left</v>
      </c>
      <c r="X72" s="65"/>
    </row>
    <row r="73" spans="2:25" s="14" customFormat="1">
      <c r="B73" s="185" t="s">
        <v>1126</v>
      </c>
      <c r="C73" s="182" t="s">
        <v>1127</v>
      </c>
      <c r="D73" s="177" t="s">
        <v>425</v>
      </c>
      <c r="E73" s="35"/>
      <c r="F73" s="24"/>
      <c r="G73" s="65"/>
      <c r="H73" s="24"/>
      <c r="I73" s="24"/>
      <c r="J73" s="491"/>
      <c r="K73" s="35"/>
      <c r="L73" s="306"/>
      <c r="M73" s="306"/>
      <c r="N73" s="240">
        <f t="shared" si="10"/>
        <v>0</v>
      </c>
      <c r="O73" s="19"/>
      <c r="P73" s="19"/>
      <c r="Q73" s="19"/>
      <c r="R73" s="19"/>
      <c r="S73" s="480" t="s">
        <v>1128</v>
      </c>
      <c r="T73" s="473"/>
      <c r="U73" s="35"/>
      <c r="V73" s="240" t="str">
        <f t="shared" si="12"/>
        <v>Unfilled fields to left</v>
      </c>
      <c r="X73" s="65"/>
    </row>
    <row r="74" spans="2:25" s="14" customFormat="1">
      <c r="B74" s="64"/>
      <c r="C74" s="15"/>
      <c r="D74" s="178"/>
      <c r="E74" s="496"/>
      <c r="F74" s="65"/>
      <c r="G74" s="65"/>
      <c r="H74" s="66"/>
      <c r="I74" s="66"/>
      <c r="J74" s="302"/>
      <c r="K74" s="306"/>
      <c r="L74" s="306"/>
      <c r="M74" s="306"/>
      <c r="N74" s="240">
        <f t="shared" si="10"/>
        <v>0</v>
      </c>
      <c r="O74" s="19"/>
      <c r="P74" s="19"/>
      <c r="Q74" s="19"/>
      <c r="R74" s="19"/>
      <c r="S74" s="300"/>
      <c r="T74" s="473"/>
      <c r="U74" s="306"/>
      <c r="V74" s="240" t="str">
        <f t="shared" si="12"/>
        <v>Unfilled fields to left</v>
      </c>
      <c r="X74" s="65"/>
    </row>
    <row r="75" spans="2:25" s="14" customFormat="1">
      <c r="B75" s="64"/>
      <c r="C75" s="15"/>
      <c r="D75" s="178"/>
      <c r="E75" s="496"/>
      <c r="F75" s="65"/>
      <c r="G75" s="65"/>
      <c r="H75" s="66"/>
      <c r="I75" s="66"/>
      <c r="J75" s="304"/>
      <c r="K75" s="306"/>
      <c r="L75" s="306"/>
      <c r="M75" s="306"/>
      <c r="N75" s="240">
        <f t="shared" si="10"/>
        <v>0</v>
      </c>
      <c r="O75" s="19"/>
      <c r="P75" s="19"/>
      <c r="Q75" s="19"/>
      <c r="R75" s="19"/>
      <c r="S75" s="300"/>
      <c r="T75" s="473"/>
      <c r="U75" s="306"/>
      <c r="V75" s="240" t="str">
        <f t="shared" si="12"/>
        <v>Unfilled fields to left</v>
      </c>
      <c r="X75" s="65"/>
    </row>
    <row r="76" spans="2:25">
      <c r="C76" s="17"/>
      <c r="D76" s="17"/>
      <c r="E76" s="139"/>
      <c r="F76" s="17"/>
      <c r="H76" s="18"/>
      <c r="I76" s="18"/>
      <c r="J76" s="40"/>
      <c r="K76" s="40"/>
      <c r="L76" s="40"/>
      <c r="M76" s="40"/>
      <c r="N76" s="40"/>
      <c r="O76" s="12"/>
      <c r="S76" s="40"/>
      <c r="T76" s="40"/>
      <c r="U76" s="40"/>
      <c r="V76" s="40"/>
      <c r="Y76" s="19"/>
    </row>
    <row r="77" spans="2:25">
      <c r="E77" s="113"/>
      <c r="I77" s="19"/>
      <c r="J77" s="113"/>
      <c r="K77" s="113"/>
      <c r="L77" s="107"/>
      <c r="M77" s="107"/>
      <c r="N77" s="107"/>
      <c r="O77" s="12"/>
      <c r="S77" s="125"/>
      <c r="T77" s="125"/>
      <c r="U77" s="38" t="s">
        <v>1162</v>
      </c>
      <c r="V77" s="152">
        <f>IF(OR(COUNTIF(Initial_questions!$E$112,"Default"), COUNTIF(Initial_questions!$E$114:$E$115,"Default")),"Default data selected",SUM(V20,V33,V45,V52,V60,V67))</f>
        <v>0</v>
      </c>
      <c r="Y77" s="19"/>
    </row>
    <row r="78" spans="2:25">
      <c r="B78" s="144" t="s">
        <v>133</v>
      </c>
      <c r="C78" s="158"/>
      <c r="D78" s="158"/>
      <c r="E78" s="495"/>
      <c r="I78" s="19"/>
      <c r="J78" s="113"/>
      <c r="K78" s="113"/>
      <c r="L78" s="107"/>
      <c r="M78" s="107"/>
      <c r="N78" s="107"/>
      <c r="O78" s="12"/>
      <c r="S78" s="113"/>
      <c r="T78" s="113"/>
      <c r="U78" s="113"/>
      <c r="V78" s="19"/>
      <c r="Y78" s="19"/>
    </row>
    <row r="79" spans="2:25">
      <c r="B79" s="16" t="s">
        <v>1134</v>
      </c>
      <c r="C79" s="15" t="s">
        <v>1183</v>
      </c>
      <c r="D79" s="15" t="s">
        <v>1136</v>
      </c>
      <c r="E79" s="497"/>
      <c r="H79" s="19"/>
      <c r="I79" s="19"/>
      <c r="J79" s="113"/>
      <c r="K79" s="113"/>
      <c r="L79" s="107"/>
      <c r="M79" s="107"/>
      <c r="N79" s="107"/>
      <c r="O79" s="12"/>
      <c r="S79" s="113"/>
      <c r="T79" s="113"/>
      <c r="U79" s="113"/>
      <c r="V79" s="19"/>
      <c r="X79" s="25"/>
      <c r="Y79" s="19"/>
    </row>
    <row r="80" spans="2:25">
      <c r="B80" s="16" t="s">
        <v>1139</v>
      </c>
      <c r="C80" s="15" t="s">
        <v>1184</v>
      </c>
      <c r="D80" s="15" t="s">
        <v>897</v>
      </c>
      <c r="E80" s="507">
        <f>Initial_questions!$E$102</f>
        <v>0</v>
      </c>
      <c r="I80" s="19"/>
      <c r="J80" s="113"/>
      <c r="K80" s="113"/>
      <c r="L80" s="107"/>
      <c r="M80" s="107"/>
      <c r="N80" s="107"/>
      <c r="O80" s="12"/>
      <c r="S80" s="113"/>
      <c r="T80" s="113"/>
      <c r="U80" s="113"/>
      <c r="V80" s="19"/>
      <c r="X80" s="25"/>
      <c r="Y80" s="19"/>
    </row>
    <row r="81" spans="2:25">
      <c r="B81" s="16"/>
      <c r="C81" s="15"/>
      <c r="D81" s="15"/>
      <c r="E81" s="507"/>
      <c r="H81" s="19"/>
      <c r="I81" s="19"/>
      <c r="J81" s="113"/>
      <c r="K81" s="113"/>
      <c r="L81" s="107"/>
      <c r="M81" s="107"/>
      <c r="N81" s="107"/>
      <c r="O81" s="12"/>
      <c r="S81" s="113"/>
      <c r="T81" s="113"/>
      <c r="U81" s="113"/>
      <c r="V81" s="19"/>
      <c r="X81" s="25"/>
      <c r="Y81" s="19"/>
    </row>
    <row r="82" spans="2:25">
      <c r="B82" s="16"/>
      <c r="C82" s="15"/>
      <c r="D82" s="15"/>
      <c r="E82" s="497"/>
      <c r="H82" s="19"/>
      <c r="I82" s="19"/>
      <c r="J82" s="113"/>
      <c r="K82" s="113"/>
      <c r="L82" s="107"/>
      <c r="M82" s="107"/>
      <c r="N82" s="107"/>
      <c r="O82" s="12"/>
      <c r="S82" s="125"/>
      <c r="T82" s="125"/>
      <c r="U82" s="125"/>
      <c r="X82" s="25"/>
    </row>
    <row r="83" spans="2:25">
      <c r="E83" s="113"/>
      <c r="H83" s="19"/>
      <c r="I83" s="19"/>
      <c r="J83" s="113"/>
      <c r="K83" s="113"/>
      <c r="L83" s="107"/>
      <c r="M83" s="107"/>
      <c r="N83" s="107"/>
      <c r="O83" s="12"/>
      <c r="S83" s="125"/>
      <c r="T83" s="125"/>
      <c r="U83" s="125"/>
    </row>
    <row r="84" spans="2:25">
      <c r="E84" s="113"/>
      <c r="J84" s="125"/>
      <c r="K84" s="125"/>
      <c r="L84" s="39"/>
      <c r="M84" s="39"/>
      <c r="S84" s="125"/>
      <c r="T84" s="125"/>
      <c r="U84" s="125"/>
    </row>
    <row r="85" spans="2:25">
      <c r="E85" s="113"/>
      <c r="J85" s="125"/>
      <c r="K85" s="125"/>
      <c r="L85" s="39"/>
      <c r="M85" s="39"/>
      <c r="S85" s="125"/>
      <c r="T85" s="125"/>
      <c r="U85" s="125"/>
    </row>
    <row r="86" spans="2:25">
      <c r="E86" s="113"/>
      <c r="J86" s="125"/>
      <c r="K86" s="125"/>
      <c r="L86" s="39"/>
      <c r="M86" s="39"/>
      <c r="S86" s="125"/>
      <c r="T86" s="125"/>
      <c r="U86" s="125"/>
    </row>
    <row r="87" spans="2:25">
      <c r="E87" s="113"/>
      <c r="J87" s="125"/>
      <c r="K87" s="125"/>
      <c r="L87" s="39"/>
      <c r="M87" s="39"/>
      <c r="S87" s="125"/>
      <c r="T87" s="125"/>
      <c r="U87" s="125"/>
    </row>
    <row r="88" spans="2:25">
      <c r="E88" s="113"/>
      <c r="J88" s="125"/>
      <c r="K88" s="125"/>
      <c r="L88" s="39"/>
      <c r="M88" s="39"/>
      <c r="S88" s="125"/>
      <c r="T88" s="125"/>
      <c r="U88" s="125"/>
    </row>
    <row r="89" spans="2:25">
      <c r="E89" s="113"/>
      <c r="J89" s="125"/>
      <c r="K89" s="125"/>
      <c r="L89" s="39"/>
      <c r="M89" s="39"/>
      <c r="S89" s="125"/>
      <c r="T89" s="125"/>
      <c r="U89" s="125"/>
    </row>
    <row r="90" spans="2:25">
      <c r="E90" s="113"/>
      <c r="J90" s="125"/>
      <c r="K90" s="125"/>
      <c r="L90" s="39"/>
      <c r="M90" s="39"/>
      <c r="S90" s="125"/>
      <c r="T90" s="125"/>
      <c r="U90" s="125"/>
    </row>
    <row r="91" spans="2:25">
      <c r="E91" s="113"/>
      <c r="J91" s="125"/>
      <c r="K91" s="125"/>
      <c r="L91" s="39"/>
      <c r="M91" s="39"/>
      <c r="S91" s="125"/>
      <c r="T91" s="125"/>
      <c r="U91" s="125"/>
    </row>
    <row r="92" spans="2:25">
      <c r="E92" s="113"/>
      <c r="J92" s="125"/>
      <c r="K92" s="125"/>
      <c r="L92" s="39"/>
      <c r="M92" s="39"/>
      <c r="S92" s="125"/>
      <c r="T92" s="125"/>
      <c r="U92" s="125"/>
    </row>
    <row r="93" spans="2:25">
      <c r="E93" s="113"/>
      <c r="J93" s="125"/>
      <c r="K93" s="125"/>
      <c r="L93" s="39"/>
      <c r="M93" s="39"/>
      <c r="S93" s="125"/>
      <c r="T93" s="125"/>
      <c r="U93" s="125"/>
    </row>
    <row r="94" spans="2:25">
      <c r="E94" s="113"/>
      <c r="J94" s="125"/>
      <c r="K94" s="125"/>
      <c r="L94" s="39"/>
      <c r="M94" s="39"/>
      <c r="S94" s="125"/>
      <c r="T94" s="125"/>
      <c r="U94" s="125"/>
    </row>
    <row r="95" spans="2:25">
      <c r="E95" s="113"/>
      <c r="J95" s="125"/>
      <c r="K95" s="125"/>
      <c r="L95" s="39"/>
      <c r="M95" s="39"/>
      <c r="S95" s="125"/>
      <c r="T95" s="125"/>
      <c r="U95" s="125"/>
    </row>
    <row r="96" spans="2:25">
      <c r="E96" s="113"/>
      <c r="J96" s="125"/>
      <c r="K96" s="125"/>
      <c r="L96" s="39"/>
      <c r="M96" s="39"/>
      <c r="S96" s="125"/>
      <c r="T96" s="125"/>
      <c r="U96" s="125"/>
    </row>
    <row r="97" spans="5:21">
      <c r="E97" s="113"/>
      <c r="J97" s="125"/>
      <c r="K97" s="125"/>
      <c r="L97" s="39"/>
      <c r="M97" s="39"/>
      <c r="S97" s="125"/>
      <c r="T97" s="125"/>
      <c r="U97" s="125"/>
    </row>
    <row r="98" spans="5:21">
      <c r="E98" s="113"/>
      <c r="J98" s="125"/>
      <c r="K98" s="125"/>
      <c r="L98" s="39"/>
      <c r="M98" s="39"/>
      <c r="S98" s="125"/>
      <c r="T98" s="125"/>
      <c r="U98" s="125"/>
    </row>
    <row r="99" spans="5:21">
      <c r="E99" s="113"/>
      <c r="J99" s="125"/>
      <c r="K99" s="125"/>
      <c r="L99" s="39"/>
      <c r="M99" s="39"/>
      <c r="S99" s="125"/>
      <c r="T99" s="125"/>
      <c r="U99" s="125"/>
    </row>
    <row r="100" spans="5:21">
      <c r="E100" s="113"/>
      <c r="J100" s="125"/>
      <c r="K100" s="125"/>
      <c r="L100" s="39"/>
      <c r="M100" s="39"/>
      <c r="S100" s="125"/>
      <c r="T100" s="125"/>
      <c r="U100" s="125"/>
    </row>
    <row r="101" spans="5:21">
      <c r="E101" s="113"/>
      <c r="J101" s="125"/>
      <c r="K101" s="125"/>
      <c r="L101" s="39"/>
      <c r="M101" s="39"/>
      <c r="S101" s="125"/>
      <c r="T101" s="125"/>
      <c r="U101" s="125"/>
    </row>
    <row r="102" spans="5:21">
      <c r="E102" s="113"/>
      <c r="J102" s="125"/>
      <c r="K102" s="125"/>
      <c r="L102" s="39"/>
      <c r="M102" s="39"/>
      <c r="S102" s="125"/>
      <c r="T102" s="125"/>
      <c r="U102" s="125"/>
    </row>
    <row r="103" spans="5:21">
      <c r="E103" s="113"/>
      <c r="J103" s="125"/>
      <c r="K103" s="125"/>
      <c r="L103" s="39"/>
      <c r="M103" s="39"/>
      <c r="S103" s="125"/>
      <c r="T103" s="125"/>
      <c r="U103" s="125"/>
    </row>
    <row r="104" spans="5:21">
      <c r="E104" s="113"/>
      <c r="J104" s="125"/>
      <c r="K104" s="125"/>
      <c r="L104" s="39"/>
      <c r="M104" s="39"/>
      <c r="S104" s="125"/>
      <c r="T104" s="125"/>
      <c r="U104" s="125"/>
    </row>
    <row r="105" spans="5:21">
      <c r="E105" s="113"/>
      <c r="J105" s="125"/>
      <c r="K105" s="125"/>
      <c r="L105" s="39"/>
      <c r="M105" s="39"/>
      <c r="S105" s="125"/>
      <c r="T105" s="125"/>
      <c r="U105" s="125"/>
    </row>
    <row r="106" spans="5:21">
      <c r="E106" s="113"/>
      <c r="J106" s="125"/>
      <c r="K106" s="125"/>
      <c r="L106" s="39"/>
      <c r="M106" s="39"/>
      <c r="S106" s="125"/>
      <c r="T106" s="125"/>
      <c r="U106" s="125"/>
    </row>
    <row r="107" spans="5:21">
      <c r="E107" s="113"/>
      <c r="J107" s="125"/>
      <c r="K107" s="125"/>
      <c r="L107" s="39"/>
      <c r="M107" s="39"/>
      <c r="S107" s="125"/>
      <c r="T107" s="125"/>
      <c r="U107" s="125"/>
    </row>
    <row r="108" spans="5:21">
      <c r="E108" s="113"/>
      <c r="J108" s="125"/>
      <c r="K108" s="125"/>
      <c r="L108" s="39"/>
      <c r="M108" s="39"/>
      <c r="S108" s="125"/>
      <c r="T108" s="125"/>
      <c r="U108" s="125"/>
    </row>
    <row r="109" spans="5:21">
      <c r="E109" s="113"/>
      <c r="J109" s="125"/>
      <c r="K109" s="125"/>
      <c r="L109" s="39"/>
      <c r="M109" s="39"/>
      <c r="S109" s="125"/>
      <c r="T109" s="125"/>
      <c r="U109" s="125"/>
    </row>
    <row r="110" spans="5:21">
      <c r="E110" s="113"/>
      <c r="J110" s="125"/>
      <c r="K110" s="125"/>
      <c r="L110" s="39"/>
      <c r="M110" s="39"/>
      <c r="S110" s="125"/>
      <c r="T110" s="125"/>
      <c r="U110" s="125"/>
    </row>
    <row r="111" spans="5:21">
      <c r="E111" s="113"/>
      <c r="J111" s="125"/>
      <c r="K111" s="125"/>
      <c r="L111" s="39"/>
      <c r="M111" s="39"/>
      <c r="S111" s="125"/>
      <c r="T111" s="125"/>
      <c r="U111" s="125"/>
    </row>
    <row r="112" spans="5:21">
      <c r="E112" s="113"/>
      <c r="J112" s="125"/>
      <c r="K112" s="125"/>
      <c r="L112" s="39"/>
      <c r="M112" s="39"/>
      <c r="S112" s="125"/>
      <c r="T112" s="125"/>
      <c r="U112" s="125"/>
    </row>
    <row r="113" spans="5:21">
      <c r="E113" s="113"/>
      <c r="J113" s="125"/>
      <c r="K113" s="125"/>
      <c r="L113" s="39"/>
      <c r="M113" s="39"/>
      <c r="S113" s="125"/>
      <c r="T113" s="125"/>
      <c r="U113" s="125"/>
    </row>
    <row r="114" spans="5:21">
      <c r="E114" s="113"/>
      <c r="J114" s="125"/>
      <c r="K114" s="125"/>
      <c r="L114" s="39"/>
      <c r="M114" s="39"/>
      <c r="S114" s="125"/>
      <c r="T114" s="125"/>
      <c r="U114" s="125"/>
    </row>
    <row r="115" spans="5:21">
      <c r="E115" s="113"/>
      <c r="J115" s="125"/>
      <c r="K115" s="125"/>
      <c r="L115" s="39"/>
      <c r="M115" s="39"/>
      <c r="S115" s="125"/>
      <c r="T115" s="125"/>
      <c r="U115" s="125"/>
    </row>
    <row r="116" spans="5:21">
      <c r="E116" s="113"/>
      <c r="J116" s="125"/>
      <c r="K116" s="125"/>
      <c r="L116" s="39"/>
      <c r="M116" s="39"/>
      <c r="S116" s="125"/>
      <c r="T116" s="125"/>
      <c r="U116" s="125"/>
    </row>
    <row r="117" spans="5:21">
      <c r="E117" s="113"/>
      <c r="J117" s="125"/>
      <c r="K117" s="125"/>
      <c r="L117" s="39"/>
      <c r="M117" s="39"/>
      <c r="S117" s="125"/>
      <c r="T117" s="125"/>
      <c r="U117" s="125"/>
    </row>
    <row r="118" spans="5:21">
      <c r="E118" s="113"/>
      <c r="J118" s="125"/>
      <c r="K118" s="125"/>
      <c r="L118" s="39"/>
      <c r="M118" s="39"/>
      <c r="S118" s="125"/>
      <c r="T118" s="125"/>
      <c r="U118" s="125"/>
    </row>
    <row r="119" spans="5:21">
      <c r="E119" s="113"/>
      <c r="J119" s="125"/>
      <c r="K119" s="125"/>
      <c r="L119" s="39"/>
      <c r="M119" s="39"/>
      <c r="S119" s="125"/>
      <c r="T119" s="125"/>
      <c r="U119" s="125"/>
    </row>
    <row r="120" spans="5:21">
      <c r="E120" s="113"/>
      <c r="J120" s="125"/>
      <c r="K120" s="125"/>
      <c r="L120" s="39"/>
      <c r="M120" s="39"/>
      <c r="S120" s="125"/>
      <c r="T120" s="125"/>
      <c r="U120" s="125"/>
    </row>
    <row r="121" spans="5:21">
      <c r="E121" s="113"/>
      <c r="J121" s="125"/>
      <c r="K121" s="125"/>
      <c r="L121" s="39"/>
      <c r="M121" s="39"/>
      <c r="S121" s="125"/>
      <c r="T121" s="125"/>
      <c r="U121" s="125"/>
    </row>
    <row r="122" spans="5:21">
      <c r="E122" s="113"/>
      <c r="J122" s="125"/>
      <c r="K122" s="125"/>
      <c r="L122" s="39"/>
      <c r="M122" s="39"/>
      <c r="S122" s="125"/>
      <c r="T122" s="125"/>
      <c r="U122" s="125"/>
    </row>
    <row r="123" spans="5:21">
      <c r="E123" s="113"/>
      <c r="S123" s="125"/>
      <c r="T123" s="125"/>
      <c r="U123" s="125"/>
    </row>
    <row r="124" spans="5:21">
      <c r="E124" s="113"/>
      <c r="S124" s="125"/>
      <c r="T124" s="125"/>
      <c r="U124" s="125"/>
    </row>
    <row r="125" spans="5:21">
      <c r="E125" s="113"/>
      <c r="S125" s="125"/>
      <c r="T125" s="125"/>
      <c r="U125" s="125"/>
    </row>
    <row r="126" spans="5:21">
      <c r="E126" s="113"/>
      <c r="S126" s="125"/>
      <c r="T126" s="125"/>
      <c r="U126" s="125"/>
    </row>
    <row r="127" spans="5:21">
      <c r="E127" s="113"/>
      <c r="S127" s="125"/>
      <c r="T127" s="125"/>
      <c r="U127" s="125"/>
    </row>
    <row r="128" spans="5:21">
      <c r="E128" s="113"/>
      <c r="S128" s="125"/>
      <c r="T128" s="125"/>
      <c r="U128" s="125"/>
    </row>
    <row r="129" spans="5:21">
      <c r="E129" s="113"/>
      <c r="S129" s="125"/>
      <c r="T129" s="125"/>
      <c r="U129" s="125"/>
    </row>
    <row r="130" spans="5:21">
      <c r="E130" s="113"/>
      <c r="S130" s="125"/>
      <c r="T130" s="125"/>
      <c r="U130" s="125"/>
    </row>
    <row r="131" spans="5:21">
      <c r="E131" s="113"/>
      <c r="S131" s="125"/>
      <c r="T131" s="125"/>
      <c r="U131" s="125"/>
    </row>
    <row r="132" spans="5:21">
      <c r="E132" s="113"/>
      <c r="S132" s="125"/>
      <c r="T132" s="125"/>
      <c r="U132" s="125"/>
    </row>
    <row r="133" spans="5:21">
      <c r="E133" s="113"/>
      <c r="S133" s="125"/>
      <c r="T133" s="125"/>
      <c r="U133" s="125"/>
    </row>
    <row r="134" spans="5:21">
      <c r="E134" s="113"/>
      <c r="S134" s="125"/>
      <c r="T134" s="125"/>
      <c r="U134" s="125"/>
    </row>
    <row r="135" spans="5:21">
      <c r="E135" s="113"/>
      <c r="S135" s="125"/>
      <c r="T135" s="125"/>
      <c r="U135" s="125"/>
    </row>
    <row r="136" spans="5:21">
      <c r="E136" s="113"/>
      <c r="S136" s="125"/>
      <c r="T136" s="125"/>
      <c r="U136" s="125"/>
    </row>
    <row r="137" spans="5:21">
      <c r="E137" s="113"/>
      <c r="S137" s="125"/>
      <c r="T137" s="125"/>
      <c r="U137" s="125"/>
    </row>
    <row r="138" spans="5:21">
      <c r="E138" s="113"/>
      <c r="S138" s="125"/>
      <c r="T138" s="125"/>
      <c r="U138" s="125"/>
    </row>
    <row r="139" spans="5:21">
      <c r="E139" s="113"/>
      <c r="S139" s="125"/>
      <c r="T139" s="125"/>
      <c r="U139" s="125"/>
    </row>
    <row r="140" spans="5:21">
      <c r="E140" s="113"/>
      <c r="S140" s="125"/>
      <c r="T140" s="125"/>
      <c r="U140" s="125"/>
    </row>
    <row r="141" spans="5:21">
      <c r="E141" s="113"/>
      <c r="S141" s="125"/>
      <c r="T141" s="125"/>
      <c r="U141" s="125"/>
    </row>
    <row r="142" spans="5:21">
      <c r="E142" s="113"/>
      <c r="S142" s="125"/>
      <c r="T142" s="125"/>
      <c r="U142" s="125"/>
    </row>
    <row r="143" spans="5:21">
      <c r="E143" s="113"/>
      <c r="S143" s="125"/>
      <c r="T143" s="125"/>
      <c r="U143" s="125"/>
    </row>
    <row r="144" spans="5:21">
      <c r="E144" s="113"/>
      <c r="S144" s="125"/>
      <c r="T144" s="125"/>
      <c r="U144" s="125"/>
    </row>
    <row r="145" spans="5:21">
      <c r="E145" s="113"/>
      <c r="S145" s="125"/>
      <c r="T145" s="125"/>
      <c r="U145" s="125"/>
    </row>
    <row r="146" spans="5:21">
      <c r="E146" s="113"/>
      <c r="S146" s="125"/>
      <c r="T146" s="125"/>
      <c r="U146" s="125"/>
    </row>
    <row r="147" spans="5:21">
      <c r="E147" s="113"/>
      <c r="S147" s="125"/>
      <c r="T147" s="125"/>
      <c r="U147" s="125"/>
    </row>
    <row r="148" spans="5:21">
      <c r="E148" s="254"/>
      <c r="S148" s="125"/>
      <c r="T148" s="125"/>
      <c r="U148" s="125"/>
    </row>
    <row r="149" spans="5:21">
      <c r="E149" s="254"/>
      <c r="S149" s="125"/>
      <c r="T149" s="125"/>
      <c r="U149" s="125"/>
    </row>
    <row r="150" spans="5:21">
      <c r="E150" s="254"/>
      <c r="S150" s="125"/>
      <c r="T150" s="125"/>
      <c r="U150" s="125"/>
    </row>
    <row r="151" spans="5:21">
      <c r="E151" s="254"/>
      <c r="S151" s="125"/>
      <c r="T151" s="125"/>
      <c r="U151" s="125"/>
    </row>
    <row r="152" spans="5:21">
      <c r="E152" s="254"/>
      <c r="S152" s="125"/>
      <c r="T152" s="125"/>
      <c r="U152" s="125"/>
    </row>
    <row r="153" spans="5:21">
      <c r="E153" s="254"/>
      <c r="S153" s="125"/>
      <c r="T153" s="125"/>
      <c r="U153" s="125"/>
    </row>
    <row r="154" spans="5:21">
      <c r="E154" s="254"/>
      <c r="S154" s="125"/>
      <c r="T154" s="125"/>
      <c r="U154" s="125"/>
    </row>
    <row r="155" spans="5:21">
      <c r="E155" s="254"/>
      <c r="S155" s="125"/>
      <c r="T155" s="125"/>
      <c r="U155" s="125"/>
    </row>
    <row r="156" spans="5:21">
      <c r="E156" s="254"/>
      <c r="S156" s="125"/>
      <c r="T156" s="125"/>
      <c r="U156" s="125"/>
    </row>
    <row r="157" spans="5:21">
      <c r="E157" s="254"/>
      <c r="S157" s="125"/>
      <c r="T157" s="125"/>
      <c r="U157" s="125"/>
    </row>
    <row r="158" spans="5:21">
      <c r="E158" s="254"/>
      <c r="S158" s="125"/>
      <c r="T158" s="125"/>
      <c r="U158" s="125"/>
    </row>
    <row r="159" spans="5:21">
      <c r="E159" s="254"/>
      <c r="S159" s="125"/>
      <c r="T159" s="125"/>
      <c r="U159" s="125"/>
    </row>
    <row r="160" spans="5:21">
      <c r="E160" s="254"/>
      <c r="S160" s="125"/>
      <c r="T160" s="125"/>
      <c r="U160" s="125"/>
    </row>
    <row r="161" spans="5:21">
      <c r="E161" s="254"/>
      <c r="S161" s="125"/>
      <c r="T161" s="125"/>
      <c r="U161" s="125"/>
    </row>
    <row r="162" spans="5:21">
      <c r="E162" s="254"/>
      <c r="S162" s="125"/>
      <c r="T162" s="125"/>
      <c r="U162" s="125"/>
    </row>
    <row r="163" spans="5:21">
      <c r="E163" s="254"/>
      <c r="S163" s="125"/>
      <c r="T163" s="125"/>
      <c r="U163" s="125"/>
    </row>
    <row r="164" spans="5:21">
      <c r="E164" s="254"/>
      <c r="S164" s="125"/>
      <c r="T164" s="125"/>
      <c r="U164" s="125"/>
    </row>
    <row r="165" spans="5:21">
      <c r="E165" s="254"/>
      <c r="S165" s="125"/>
      <c r="T165" s="125"/>
      <c r="U165" s="125"/>
    </row>
    <row r="166" spans="5:21">
      <c r="E166" s="254"/>
      <c r="S166" s="125"/>
      <c r="T166" s="125"/>
      <c r="U166" s="125"/>
    </row>
    <row r="167" spans="5:21">
      <c r="E167" s="254"/>
      <c r="S167" s="125"/>
      <c r="T167" s="125"/>
      <c r="U167" s="125"/>
    </row>
    <row r="168" spans="5:21">
      <c r="E168" s="254"/>
      <c r="S168" s="125"/>
      <c r="T168" s="125"/>
      <c r="U168" s="125"/>
    </row>
    <row r="169" spans="5:21">
      <c r="E169" s="254"/>
      <c r="S169" s="125"/>
      <c r="T169" s="125"/>
      <c r="U169" s="125"/>
    </row>
    <row r="170" spans="5:21">
      <c r="E170" s="254"/>
      <c r="S170" s="125"/>
      <c r="T170" s="125"/>
      <c r="U170" s="125"/>
    </row>
    <row r="171" spans="5:21">
      <c r="E171" s="254"/>
      <c r="S171" s="125"/>
      <c r="T171" s="125"/>
      <c r="U171" s="125"/>
    </row>
    <row r="172" spans="5:21">
      <c r="E172" s="254"/>
      <c r="S172" s="125"/>
      <c r="T172" s="125"/>
      <c r="U172" s="125"/>
    </row>
    <row r="173" spans="5:21">
      <c r="E173" s="254"/>
      <c r="S173" s="125"/>
      <c r="T173" s="125"/>
      <c r="U173" s="125"/>
    </row>
    <row r="174" spans="5:21">
      <c r="E174" s="254"/>
      <c r="S174" s="125"/>
      <c r="T174" s="125"/>
      <c r="U174" s="125"/>
    </row>
    <row r="175" spans="5:21">
      <c r="E175" s="254"/>
      <c r="S175" s="125"/>
      <c r="T175" s="125"/>
      <c r="U175" s="125"/>
    </row>
    <row r="176" spans="5:21">
      <c r="E176" s="254"/>
      <c r="S176" s="125"/>
      <c r="T176" s="125"/>
      <c r="U176" s="125"/>
    </row>
    <row r="177" spans="5:21">
      <c r="E177" s="254"/>
      <c r="S177" s="125"/>
      <c r="T177" s="125"/>
      <c r="U177" s="125"/>
    </row>
    <row r="178" spans="5:21">
      <c r="E178" s="254"/>
      <c r="S178" s="125"/>
      <c r="T178" s="125"/>
      <c r="U178" s="125"/>
    </row>
    <row r="179" spans="5:21">
      <c r="E179" s="254"/>
      <c r="S179" s="125"/>
      <c r="T179" s="125"/>
      <c r="U179" s="125"/>
    </row>
    <row r="180" spans="5:21">
      <c r="E180" s="254"/>
      <c r="S180" s="125"/>
      <c r="T180" s="125"/>
      <c r="U180" s="125"/>
    </row>
    <row r="181" spans="5:21">
      <c r="E181" s="254"/>
      <c r="S181" s="125"/>
      <c r="T181" s="125"/>
      <c r="U181" s="125"/>
    </row>
    <row r="182" spans="5:21">
      <c r="E182" s="254"/>
      <c r="S182" s="125"/>
      <c r="T182" s="125"/>
      <c r="U182" s="125"/>
    </row>
    <row r="183" spans="5:21">
      <c r="E183" s="254"/>
      <c r="S183" s="125"/>
      <c r="T183" s="125"/>
      <c r="U183" s="125"/>
    </row>
    <row r="184" spans="5:21">
      <c r="E184" s="254"/>
      <c r="S184" s="125"/>
      <c r="T184" s="125"/>
      <c r="U184" s="125"/>
    </row>
    <row r="185" spans="5:21">
      <c r="E185" s="254"/>
      <c r="S185" s="125"/>
      <c r="T185" s="125"/>
      <c r="U185" s="125"/>
    </row>
    <row r="186" spans="5:21">
      <c r="E186" s="254"/>
      <c r="S186" s="125"/>
      <c r="T186" s="125"/>
      <c r="U186" s="125"/>
    </row>
    <row r="187" spans="5:21">
      <c r="E187" s="254"/>
      <c r="S187" s="125"/>
      <c r="T187" s="125"/>
      <c r="U187" s="125"/>
    </row>
    <row r="188" spans="5:21">
      <c r="E188" s="254"/>
      <c r="S188" s="125"/>
      <c r="T188" s="125"/>
      <c r="U188" s="125"/>
    </row>
    <row r="189" spans="5:21">
      <c r="E189" s="254"/>
      <c r="S189" s="125"/>
      <c r="T189" s="125"/>
      <c r="U189" s="125"/>
    </row>
    <row r="190" spans="5:21">
      <c r="E190" s="254"/>
    </row>
    <row r="191" spans="5:21">
      <c r="E191" s="254"/>
    </row>
    <row r="192" spans="5:21">
      <c r="E192" s="254"/>
    </row>
    <row r="193" spans="5:5">
      <c r="E193" s="254"/>
    </row>
    <row r="194" spans="5:5">
      <c r="E194" s="254"/>
    </row>
    <row r="195" spans="5:5">
      <c r="E195" s="254"/>
    </row>
    <row r="196" spans="5:5">
      <c r="E196" s="254"/>
    </row>
    <row r="197" spans="5:5">
      <c r="E197" s="254"/>
    </row>
    <row r="198" spans="5:5">
      <c r="E198" s="254"/>
    </row>
    <row r="199" spans="5:5">
      <c r="E199" s="254"/>
    </row>
    <row r="200" spans="5:5">
      <c r="E200" s="254"/>
    </row>
    <row r="201" spans="5:5">
      <c r="E201" s="254"/>
    </row>
    <row r="202" spans="5:5">
      <c r="E202" s="254"/>
    </row>
    <row r="203" spans="5:5">
      <c r="E203" s="254"/>
    </row>
    <row r="204" spans="5:5">
      <c r="E204" s="254"/>
    </row>
    <row r="205" spans="5:5">
      <c r="E205" s="254"/>
    </row>
    <row r="206" spans="5:5">
      <c r="E206" s="254"/>
    </row>
    <row r="207" spans="5:5">
      <c r="E207" s="254"/>
    </row>
    <row r="208" spans="5:5">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sheetData>
  <customSheetViews>
    <customSheetView guid="{F03309BC-D3FA-4CF2-833B-D6D9A95FE1FB}" showGridLines="0" state="hidden">
      <pane xSplit="3" ySplit="5" topLeftCell="R6" activePane="bottomRight" state="frozen"/>
      <selection pane="bottomRight" activeCell="D2" sqref="D2"/>
      <pageMargins left="0" right="0" top="0" bottom="0" header="0" footer="0"/>
      <pageSetup paperSize="9" orientation="portrait" r:id="rId1"/>
    </customSheetView>
    <customSheetView guid="{EECBF9DF-6D77-4263-85DA-71E40216BADD}" showGridLines="0">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R6" activePane="bottomRight" state="frozen"/>
      <selection pane="bottomRight" activeCell="D2" sqref="D2"/>
      <pageMargins left="0" right="0" top="0" bottom="0" header="0" footer="0"/>
      <pageSetup paperSize="9" orientation="portrait" r:id="rId6"/>
    </customSheetView>
    <customSheetView guid="{D97B1299-69D0-4EE0-B673-CCF74742F96B}" scale="70" state="hidden">
      <selection activeCell="C2" sqref="C2:E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46:D50 D34:D43 D53:D58 D61:D65 D20:D30 D68:D75 D8 D10:D17" xr:uid="{C764CFA3-01E4-4CE3-A504-4F5FD23DA169}">
      <formula1>Flow_units</formula1>
    </dataValidation>
    <dataValidation type="custom" allowBlank="1" showInputMessage="1" showErrorMessage="1" error="Please do not change this formula" prompt="Please do not change this formula" sqref="W4 O6:Q1048576 V1:V4 V6:V1048576 R6:R8 R14:R1048576 N1:N1048576 O1:R4 S5:V5" xr:uid="{F2EB5756-7452-4348-BF54-2C566F0C4010}">
      <formula1>"Please do not change this formula"</formula1>
    </dataValidation>
    <dataValidation type="custom" allowBlank="1" showInputMessage="1" showErrorMessage="1" error="Please do not change" sqref="R9:R13" xr:uid="{C5A6E5A9-F22D-489F-8BAA-3EAFBD6B3935}">
      <formula1>"Please do not change"</formula1>
    </dataValidation>
    <dataValidation type="custom" allowBlank="1" showInputMessage="1" showErrorMessage="1" error="Please do not change this formula" sqref="O5:R5" xr:uid="{E5627CCA-A4E0-4809-B047-638E56AF1168}">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59 S68:T76" xr:uid="{03502BCC-7A0E-425B-9484-599E6E0EC029}">
      <formula1>0</formula1>
    </dataValidation>
  </dataValidations>
  <hyperlinks>
    <hyperlink ref="I2:J2" location="GHG_FOSSIL_NG_REFORM_CCS!A1" display="Go to the summary tab of this pathway" xr:uid="{9C4AD1F2-51C6-40E7-972E-EDD2E5046E99}"/>
    <hyperlink ref="I2:K2" location="GHG_NG_REFORM_CCS!A1" display="Go to the summary GHG worksheet" xr:uid="{1DE96151-43F0-4D55-8DE5-93FA1BE297C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47" id="{00000000-000E-0000-1A00-00002E000000}">
            <xm:f>AND(Path&lt;&gt;Units!$B$90,Path&lt;&gt;Units!$B$91,Path&lt;&gt;Units!$B$92, Master_Switch="On")</xm:f>
            <x14:dxf>
              <font>
                <color theme="0"/>
              </font>
              <fill>
                <patternFill>
                  <bgColor theme="0"/>
                </patternFill>
              </fill>
              <border>
                <left/>
                <right/>
                <top/>
                <bottom/>
                <vertical/>
                <horizontal/>
              </border>
            </x14:dxf>
          </x14:cfRule>
          <xm:sqref>A2:H2 L2:XFD2 A3:XFD200</xm:sqref>
        </x14:conditionalFormatting>
        <x14:conditionalFormatting xmlns:xm="http://schemas.microsoft.com/office/excel/2006/main">
          <x14:cfRule type="expression" priority="48" id="{B712EE8E-3E59-4F20-A406-EB1AE6CB33AF}">
            <xm:f>AND(GHG_NG_REFORM_CCS!$D$7="Default",Master_Switch="On")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29" id="{E7C890C1-FE50-423F-80C7-2FE6CEFF4395}">
            <xm:f>AND(GHG_NG_REFORM_CCS!$D$8="Default",Master_Switch="On")</xm:f>
            <x14:dxf>
              <font>
                <color theme="0"/>
              </font>
              <fill>
                <patternFill>
                  <bgColor theme="0"/>
                </patternFill>
              </fill>
              <border>
                <left/>
                <right/>
                <top/>
                <bottom/>
                <vertical/>
                <horizontal/>
              </border>
            </x14:dxf>
          </x14:cfRule>
          <xm:sqref>A34:XFD43</xm:sqref>
        </x14:conditionalFormatting>
        <x14:conditionalFormatting xmlns:xm="http://schemas.microsoft.com/office/excel/2006/main">
          <x14:cfRule type="expression" priority="1" id="{DFCFED67-DCC0-4216-81A7-B945E23D7E8F}">
            <xm:f>AND(Path&lt;&gt;Units!$B$90,Path&lt;&gt;Units!$B$91,Path&lt;&gt;Units!$B$92, Path&lt;&gt;Units!$B$93,Master_Switch="On")</xm:f>
            <x14:dxf>
              <font>
                <color theme="0"/>
              </font>
              <fill>
                <patternFill>
                  <bgColor theme="0"/>
                </patternFill>
              </fill>
              <border>
                <left/>
                <right/>
                <top/>
                <bottom/>
                <vertical/>
                <horizontal/>
              </border>
            </x14:dxf>
          </x14:cfRule>
          <xm:sqref>I2:K2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EB010C9-2539-4F37-B3CB-8EA46BB97D03}">
          <x14:formula1>
            <xm:f>Units!$Z$84</xm:f>
          </x14:formula1>
          <xm:sqref>D9</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85077-07B1-4F7A-BF5E-EDD4DAE46358}">
  <sheetPr codeName="Sheet54">
    <tabColor theme="7" tint="-0.249977111117893"/>
  </sheetPr>
  <dimension ref="A1:AB262"/>
  <sheetViews>
    <sheetView showGridLines="0" zoomScaleNormal="100" workbookViewId="0">
      <pane xSplit="3" ySplit="5" topLeftCell="D73" activePane="bottomRight" state="frozen"/>
      <selection pane="bottomRight"/>
      <selection pane="bottomLeft"/>
      <selection pane="topRight"/>
    </sheetView>
  </sheetViews>
  <sheetFormatPr defaultColWidth="7.140625" defaultRowHeight="14.45"/>
  <cols>
    <col min="1" max="1" width="4.28515625" style="19" customWidth="1"/>
    <col min="2" max="2" width="23.28515625" style="19" customWidth="1"/>
    <col min="3" max="3" width="37.140625" style="19" customWidth="1"/>
    <col min="4" max="4" width="13.28515625" style="19" customWidth="1"/>
    <col min="5" max="5" width="16.42578125" style="455" customWidth="1"/>
    <col min="6" max="6" width="22" style="19" customWidth="1"/>
    <col min="7" max="7" width="18.7109375" style="19" customWidth="1"/>
    <col min="8" max="8" width="13.42578125" style="126" customWidth="1"/>
    <col min="9" max="9" width="14.140625" style="126" customWidth="1"/>
    <col min="10" max="10" width="14" style="126" customWidth="1"/>
    <col min="11" max="11" width="13.85546875" style="126" customWidth="1"/>
    <col min="12" max="13" width="13.85546875" style="13" customWidth="1"/>
    <col min="14" max="14" width="14.28515625" style="39" customWidth="1"/>
    <col min="15" max="15" width="18" customWidth="1"/>
    <col min="16" max="16" width="10.140625" style="12" customWidth="1"/>
    <col min="17" max="17" width="18.85546875" style="12" customWidth="1"/>
    <col min="18" max="18" width="17.5703125" style="12" customWidth="1"/>
    <col min="19" max="20" width="20.7109375" style="126" customWidth="1"/>
    <col min="21" max="21" width="22.7109375" style="126" customWidth="1"/>
    <col min="22" max="22" width="20.28515625" style="125" customWidth="1"/>
    <col min="23" max="23" width="16.5703125" style="19" customWidth="1"/>
    <col min="24" max="24" width="26" style="19" customWidth="1"/>
    <col min="26" max="16384" width="7.140625" style="19"/>
  </cols>
  <sheetData>
    <row r="1" spans="1:28" ht="31.9" customHeight="1">
      <c r="A1" s="80" t="str">
        <f>IF(AND(Path&lt;&gt;Units!$B$93,Master_Switch="On"),"User should not fill in this sheet, but switch to other non-blank GHG worksheets","")</f>
        <v>User should not fill in this sheet, but switch to other non-blank GHG worksheets</v>
      </c>
      <c r="E1" s="254"/>
    </row>
    <row r="2" spans="1:28" ht="20.45" customHeight="1">
      <c r="B2" s="80"/>
      <c r="E2" s="254"/>
      <c r="I2" s="739" t="s">
        <v>1031</v>
      </c>
      <c r="J2" s="737"/>
      <c r="K2" s="738"/>
      <c r="L2" s="39"/>
      <c r="M2" s="39"/>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O6" s="12"/>
      <c r="Q6" s="39"/>
    </row>
    <row r="7" spans="1:28">
      <c r="B7" s="144" t="s">
        <v>1051</v>
      </c>
      <c r="C7" s="144"/>
      <c r="D7" s="144"/>
      <c r="E7" s="322"/>
      <c r="F7" s="144"/>
      <c r="G7" s="144"/>
      <c r="H7" s="144"/>
      <c r="I7" s="144"/>
      <c r="J7" s="144"/>
      <c r="K7" s="322"/>
      <c r="L7" s="144"/>
      <c r="M7" s="144"/>
      <c r="N7" s="299"/>
      <c r="O7" s="12"/>
      <c r="Q7" s="551"/>
      <c r="S7" s="18"/>
      <c r="T7" s="18"/>
      <c r="U7" s="18"/>
      <c r="V7" s="40"/>
      <c r="Y7" s="19"/>
    </row>
    <row r="8" spans="1:28">
      <c r="B8" s="16" t="s">
        <v>1052</v>
      </c>
      <c r="C8" s="182" t="s">
        <v>1153</v>
      </c>
      <c r="D8" s="177" t="s">
        <v>425</v>
      </c>
      <c r="E8" s="35"/>
      <c r="F8" s="24"/>
      <c r="G8" s="24"/>
      <c r="H8" s="24"/>
      <c r="I8" s="24"/>
      <c r="J8" s="35"/>
      <c r="K8" s="35"/>
      <c r="L8" s="304"/>
      <c r="M8" s="304"/>
      <c r="N8" s="240">
        <f t="shared" ref="N8:N17" si="0">IF($D8="MWh/yr (LHV)",$E8,$J8*$E8*(1-$L8)/Conversion_kWh_to_MJ)</f>
        <v>0</v>
      </c>
      <c r="O8" s="12"/>
      <c r="Q8" s="550"/>
      <c r="S8" s="40"/>
      <c r="T8" s="40"/>
      <c r="U8" s="40"/>
      <c r="V8" s="40"/>
      <c r="X8" s="21"/>
      <c r="Y8" s="19"/>
    </row>
    <row r="9" spans="1:28">
      <c r="B9" s="16" t="s">
        <v>1054</v>
      </c>
      <c r="C9" s="15" t="s">
        <v>1169</v>
      </c>
      <c r="D9" s="15" t="s">
        <v>425</v>
      </c>
      <c r="E9" s="35">
        <f>Hydrogen_flow</f>
        <v>0</v>
      </c>
      <c r="F9" s="24"/>
      <c r="G9" s="24"/>
      <c r="H9" s="24"/>
      <c r="I9" s="24"/>
      <c r="J9" s="35">
        <v>120</v>
      </c>
      <c r="K9" s="35"/>
      <c r="L9" s="508">
        <v>0</v>
      </c>
      <c r="M9" s="304"/>
      <c r="N9" s="240">
        <f t="shared" si="0"/>
        <v>0</v>
      </c>
      <c r="O9" s="88" t="str">
        <f>IFERROR(N9/N8,"")</f>
        <v/>
      </c>
      <c r="Q9" s="511">
        <f>IF($D9="MWh/yr (LHV)",$E9,$E9*MAX(0, $J9*(1-$L9)-2.441*$L9)/Conversion_kWh_to_MJ)</f>
        <v>0</v>
      </c>
      <c r="R9" s="43" t="str">
        <f>IFERROR(Q9/(SUM($Q$9:$Q$13)),"")</f>
        <v/>
      </c>
      <c r="S9" s="42"/>
      <c r="T9" s="42"/>
      <c r="U9" s="42"/>
      <c r="V9" s="19"/>
      <c r="X9" s="21"/>
      <c r="Y9" s="19"/>
    </row>
    <row r="10" spans="1:28">
      <c r="B10" s="184" t="s">
        <v>1056</v>
      </c>
      <c r="C10" s="182" t="s">
        <v>1057</v>
      </c>
      <c r="D10" s="177" t="s">
        <v>447</v>
      </c>
      <c r="E10" s="35"/>
      <c r="F10" s="21"/>
      <c r="G10" s="21"/>
      <c r="H10" s="20"/>
      <c r="I10" s="33"/>
      <c r="J10" s="298"/>
      <c r="K10" s="300"/>
      <c r="L10" s="300"/>
      <c r="M10" s="300"/>
      <c r="N10" s="240">
        <f t="shared" si="0"/>
        <v>0</v>
      </c>
      <c r="O10" s="12"/>
      <c r="Q10" s="511">
        <f>IF($D10="MWh/yr (LHV)",$E10,$E10*MAX(0, $J10*(1-$L10)-2.441*$L10)/Conversion_kWh_to_MJ)</f>
        <v>0</v>
      </c>
      <c r="R10" s="43" t="str">
        <f t="shared" ref="R10:R13" si="1">IFERROR(Q10/(SUM($Q$9:$Q$13)),"")</f>
        <v/>
      </c>
      <c r="S10" s="42"/>
      <c r="T10" s="42"/>
      <c r="U10" s="42"/>
      <c r="V10" s="19"/>
      <c r="W10" s="23"/>
      <c r="X10" s="21"/>
      <c r="Y10" s="19"/>
    </row>
    <row r="11" spans="1:28">
      <c r="B11" s="184" t="s">
        <v>1056</v>
      </c>
      <c r="C11" s="182" t="s">
        <v>1170</v>
      </c>
      <c r="D11" s="177" t="s">
        <v>447</v>
      </c>
      <c r="E11" s="35"/>
      <c r="F11" s="21"/>
      <c r="G11" s="21"/>
      <c r="H11" s="20"/>
      <c r="I11" s="20"/>
      <c r="J11" s="300"/>
      <c r="K11" s="300"/>
      <c r="L11" s="300"/>
      <c r="M11" s="300"/>
      <c r="N11" s="240">
        <f t="shared" si="0"/>
        <v>0</v>
      </c>
      <c r="O11" s="12"/>
      <c r="Q11" s="511">
        <f>IF($D11="MWh/yr (LHV)",$E11,$E11*MAX(0, $J11*(1-$L11)-2.441*$L11)/Conversion_kWh_to_MJ)</f>
        <v>0</v>
      </c>
      <c r="R11" s="43" t="str">
        <f t="shared" si="1"/>
        <v/>
      </c>
      <c r="S11" s="42"/>
      <c r="T11" s="42"/>
      <c r="U11" s="42"/>
      <c r="V11" s="14"/>
      <c r="W11" s="23"/>
      <c r="X11" s="21"/>
      <c r="Y11" s="19"/>
    </row>
    <row r="12" spans="1:28">
      <c r="B12" s="184" t="s">
        <v>1056</v>
      </c>
      <c r="C12" s="182" t="s">
        <v>1059</v>
      </c>
      <c r="D12" s="177" t="s">
        <v>425</v>
      </c>
      <c r="E12" s="35"/>
      <c r="F12" s="21"/>
      <c r="G12" s="21"/>
      <c r="H12" s="20"/>
      <c r="I12" s="20"/>
      <c r="J12" s="298"/>
      <c r="K12" s="300"/>
      <c r="L12" s="300"/>
      <c r="M12" s="300"/>
      <c r="N12" s="240">
        <f t="shared" si="0"/>
        <v>0</v>
      </c>
      <c r="O12" s="12"/>
      <c r="Q12" s="511">
        <f>IF($D12="MWh/yr (LHV)",$E12,$E12*MAX(0, $J12*(1-$L12)-2.441*$L12)/Conversion_kWh_to_MJ)</f>
        <v>0</v>
      </c>
      <c r="R12" s="43" t="str">
        <f t="shared" si="1"/>
        <v/>
      </c>
      <c r="S12" s="40"/>
      <c r="T12" s="40"/>
      <c r="U12" s="40"/>
      <c r="V12" s="40"/>
      <c r="X12" s="21"/>
      <c r="Y12" s="19"/>
    </row>
    <row r="13" spans="1:28">
      <c r="B13" s="184" t="s">
        <v>1056</v>
      </c>
      <c r="C13" s="182" t="s">
        <v>1060</v>
      </c>
      <c r="D13" s="177" t="s">
        <v>425</v>
      </c>
      <c r="E13" s="35"/>
      <c r="F13" s="21"/>
      <c r="G13" s="21"/>
      <c r="H13" s="20"/>
      <c r="I13" s="20"/>
      <c r="J13" s="300"/>
      <c r="K13" s="300"/>
      <c r="L13" s="300"/>
      <c r="M13" s="300"/>
      <c r="N13" s="240">
        <f t="shared" si="0"/>
        <v>0</v>
      </c>
      <c r="O13" s="12"/>
      <c r="Q13" s="511">
        <f>IF($D13="MWh/yr (LHV)",$E13,$E13*MAX(0, $J13*(1-$L13)-2.441*$L13)/Conversion_kWh_to_MJ)</f>
        <v>0</v>
      </c>
      <c r="R13" s="43" t="str">
        <f t="shared" si="1"/>
        <v/>
      </c>
      <c r="S13" s="40"/>
      <c r="T13" s="40"/>
      <c r="U13" s="40"/>
      <c r="V13" s="40"/>
      <c r="X13" s="21"/>
      <c r="Y13" s="19"/>
    </row>
    <row r="14" spans="1:28" s="14" customFormat="1">
      <c r="B14" s="184" t="s">
        <v>1061</v>
      </c>
      <c r="C14" s="182" t="s">
        <v>1156</v>
      </c>
      <c r="D14" s="177" t="s">
        <v>425</v>
      </c>
      <c r="E14" s="35"/>
      <c r="F14" s="21"/>
      <c r="G14" s="21"/>
      <c r="H14" s="20"/>
      <c r="I14" s="20"/>
      <c r="J14" s="300"/>
      <c r="K14" s="300"/>
      <c r="L14" s="300"/>
      <c r="M14" s="300"/>
      <c r="N14" s="240">
        <f t="shared" si="0"/>
        <v>0</v>
      </c>
      <c r="O14" s="12"/>
      <c r="P14" s="12"/>
      <c r="Q14" s="12"/>
      <c r="R14" s="12"/>
      <c r="S14" s="113"/>
      <c r="T14" s="113"/>
      <c r="U14" s="113"/>
      <c r="V14" s="19"/>
      <c r="W14" s="23"/>
      <c r="X14" s="21"/>
      <c r="Y14" s="23"/>
      <c r="Z14" s="42"/>
      <c r="AB14" s="19"/>
    </row>
    <row r="15" spans="1:28" s="14" customFormat="1">
      <c r="B15" s="184" t="s">
        <v>1061</v>
      </c>
      <c r="C15" s="182" t="s">
        <v>1063</v>
      </c>
      <c r="D15" s="177" t="s">
        <v>425</v>
      </c>
      <c r="E15" s="35"/>
      <c r="F15" s="21"/>
      <c r="G15" s="21"/>
      <c r="H15" s="20"/>
      <c r="I15" s="20"/>
      <c r="J15" s="300"/>
      <c r="K15" s="300"/>
      <c r="L15" s="300"/>
      <c r="M15" s="300"/>
      <c r="N15" s="240">
        <f t="shared" si="0"/>
        <v>0</v>
      </c>
      <c r="O15" s="12"/>
      <c r="P15" s="12"/>
      <c r="Q15" s="12"/>
      <c r="R15" s="12"/>
      <c r="S15" s="113"/>
      <c r="T15" s="113"/>
      <c r="U15" s="113"/>
      <c r="V15" s="19"/>
      <c r="W15" s="23"/>
      <c r="X15" s="21"/>
      <c r="Y15" s="23"/>
      <c r="Z15" s="42"/>
      <c r="AB15" s="19"/>
    </row>
    <row r="16" spans="1:28" s="14" customFormat="1">
      <c r="B16" s="184" t="s">
        <v>1064</v>
      </c>
      <c r="C16" s="182" t="s">
        <v>1065</v>
      </c>
      <c r="D16" s="177" t="s">
        <v>425</v>
      </c>
      <c r="E16" s="35"/>
      <c r="F16" s="21"/>
      <c r="G16" s="21"/>
      <c r="H16" s="20"/>
      <c r="I16" s="36"/>
      <c r="J16" s="298"/>
      <c r="K16" s="300"/>
      <c r="L16" s="300"/>
      <c r="M16" s="300"/>
      <c r="N16" s="240">
        <f t="shared" si="0"/>
        <v>0</v>
      </c>
      <c r="O16" s="12"/>
      <c r="P16" s="12"/>
      <c r="Q16" s="12"/>
      <c r="R16" s="12"/>
      <c r="S16" s="113"/>
      <c r="T16" s="113"/>
      <c r="U16" s="113"/>
      <c r="V16" s="19"/>
      <c r="X16" s="21"/>
    </row>
    <row r="17" spans="2:25" s="14" customFormat="1">
      <c r="B17" s="184" t="s">
        <v>1064</v>
      </c>
      <c r="C17" s="182" t="s">
        <v>1066</v>
      </c>
      <c r="D17" s="177" t="s">
        <v>425</v>
      </c>
      <c r="E17" s="35"/>
      <c r="F17" s="21"/>
      <c r="G17" s="21"/>
      <c r="H17" s="20"/>
      <c r="I17" s="36"/>
      <c r="J17" s="298"/>
      <c r="K17" s="300"/>
      <c r="L17" s="300"/>
      <c r="M17" s="300"/>
      <c r="N17" s="240">
        <f t="shared" si="0"/>
        <v>0</v>
      </c>
      <c r="O17" s="12"/>
      <c r="P17" s="12"/>
      <c r="Q17" s="12"/>
      <c r="R17" s="12"/>
      <c r="S17" s="113"/>
      <c r="T17" s="113"/>
      <c r="U17" s="113"/>
      <c r="V17" s="19"/>
      <c r="X17" s="21"/>
    </row>
    <row r="18" spans="2:25">
      <c r="B18" s="78"/>
      <c r="C18" s="260"/>
      <c r="D18" s="78"/>
      <c r="E18" s="478"/>
      <c r="F18" s="259"/>
      <c r="G18" s="79"/>
      <c r="H18" s="258"/>
      <c r="I18" s="258"/>
      <c r="J18" s="478"/>
      <c r="K18" s="252"/>
      <c r="L18" s="73"/>
      <c r="M18" s="73"/>
      <c r="N18" s="73"/>
      <c r="O18" s="12"/>
      <c r="S18" s="40"/>
      <c r="T18" s="40"/>
      <c r="U18" s="40"/>
      <c r="V18" s="40"/>
      <c r="X18" s="259"/>
      <c r="Y18" s="19"/>
    </row>
    <row r="19" spans="2:25" ht="30.95">
      <c r="B19" s="80" t="str">
        <f>IF(AND(GHG_NG_REFORM_CCS!$D$7="Default",Master_Switch="On"),"Default data selected for the emissions category below, move to the next emissions category within this step","")</f>
        <v/>
      </c>
      <c r="C19" s="260"/>
      <c r="D19" s="78"/>
      <c r="E19" s="478"/>
      <c r="F19" s="259"/>
      <c r="G19" s="79"/>
      <c r="H19" s="258"/>
      <c r="I19" s="258"/>
      <c r="J19" s="478"/>
      <c r="K19" s="252"/>
      <c r="L19" s="73"/>
      <c r="M19" s="73"/>
      <c r="N19" s="73"/>
      <c r="O19" s="12"/>
      <c r="S19" s="40"/>
      <c r="T19" s="40"/>
      <c r="U19" s="40"/>
      <c r="V19" s="40"/>
      <c r="X19" s="259"/>
      <c r="Y19" s="19"/>
    </row>
    <row r="20" spans="2:25">
      <c r="B20" s="144" t="s">
        <v>1171</v>
      </c>
      <c r="C20" s="257"/>
      <c r="D20" s="257"/>
      <c r="E20" s="490"/>
      <c r="F20" s="256"/>
      <c r="G20" s="255"/>
      <c r="H20" s="150"/>
      <c r="I20" s="150"/>
      <c r="J20" s="490"/>
      <c r="K20" s="487"/>
      <c r="L20" s="488"/>
      <c r="M20" s="488"/>
      <c r="N20" s="487"/>
      <c r="O20" s="150"/>
      <c r="P20" s="151"/>
      <c r="Q20" s="151"/>
      <c r="R20" s="151"/>
      <c r="S20" s="476"/>
      <c r="T20" s="482"/>
      <c r="U20" s="476"/>
      <c r="V20" s="152">
        <f>SUM(V21:V30)</f>
        <v>0</v>
      </c>
      <c r="Y20" s="19"/>
    </row>
    <row r="21" spans="2:25">
      <c r="B21" s="184" t="s">
        <v>1069</v>
      </c>
      <c r="C21" s="182" t="s">
        <v>1172</v>
      </c>
      <c r="D21" s="177" t="s">
        <v>447</v>
      </c>
      <c r="E21" s="35"/>
      <c r="F21" s="24"/>
      <c r="G21" s="24"/>
      <c r="H21" s="24"/>
      <c r="I21" s="24"/>
      <c r="J21" s="301"/>
      <c r="K21" s="35"/>
      <c r="L21" s="304"/>
      <c r="M21" s="304"/>
      <c r="N21" s="240">
        <f t="shared" ref="N21:N30" si="2">IF($D21="MWh/yr (LHV)",$E21,$J21*$E21*(1-$L21)/Conversion_kWh_to_MJ)</f>
        <v>0</v>
      </c>
      <c r="O21" s="12"/>
      <c r="S21" s="35" t="str">
        <f t="shared" ref="S21:S30" si="3">IF(B21="", "", IF(D21="MWh/yr (LHV)", "Use column to right", "Enter data here"))</f>
        <v>Use column to right</v>
      </c>
      <c r="T21" s="298" t="e">
        <f>Initial_questions!$E$43*1/Conversion_kWh_to_MJ</f>
        <v>#VALUE!</v>
      </c>
      <c r="U21" s="298" t="s">
        <v>1110</v>
      </c>
      <c r="V21" s="241" t="str">
        <f t="shared" ref="V21:V30" si="4">IFERROR(IF(D21="tonnes/yr", $S21*$E21/($N$9*3.6), $T21*$E21*3.6/($N$9*3.6)), "Unfilled fields to left")</f>
        <v>Unfilled fields to left</v>
      </c>
      <c r="X21" s="21"/>
      <c r="Y21" s="19"/>
    </row>
    <row r="22" spans="2:25">
      <c r="B22" s="184" t="s">
        <v>1069</v>
      </c>
      <c r="C22" s="182" t="s">
        <v>1173</v>
      </c>
      <c r="D22" s="177" t="s">
        <v>447</v>
      </c>
      <c r="E22" s="35"/>
      <c r="F22" s="24"/>
      <c r="G22" s="24"/>
      <c r="H22" s="24"/>
      <c r="I22" s="24"/>
      <c r="J22" s="298"/>
      <c r="K22" s="298"/>
      <c r="L22" s="300"/>
      <c r="M22" s="300"/>
      <c r="N22" s="240">
        <f t="shared" si="2"/>
        <v>0</v>
      </c>
      <c r="O22" s="12"/>
      <c r="S22" s="35" t="str">
        <f t="shared" si="3"/>
        <v>Use column to right</v>
      </c>
      <c r="T22" s="298" t="e">
        <f>Initial_questions!$E$43*1/Conversion_kWh_to_MJ</f>
        <v>#VALUE!</v>
      </c>
      <c r="U22" s="298" t="s">
        <v>1110</v>
      </c>
      <c r="V22" s="355" t="str">
        <f t="shared" si="4"/>
        <v>Unfilled fields to left</v>
      </c>
      <c r="X22" s="25"/>
      <c r="Y22" s="19"/>
    </row>
    <row r="23" spans="2:25">
      <c r="B23" s="184" t="s">
        <v>1069</v>
      </c>
      <c r="C23" s="182" t="s">
        <v>1174</v>
      </c>
      <c r="D23" s="177" t="s">
        <v>447</v>
      </c>
      <c r="E23" s="35"/>
      <c r="F23" s="24"/>
      <c r="G23" s="24"/>
      <c r="H23" s="24"/>
      <c r="I23" s="24"/>
      <c r="J23" s="298"/>
      <c r="K23" s="298"/>
      <c r="L23" s="300"/>
      <c r="M23" s="300"/>
      <c r="N23" s="240">
        <f t="shared" si="2"/>
        <v>0</v>
      </c>
      <c r="O23" s="55"/>
      <c r="S23" s="35" t="str">
        <f t="shared" si="3"/>
        <v>Use column to right</v>
      </c>
      <c r="T23" s="298" t="e">
        <f>Initial_questions!$E$43*1/Conversion_kWh_to_MJ</f>
        <v>#VALUE!</v>
      </c>
      <c r="U23" s="298" t="s">
        <v>1110</v>
      </c>
      <c r="V23" s="355" t="str">
        <f t="shared" si="4"/>
        <v>Unfilled fields to left</v>
      </c>
      <c r="X23" s="25"/>
      <c r="Y23" s="19"/>
    </row>
    <row r="24" spans="2:25">
      <c r="B24" s="184" t="s">
        <v>1069</v>
      </c>
      <c r="C24" s="182" t="s">
        <v>1087</v>
      </c>
      <c r="D24" s="177" t="s">
        <v>447</v>
      </c>
      <c r="E24" s="35"/>
      <c r="F24" s="82"/>
      <c r="G24" s="21"/>
      <c r="H24" s="20"/>
      <c r="I24" s="36"/>
      <c r="J24" s="298"/>
      <c r="K24" s="300"/>
      <c r="L24" s="304"/>
      <c r="M24" s="304"/>
      <c r="N24" s="240">
        <f t="shared" si="2"/>
        <v>0</v>
      </c>
      <c r="O24" s="19"/>
      <c r="P24" s="19"/>
      <c r="Q24" s="19"/>
      <c r="R24" s="19"/>
      <c r="S24" s="35" t="str">
        <f t="shared" si="3"/>
        <v>Use column to right</v>
      </c>
      <c r="T24" s="35" t="str">
        <f t="shared" ref="T24:T30" si="5">IF(B24="", "", IF(D24="MWh/yr (LHV)", "Enter data here", "Use column to left"))</f>
        <v>Enter data here</v>
      </c>
      <c r="U24" s="35" t="s">
        <v>1185</v>
      </c>
      <c r="V24" s="355" t="str">
        <f t="shared" si="4"/>
        <v>Unfilled fields to left</v>
      </c>
      <c r="X24" s="25"/>
      <c r="Y24" s="19"/>
    </row>
    <row r="25" spans="2:25">
      <c r="B25" s="184" t="s">
        <v>1069</v>
      </c>
      <c r="C25" s="182" t="s">
        <v>1089</v>
      </c>
      <c r="D25" s="177" t="s">
        <v>447</v>
      </c>
      <c r="E25" s="35"/>
      <c r="F25" s="21"/>
      <c r="G25" s="21"/>
      <c r="H25" s="20"/>
      <c r="I25" s="36"/>
      <c r="J25" s="298"/>
      <c r="K25" s="300"/>
      <c r="L25" s="304"/>
      <c r="M25" s="304"/>
      <c r="N25" s="240">
        <f t="shared" si="2"/>
        <v>0</v>
      </c>
      <c r="O25" s="19"/>
      <c r="P25" s="19"/>
      <c r="Q25" s="19"/>
      <c r="R25" s="19"/>
      <c r="S25" s="35" t="str">
        <f t="shared" si="3"/>
        <v>Use column to right</v>
      </c>
      <c r="T25" s="35" t="str">
        <f t="shared" si="5"/>
        <v>Enter data here</v>
      </c>
      <c r="U25" s="35" t="s">
        <v>1185</v>
      </c>
      <c r="V25" s="355" t="str">
        <f t="shared" si="4"/>
        <v>Unfilled fields to left</v>
      </c>
      <c r="X25" s="25"/>
      <c r="Y25" s="19"/>
    </row>
    <row r="26" spans="2:25">
      <c r="B26" s="184" t="s">
        <v>1090</v>
      </c>
      <c r="C26" s="182" t="s">
        <v>1091</v>
      </c>
      <c r="D26" s="177" t="s">
        <v>425</v>
      </c>
      <c r="E26" s="35"/>
      <c r="F26" s="21"/>
      <c r="G26" s="21"/>
      <c r="H26" s="21"/>
      <c r="I26" s="21"/>
      <c r="J26" s="304"/>
      <c r="K26" s="304"/>
      <c r="L26" s="300"/>
      <c r="M26" s="300"/>
      <c r="N26" s="240">
        <f t="shared" si="2"/>
        <v>0</v>
      </c>
      <c r="O26" s="19"/>
      <c r="P26" s="19"/>
      <c r="Q26" s="19"/>
      <c r="R26" s="19"/>
      <c r="S26" s="35" t="str">
        <f t="shared" si="3"/>
        <v>Enter data here</v>
      </c>
      <c r="T26" s="35" t="str">
        <f t="shared" si="5"/>
        <v>Use column to left</v>
      </c>
      <c r="U26" s="35" t="s">
        <v>1185</v>
      </c>
      <c r="V26" s="355" t="str">
        <f t="shared" si="4"/>
        <v>Unfilled fields to left</v>
      </c>
      <c r="X26" s="21"/>
      <c r="Y26" s="19"/>
    </row>
    <row r="27" spans="2:25">
      <c r="B27" s="184" t="s">
        <v>1090</v>
      </c>
      <c r="C27" s="182" t="s">
        <v>1093</v>
      </c>
      <c r="D27" s="177" t="s">
        <v>425</v>
      </c>
      <c r="E27" s="35"/>
      <c r="F27" s="21"/>
      <c r="G27" s="21"/>
      <c r="H27" s="21"/>
      <c r="I27" s="21"/>
      <c r="J27" s="304"/>
      <c r="K27" s="304"/>
      <c r="L27" s="300"/>
      <c r="M27" s="300"/>
      <c r="N27" s="240">
        <f t="shared" si="2"/>
        <v>0</v>
      </c>
      <c r="O27" s="19"/>
      <c r="P27" s="19"/>
      <c r="Q27" s="19"/>
      <c r="R27" s="19"/>
      <c r="S27" s="35" t="str">
        <f t="shared" si="3"/>
        <v>Enter data here</v>
      </c>
      <c r="T27" s="35" t="str">
        <f t="shared" si="5"/>
        <v>Use column to left</v>
      </c>
      <c r="U27" s="35" t="s">
        <v>1185</v>
      </c>
      <c r="V27" s="355" t="str">
        <f t="shared" si="4"/>
        <v>Unfilled fields to left</v>
      </c>
      <c r="X27" s="21"/>
      <c r="Y27" s="19"/>
    </row>
    <row r="28" spans="2:25">
      <c r="B28" s="184" t="s">
        <v>1090</v>
      </c>
      <c r="C28" s="182" t="s">
        <v>1094</v>
      </c>
      <c r="D28" s="177" t="s">
        <v>425</v>
      </c>
      <c r="E28" s="35"/>
      <c r="F28" s="21"/>
      <c r="G28" s="21"/>
      <c r="H28" s="21"/>
      <c r="I28" s="21"/>
      <c r="J28" s="304"/>
      <c r="K28" s="304"/>
      <c r="L28" s="300"/>
      <c r="M28" s="300"/>
      <c r="N28" s="240">
        <f t="shared" si="2"/>
        <v>0</v>
      </c>
      <c r="O28" s="19"/>
      <c r="P28" s="19"/>
      <c r="Q28" s="19"/>
      <c r="R28" s="19"/>
      <c r="S28" s="35" t="str">
        <f t="shared" si="3"/>
        <v>Enter data here</v>
      </c>
      <c r="T28" s="35" t="str">
        <f t="shared" si="5"/>
        <v>Use column to left</v>
      </c>
      <c r="U28" s="35" t="s">
        <v>1185</v>
      </c>
      <c r="V28" s="355" t="str">
        <f t="shared" si="4"/>
        <v>Unfilled fields to left</v>
      </c>
      <c r="X28" s="21"/>
      <c r="Y28" s="19"/>
    </row>
    <row r="29" spans="2:25">
      <c r="B29" s="16"/>
      <c r="C29" s="15"/>
      <c r="D29" s="177"/>
      <c r="E29" s="35"/>
      <c r="F29" s="21"/>
      <c r="G29" s="21"/>
      <c r="H29" s="20"/>
      <c r="I29" s="36"/>
      <c r="J29" s="298"/>
      <c r="K29" s="300"/>
      <c r="L29" s="300"/>
      <c r="M29" s="300"/>
      <c r="N29" s="240">
        <f t="shared" si="2"/>
        <v>0</v>
      </c>
      <c r="O29" s="19"/>
      <c r="P29" s="19"/>
      <c r="Q29" s="19"/>
      <c r="R29" s="19"/>
      <c r="S29" s="35" t="str">
        <f t="shared" si="3"/>
        <v/>
      </c>
      <c r="T29" s="35" t="str">
        <f t="shared" si="5"/>
        <v/>
      </c>
      <c r="U29" s="35"/>
      <c r="V29" s="355" t="str">
        <f t="shared" si="4"/>
        <v>Unfilled fields to left</v>
      </c>
      <c r="X29" s="25"/>
      <c r="Y29" s="19"/>
    </row>
    <row r="30" spans="2:25">
      <c r="B30" s="16"/>
      <c r="C30" s="15"/>
      <c r="D30" s="177"/>
      <c r="E30" s="35"/>
      <c r="F30" s="21"/>
      <c r="G30" s="21"/>
      <c r="H30" s="20"/>
      <c r="I30" s="36"/>
      <c r="J30" s="298"/>
      <c r="K30" s="300"/>
      <c r="L30" s="300"/>
      <c r="M30" s="300"/>
      <c r="N30" s="240">
        <f t="shared" si="2"/>
        <v>0</v>
      </c>
      <c r="O30" s="19"/>
      <c r="P30" s="19"/>
      <c r="Q30" s="19"/>
      <c r="R30" s="19"/>
      <c r="S30" s="35" t="str">
        <f t="shared" si="3"/>
        <v/>
      </c>
      <c r="T30" s="35" t="str">
        <f t="shared" si="5"/>
        <v/>
      </c>
      <c r="U30" s="35"/>
      <c r="V30" s="355" t="str">
        <f t="shared" si="4"/>
        <v>Unfilled fields to left</v>
      </c>
      <c r="X30" s="25"/>
      <c r="Y30" s="19"/>
    </row>
    <row r="31" spans="2:25">
      <c r="C31" s="260"/>
      <c r="D31" s="260"/>
      <c r="E31" s="505"/>
      <c r="F31" s="79"/>
      <c r="G31" s="79"/>
      <c r="H31" s="258"/>
      <c r="I31" s="253"/>
      <c r="J31" s="478"/>
      <c r="K31" s="252"/>
      <c r="L31" s="73"/>
      <c r="M31" s="73"/>
      <c r="N31" s="73"/>
      <c r="O31" s="12"/>
      <c r="S31" s="478"/>
      <c r="T31" s="252"/>
      <c r="U31" s="252"/>
      <c r="V31" s="252"/>
      <c r="X31" s="251"/>
      <c r="Y31" s="19"/>
    </row>
    <row r="32" spans="2:25" ht="16.5">
      <c r="B32" s="144" t="s">
        <v>1186</v>
      </c>
      <c r="C32" s="250"/>
      <c r="D32" s="250"/>
      <c r="E32" s="506"/>
      <c r="F32" s="249"/>
      <c r="G32" s="249"/>
      <c r="H32" s="248"/>
      <c r="I32" s="247"/>
      <c r="J32" s="483"/>
      <c r="K32" s="484"/>
      <c r="L32" s="472"/>
      <c r="M32" s="472"/>
      <c r="N32" s="472"/>
      <c r="O32" s="157"/>
      <c r="P32" s="157"/>
      <c r="Q32" s="157"/>
      <c r="R32" s="157"/>
      <c r="S32" s="483"/>
      <c r="T32" s="484"/>
      <c r="U32" s="484"/>
      <c r="V32" s="152">
        <f>SUM(V33:V42)</f>
        <v>0</v>
      </c>
      <c r="X32" s="251"/>
      <c r="Y32" s="19"/>
    </row>
    <row r="33" spans="2:25">
      <c r="B33" s="184" t="s">
        <v>1096</v>
      </c>
      <c r="C33" s="182" t="s">
        <v>1176</v>
      </c>
      <c r="D33" s="177" t="s">
        <v>425</v>
      </c>
      <c r="E33" s="35"/>
      <c r="F33" s="21"/>
      <c r="G33" s="21"/>
      <c r="H33" s="21"/>
      <c r="I33" s="21"/>
      <c r="J33" s="304"/>
      <c r="K33" s="304"/>
      <c r="L33" s="304"/>
      <c r="M33" s="304"/>
      <c r="N33" s="240">
        <f t="shared" ref="N33:N42" si="6">IF($D33="MWh/yr (LHV)",$E33,$J33*$E33*(1-$L33)/Conversion_kWh_to_MJ)</f>
        <v>0</v>
      </c>
      <c r="O33" s="12"/>
      <c r="S33" s="35" t="s">
        <v>1177</v>
      </c>
      <c r="T33" s="35" t="s">
        <v>1178</v>
      </c>
      <c r="U33" s="35" t="s">
        <v>1185</v>
      </c>
      <c r="V33" s="240" t="str">
        <f t="shared" ref="V33:V42" si="7">IFERROR(IF(D33="tonnes/yr", $S33*$E33/($N$9*3.6), $T33*$E33*3.6/($N$9*3.6)), "Unfilled fields to left")</f>
        <v>Unfilled fields to left</v>
      </c>
      <c r="X33" s="21"/>
      <c r="Y33" s="19"/>
    </row>
    <row r="34" spans="2:25">
      <c r="B34" s="184" t="s">
        <v>1099</v>
      </c>
      <c r="C34" s="182" t="s">
        <v>1058</v>
      </c>
      <c r="D34" s="177" t="s">
        <v>425</v>
      </c>
      <c r="E34" s="35"/>
      <c r="F34" s="21"/>
      <c r="G34" s="21"/>
      <c r="H34" s="20"/>
      <c r="I34" s="36"/>
      <c r="J34" s="298"/>
      <c r="K34" s="300"/>
      <c r="L34" s="300"/>
      <c r="M34" s="300"/>
      <c r="N34" s="240">
        <f t="shared" si="6"/>
        <v>0</v>
      </c>
      <c r="O34" s="12"/>
      <c r="S34" s="35" t="s">
        <v>1177</v>
      </c>
      <c r="T34" s="35" t="s">
        <v>1178</v>
      </c>
      <c r="U34" s="35" t="s">
        <v>1185</v>
      </c>
      <c r="V34" s="240" t="str">
        <f t="shared" si="7"/>
        <v>Unfilled fields to left</v>
      </c>
      <c r="X34" s="25"/>
      <c r="Y34" s="19"/>
    </row>
    <row r="35" spans="2:25">
      <c r="B35" s="184" t="s">
        <v>1099</v>
      </c>
      <c r="C35" s="182" t="s">
        <v>1101</v>
      </c>
      <c r="D35" s="177" t="s">
        <v>425</v>
      </c>
      <c r="E35" s="35"/>
      <c r="F35" s="21"/>
      <c r="G35" s="21"/>
      <c r="H35" s="20"/>
      <c r="I35" s="36"/>
      <c r="J35" s="298"/>
      <c r="K35" s="300"/>
      <c r="L35" s="300"/>
      <c r="M35" s="300"/>
      <c r="N35" s="240">
        <f t="shared" si="6"/>
        <v>0</v>
      </c>
      <c r="O35" s="12"/>
      <c r="S35" s="35" t="s">
        <v>1177</v>
      </c>
      <c r="T35" s="35" t="s">
        <v>1178</v>
      </c>
      <c r="U35" s="35" t="s">
        <v>1185</v>
      </c>
      <c r="V35" s="240" t="str">
        <f t="shared" si="7"/>
        <v>Unfilled fields to left</v>
      </c>
      <c r="X35" s="25"/>
      <c r="Y35" s="19"/>
    </row>
    <row r="36" spans="2:25">
      <c r="B36" s="184" t="s">
        <v>1099</v>
      </c>
      <c r="C36" s="182"/>
      <c r="D36" s="177"/>
      <c r="E36" s="35"/>
      <c r="F36" s="21"/>
      <c r="G36" s="21"/>
      <c r="H36" s="20"/>
      <c r="I36" s="36"/>
      <c r="J36" s="298"/>
      <c r="K36" s="300"/>
      <c r="L36" s="300"/>
      <c r="M36" s="300"/>
      <c r="N36" s="240">
        <f t="shared" si="6"/>
        <v>0</v>
      </c>
      <c r="O36" s="12"/>
      <c r="S36" s="35" t="s">
        <v>1177</v>
      </c>
      <c r="T36" s="35" t="s">
        <v>1178</v>
      </c>
      <c r="U36" s="35" t="s">
        <v>1185</v>
      </c>
      <c r="V36" s="240" t="str">
        <f t="shared" si="7"/>
        <v>Unfilled fields to left</v>
      </c>
      <c r="X36" s="25"/>
      <c r="Y36" s="19"/>
    </row>
    <row r="37" spans="2:25">
      <c r="B37" s="184" t="s">
        <v>1102</v>
      </c>
      <c r="C37" s="182" t="s">
        <v>1103</v>
      </c>
      <c r="D37" s="177" t="s">
        <v>425</v>
      </c>
      <c r="E37" s="35"/>
      <c r="F37" s="21"/>
      <c r="G37" s="21"/>
      <c r="H37" s="20"/>
      <c r="I37" s="36"/>
      <c r="J37" s="298"/>
      <c r="K37" s="300"/>
      <c r="L37" s="300"/>
      <c r="M37" s="300"/>
      <c r="N37" s="240">
        <f t="shared" si="6"/>
        <v>0</v>
      </c>
      <c r="O37" s="12"/>
      <c r="S37" s="35" t="s">
        <v>1177</v>
      </c>
      <c r="T37" s="35" t="s">
        <v>1178</v>
      </c>
      <c r="U37" s="35" t="s">
        <v>1185</v>
      </c>
      <c r="V37" s="240" t="str">
        <f t="shared" si="7"/>
        <v>Unfilled fields to left</v>
      </c>
      <c r="X37" s="25"/>
      <c r="Y37" s="19"/>
    </row>
    <row r="38" spans="2:25">
      <c r="B38" s="184" t="s">
        <v>1102</v>
      </c>
      <c r="C38" s="182"/>
      <c r="D38" s="177"/>
      <c r="E38" s="35"/>
      <c r="F38" s="21"/>
      <c r="G38" s="21"/>
      <c r="H38" s="20"/>
      <c r="I38" s="36"/>
      <c r="J38" s="298"/>
      <c r="K38" s="300"/>
      <c r="L38" s="300"/>
      <c r="M38" s="300"/>
      <c r="N38" s="240">
        <f t="shared" si="6"/>
        <v>0</v>
      </c>
      <c r="O38" s="12"/>
      <c r="S38" s="35" t="s">
        <v>1177</v>
      </c>
      <c r="T38" s="35" t="s">
        <v>1178</v>
      </c>
      <c r="U38" s="35" t="s">
        <v>1185</v>
      </c>
      <c r="V38" s="240" t="str">
        <f t="shared" si="7"/>
        <v>Unfilled fields to left</v>
      </c>
      <c r="X38" s="25"/>
      <c r="Y38" s="19"/>
    </row>
    <row r="39" spans="2:25">
      <c r="B39" s="16"/>
      <c r="C39" s="15"/>
      <c r="D39" s="177"/>
      <c r="E39" s="35"/>
      <c r="F39" s="21"/>
      <c r="G39" s="21"/>
      <c r="H39" s="20"/>
      <c r="I39" s="36"/>
      <c r="J39" s="298"/>
      <c r="K39" s="300"/>
      <c r="L39" s="300"/>
      <c r="M39" s="300"/>
      <c r="N39" s="240">
        <f t="shared" si="6"/>
        <v>0</v>
      </c>
      <c r="O39" s="12"/>
      <c r="S39" s="298"/>
      <c r="T39" s="300"/>
      <c r="U39" s="300"/>
      <c r="V39" s="240" t="str">
        <f t="shared" si="7"/>
        <v>Unfilled fields to left</v>
      </c>
      <c r="X39" s="25"/>
      <c r="Y39" s="19"/>
    </row>
    <row r="40" spans="2:25">
      <c r="B40" s="16"/>
      <c r="C40" s="15"/>
      <c r="D40" s="177"/>
      <c r="E40" s="35"/>
      <c r="F40" s="21"/>
      <c r="G40" s="21"/>
      <c r="H40" s="20"/>
      <c r="I40" s="36"/>
      <c r="J40" s="298"/>
      <c r="K40" s="300"/>
      <c r="L40" s="300"/>
      <c r="M40" s="300"/>
      <c r="N40" s="240">
        <f t="shared" si="6"/>
        <v>0</v>
      </c>
      <c r="O40" s="12"/>
      <c r="S40" s="298"/>
      <c r="T40" s="300"/>
      <c r="U40" s="300"/>
      <c r="V40" s="240" t="str">
        <f t="shared" si="7"/>
        <v>Unfilled fields to left</v>
      </c>
      <c r="X40" s="25"/>
      <c r="Y40" s="19"/>
    </row>
    <row r="41" spans="2:25">
      <c r="B41" s="16"/>
      <c r="C41" s="15"/>
      <c r="D41" s="177"/>
      <c r="E41" s="35"/>
      <c r="F41" s="21"/>
      <c r="G41" s="21"/>
      <c r="H41" s="20"/>
      <c r="I41" s="36"/>
      <c r="J41" s="298"/>
      <c r="K41" s="300"/>
      <c r="L41" s="300"/>
      <c r="M41" s="300"/>
      <c r="N41" s="240">
        <f t="shared" si="6"/>
        <v>0</v>
      </c>
      <c r="O41" s="12"/>
      <c r="S41" s="298"/>
      <c r="T41" s="300"/>
      <c r="U41" s="300"/>
      <c r="V41" s="240" t="str">
        <f t="shared" si="7"/>
        <v>Unfilled fields to left</v>
      </c>
      <c r="X41" s="25"/>
      <c r="Y41" s="19"/>
    </row>
    <row r="42" spans="2:25">
      <c r="B42" s="16"/>
      <c r="C42" s="15"/>
      <c r="D42" s="177"/>
      <c r="E42" s="35"/>
      <c r="F42" s="21"/>
      <c r="G42" s="21"/>
      <c r="H42" s="20"/>
      <c r="I42" s="36"/>
      <c r="J42" s="298"/>
      <c r="K42" s="300"/>
      <c r="L42" s="300"/>
      <c r="M42" s="300"/>
      <c r="N42" s="240">
        <f t="shared" si="6"/>
        <v>0</v>
      </c>
      <c r="O42" s="12"/>
      <c r="S42" s="298"/>
      <c r="T42" s="300"/>
      <c r="U42" s="300"/>
      <c r="V42" s="240" t="str">
        <f t="shared" si="7"/>
        <v>Unfilled fields to left</v>
      </c>
      <c r="X42" s="25"/>
      <c r="Y42" s="19"/>
    </row>
    <row r="43" spans="2:25">
      <c r="B43" s="14"/>
      <c r="C43" s="83"/>
      <c r="D43" s="83"/>
      <c r="E43" s="494"/>
      <c r="F43" s="84"/>
      <c r="G43" s="85"/>
      <c r="H43" s="86"/>
      <c r="I43" s="86"/>
      <c r="J43" s="87"/>
      <c r="K43" s="87"/>
      <c r="L43" s="87"/>
      <c r="M43" s="87"/>
      <c r="N43" s="87"/>
      <c r="O43" s="28"/>
      <c r="P43" s="14"/>
      <c r="Q43" s="14"/>
      <c r="R43" s="14"/>
      <c r="S43" s="87"/>
      <c r="T43" s="87"/>
      <c r="U43" s="87"/>
      <c r="V43" s="87"/>
      <c r="X43" s="246"/>
      <c r="Y43" s="19"/>
    </row>
    <row r="44" spans="2:25" s="14" customFormat="1" ht="16.5">
      <c r="B44" s="144" t="s">
        <v>1179</v>
      </c>
      <c r="C44" s="158"/>
      <c r="D44" s="158"/>
      <c r="E44" s="495"/>
      <c r="F44" s="159"/>
      <c r="G44" s="160"/>
      <c r="H44" s="159"/>
      <c r="I44" s="159"/>
      <c r="J44" s="305"/>
      <c r="K44" s="305"/>
      <c r="L44" s="472"/>
      <c r="M44" s="472"/>
      <c r="N44" s="472"/>
      <c r="O44" s="157"/>
      <c r="P44" s="157"/>
      <c r="Q44" s="157"/>
      <c r="R44" s="157"/>
      <c r="S44" s="305"/>
      <c r="T44" s="305"/>
      <c r="U44" s="305"/>
      <c r="V44" s="152">
        <f>SUM(V45:V49)</f>
        <v>0</v>
      </c>
      <c r="X44" s="79"/>
    </row>
    <row r="45" spans="2:25" s="14" customFormat="1">
      <c r="B45" s="184" t="s">
        <v>1105</v>
      </c>
      <c r="C45" s="182" t="s">
        <v>1180</v>
      </c>
      <c r="D45" s="177" t="s">
        <v>425</v>
      </c>
      <c r="E45" s="35"/>
      <c r="F45" s="24"/>
      <c r="G45" s="24"/>
      <c r="H45" s="24"/>
      <c r="I45" s="24"/>
      <c r="J45" s="35"/>
      <c r="K45" s="35"/>
      <c r="L45" s="304"/>
      <c r="M45" s="304"/>
      <c r="N45" s="240">
        <f>IF($D45="MWh/yr (LHV)",$E45,$J45*$E45*(1-$L45)/Conversion_kWh_to_MJ)</f>
        <v>0</v>
      </c>
      <c r="O45" s="12"/>
      <c r="P45" s="12"/>
      <c r="Q45" s="12"/>
      <c r="R45" s="12"/>
      <c r="S45" s="298">
        <v>1000</v>
      </c>
      <c r="T45" s="473"/>
      <c r="U45" s="35" t="s">
        <v>1158</v>
      </c>
      <c r="V45" s="240" t="str">
        <f>IFERROR(IF(D45="tonnes/yr", $S45*$E45/($N$9*3.6), $T45*$E45*3.6/($N$9*3.6)), "Unfilled fields to left")</f>
        <v>Unfilled fields to left</v>
      </c>
      <c r="W45" s="112"/>
      <c r="X45" s="21"/>
    </row>
    <row r="46" spans="2:25" s="14" customFormat="1">
      <c r="B46" s="184"/>
      <c r="C46" s="182"/>
      <c r="D46" s="177"/>
      <c r="E46" s="35"/>
      <c r="F46" s="63"/>
      <c r="G46" s="63"/>
      <c r="H46" s="63"/>
      <c r="I46" s="63"/>
      <c r="J46" s="302"/>
      <c r="K46" s="304"/>
      <c r="L46" s="304"/>
      <c r="M46" s="304"/>
      <c r="N46" s="240">
        <f>IF($D46="MWh/yr (LHV)",$E46,$J46*$E46*(1-$L46)/Conversion_kWh_to_MJ)</f>
        <v>0</v>
      </c>
      <c r="O46" s="12"/>
      <c r="P46" s="12"/>
      <c r="Q46" s="12"/>
      <c r="R46" s="12"/>
      <c r="S46" s="298"/>
      <c r="T46" s="473"/>
      <c r="U46" s="298"/>
      <c r="V46" s="240" t="str">
        <f>IFERROR(IF(D46="tonnes/yr", $S46*$E46/($N$9*3.6), $T46*$E46*3.6/($N$9*3.6)), "Unfilled fields to left")</f>
        <v>Unfilled fields to left</v>
      </c>
      <c r="X46" s="21"/>
    </row>
    <row r="47" spans="2:25" s="14" customFormat="1">
      <c r="B47" s="64"/>
      <c r="C47" s="15"/>
      <c r="D47" s="177"/>
      <c r="E47" s="35"/>
      <c r="F47" s="21"/>
      <c r="G47" s="21"/>
      <c r="H47" s="63"/>
      <c r="I47" s="63"/>
      <c r="J47" s="302"/>
      <c r="K47" s="304"/>
      <c r="L47" s="304"/>
      <c r="M47" s="304"/>
      <c r="N47" s="240">
        <f>IF($D47="MWh/yr (LHV)",$E47,$J47*$E47*(1-$L47)/Conversion_kWh_to_MJ)</f>
        <v>0</v>
      </c>
      <c r="O47" s="19"/>
      <c r="P47" s="19"/>
      <c r="Q47" s="19"/>
      <c r="R47" s="19"/>
      <c r="S47" s="306"/>
      <c r="T47" s="473"/>
      <c r="U47" s="300"/>
      <c r="V47" s="240" t="str">
        <f>IFERROR(IF(D47="tonnes/yr", $S47*$E47/($N$9*3.6), $T47*$E47*3.6/($N$9*3.6)), "Unfilled fields to left")</f>
        <v>Unfilled fields to left</v>
      </c>
      <c r="X47" s="65"/>
    </row>
    <row r="48" spans="2:25" s="14" customFormat="1">
      <c r="B48" s="64"/>
      <c r="C48" s="15"/>
      <c r="D48" s="177"/>
      <c r="E48" s="35"/>
      <c r="F48" s="21"/>
      <c r="G48" s="21"/>
      <c r="H48" s="21"/>
      <c r="I48" s="21"/>
      <c r="J48" s="304"/>
      <c r="K48" s="304"/>
      <c r="L48" s="304"/>
      <c r="M48" s="304"/>
      <c r="N48" s="240">
        <f>IF($D48="MWh/yr (LHV)",$E48,$J48*$E48*(1-$L48)/Conversion_kWh_to_MJ)</f>
        <v>0</v>
      </c>
      <c r="O48" s="19"/>
      <c r="P48" s="19"/>
      <c r="Q48" s="19"/>
      <c r="R48" s="19"/>
      <c r="S48" s="306"/>
      <c r="T48" s="473"/>
      <c r="U48" s="300"/>
      <c r="V48" s="240" t="str">
        <f>IFERROR(IF(D48="tonnes/yr", $S48*$E48/($N$9*3.6), $T48*$E48*3.6/($N$9*3.6)), "Unfilled fields to left")</f>
        <v>Unfilled fields to left</v>
      </c>
      <c r="X48" s="65"/>
    </row>
    <row r="49" spans="2:25" s="14" customFormat="1">
      <c r="B49" s="64"/>
      <c r="C49" s="15"/>
      <c r="D49" s="177"/>
      <c r="E49" s="35"/>
      <c r="F49" s="21"/>
      <c r="G49" s="21"/>
      <c r="H49" s="21"/>
      <c r="I49" s="21"/>
      <c r="J49" s="304"/>
      <c r="K49" s="304"/>
      <c r="L49" s="304"/>
      <c r="M49" s="304"/>
      <c r="N49" s="240">
        <f>IF($D49="MWh/yr (LHV)",$E49,$J49*$E49*(1-$L49)/Conversion_kWh_to_MJ)</f>
        <v>0</v>
      </c>
      <c r="O49" s="19"/>
      <c r="P49" s="19"/>
      <c r="Q49" s="19"/>
      <c r="R49" s="19"/>
      <c r="S49" s="306"/>
      <c r="T49" s="473"/>
      <c r="U49" s="300"/>
      <c r="V49" s="240" t="str">
        <f>IFERROR(IF(D49="tonnes/yr", $S49*$E49/($N$9*3.6), $T49*$E49*3.6/($N$9*3.6)), "Unfilled fields to left")</f>
        <v>Unfilled fields to left</v>
      </c>
      <c r="X49" s="65"/>
    </row>
    <row r="50" spans="2:25">
      <c r="B50" s="14"/>
      <c r="C50" s="83"/>
      <c r="D50" s="83"/>
      <c r="E50" s="494"/>
      <c r="F50" s="84"/>
      <c r="G50" s="85"/>
      <c r="H50" s="86"/>
      <c r="I50" s="86"/>
      <c r="J50" s="87"/>
      <c r="K50" s="87"/>
      <c r="L50" s="141"/>
      <c r="M50" s="141"/>
      <c r="N50" s="73"/>
      <c r="O50" s="19"/>
      <c r="P50" s="19"/>
      <c r="Q50" s="19"/>
      <c r="R50" s="19"/>
      <c r="S50" s="87"/>
      <c r="T50" s="87"/>
      <c r="U50" s="87"/>
      <c r="V50" s="87"/>
      <c r="X50" s="246"/>
      <c r="Y50" s="19"/>
    </row>
    <row r="51" spans="2:25">
      <c r="B51" s="144" t="s">
        <v>1187</v>
      </c>
      <c r="C51" s="250"/>
      <c r="D51" s="250"/>
      <c r="E51" s="506"/>
      <c r="F51" s="249"/>
      <c r="G51" s="249"/>
      <c r="H51" s="248"/>
      <c r="I51" s="247"/>
      <c r="J51" s="483"/>
      <c r="K51" s="484"/>
      <c r="L51" s="472"/>
      <c r="M51" s="472"/>
      <c r="N51" s="472"/>
      <c r="O51" s="157"/>
      <c r="P51" s="157"/>
      <c r="Q51" s="157"/>
      <c r="R51" s="157"/>
      <c r="S51" s="483"/>
      <c r="T51" s="484"/>
      <c r="U51" s="484"/>
      <c r="V51" s="152">
        <f>SUM(V52:V58)</f>
        <v>0</v>
      </c>
      <c r="X51" s="251"/>
      <c r="Y51" s="19"/>
    </row>
    <row r="52" spans="2:25" s="14" customFormat="1">
      <c r="B52" s="184" t="s">
        <v>1069</v>
      </c>
      <c r="C52" s="182" t="s">
        <v>1109</v>
      </c>
      <c r="D52" s="177" t="s">
        <v>447</v>
      </c>
      <c r="E52" s="35"/>
      <c r="F52" s="24"/>
      <c r="G52" s="24"/>
      <c r="H52" s="24"/>
      <c r="I52" s="316"/>
      <c r="J52" s="298"/>
      <c r="K52" s="298"/>
      <c r="L52" s="304"/>
      <c r="M52" s="304"/>
      <c r="N52" s="240">
        <f t="shared" ref="N52:N57" si="8">IF($D52="MWh/yr (LHV)",$E52,$J52*$E52*(1-$L52)/Conversion_kWh_to_MJ)</f>
        <v>0</v>
      </c>
      <c r="O52" s="19"/>
      <c r="P52" s="19"/>
      <c r="Q52" s="19"/>
      <c r="R52" s="19"/>
      <c r="S52" s="298" t="str">
        <f t="shared" ref="S52:S57" si="9">IF(B52="", "", IF(D52="MWh/yr (LHV)", "Use column to right", "Enter data here"))</f>
        <v>Use column to right</v>
      </c>
      <c r="T52" s="298" t="e">
        <f>Initial_questions!$E$43*1/Conversion_kWh_to_MJ</f>
        <v>#VALUE!</v>
      </c>
      <c r="U52" s="35" t="s">
        <v>1110</v>
      </c>
      <c r="V52" s="240" t="str">
        <f t="shared" ref="V52:V57" si="10">IFERROR(IF(D52="tonnes/yr", $S52*$E52/($N$9*3.6), $T52*$E52*3.6/($N$9*3.6)), "Unfilled fields to left")</f>
        <v>Unfilled fields to left</v>
      </c>
      <c r="X52" s="21"/>
    </row>
    <row r="53" spans="2:25" s="14" customFormat="1">
      <c r="B53" s="184" t="s">
        <v>1069</v>
      </c>
      <c r="C53" s="182" t="s">
        <v>1111</v>
      </c>
      <c r="D53" s="177" t="s">
        <v>447</v>
      </c>
      <c r="E53" s="35"/>
      <c r="F53" s="24"/>
      <c r="G53" s="24"/>
      <c r="H53" s="24"/>
      <c r="I53" s="24"/>
      <c r="J53" s="298"/>
      <c r="K53" s="298"/>
      <c r="L53" s="304"/>
      <c r="M53" s="304"/>
      <c r="N53" s="240">
        <f t="shared" si="8"/>
        <v>0</v>
      </c>
      <c r="O53" s="19"/>
      <c r="P53" s="19"/>
      <c r="Q53" s="19"/>
      <c r="R53" s="19"/>
      <c r="S53" s="298" t="str">
        <f t="shared" si="9"/>
        <v>Use column to right</v>
      </c>
      <c r="T53" s="298" t="e">
        <f>INDEX(Proj_grid_intensity_kWh,MATCH(Operations_year,Proj_grid_year,0))/Conversion_kWh_to_MJ</f>
        <v>#N/A</v>
      </c>
      <c r="U53" s="35" t="s">
        <v>1112</v>
      </c>
      <c r="V53" s="240" t="str">
        <f t="shared" si="10"/>
        <v>Unfilled fields to left</v>
      </c>
      <c r="X53" s="65"/>
    </row>
    <row r="54" spans="2:25" s="14" customFormat="1">
      <c r="B54" s="184" t="s">
        <v>1069</v>
      </c>
      <c r="C54" s="182" t="s">
        <v>1113</v>
      </c>
      <c r="D54" s="177" t="s">
        <v>425</v>
      </c>
      <c r="E54" s="35"/>
      <c r="F54" s="24"/>
      <c r="G54" s="24"/>
      <c r="H54" s="24"/>
      <c r="I54" s="24"/>
      <c r="J54" s="298"/>
      <c r="K54" s="298"/>
      <c r="L54" s="304"/>
      <c r="M54" s="304"/>
      <c r="N54" s="240">
        <f t="shared" si="8"/>
        <v>0</v>
      </c>
      <c r="O54" s="19"/>
      <c r="P54" s="19"/>
      <c r="Q54" s="19"/>
      <c r="R54" s="19"/>
      <c r="S54" s="298" t="str">
        <f t="shared" si="9"/>
        <v>Enter data here</v>
      </c>
      <c r="T54" s="298" t="str">
        <f>IF(B54="", "", IF(D54="MWh/yr (LHV)", "Enter data here", "Use column to left"))</f>
        <v>Use column to left</v>
      </c>
      <c r="U54" s="35" t="s">
        <v>1114</v>
      </c>
      <c r="V54" s="240" t="str">
        <f t="shared" si="10"/>
        <v>Unfilled fields to left</v>
      </c>
      <c r="X54" s="65"/>
    </row>
    <row r="55" spans="2:25">
      <c r="B55" s="184" t="s">
        <v>1069</v>
      </c>
      <c r="C55" s="182" t="s">
        <v>1115</v>
      </c>
      <c r="D55" s="177" t="s">
        <v>425</v>
      </c>
      <c r="E55" s="35"/>
      <c r="F55" s="21"/>
      <c r="G55" s="21"/>
      <c r="H55" s="21"/>
      <c r="I55" s="21"/>
      <c r="J55" s="304"/>
      <c r="K55" s="304"/>
      <c r="L55" s="304"/>
      <c r="M55" s="304"/>
      <c r="N55" s="240">
        <f t="shared" si="8"/>
        <v>0</v>
      </c>
      <c r="O55" s="12"/>
      <c r="S55" s="298" t="str">
        <f t="shared" si="9"/>
        <v>Enter data here</v>
      </c>
      <c r="T55" s="298" t="str">
        <f>IF(B55="", "", IF(D55="MWh/yr (LHV)", "Enter data here", "Use column to left"))</f>
        <v>Use column to left</v>
      </c>
      <c r="U55" s="35" t="s">
        <v>1114</v>
      </c>
      <c r="V55" s="240" t="str">
        <f t="shared" si="10"/>
        <v>Unfilled fields to left</v>
      </c>
      <c r="X55" s="21"/>
      <c r="Y55" s="19"/>
    </row>
    <row r="56" spans="2:25">
      <c r="B56" s="184" t="s">
        <v>1069</v>
      </c>
      <c r="C56" s="182" t="s">
        <v>1116</v>
      </c>
      <c r="D56" s="177" t="s">
        <v>447</v>
      </c>
      <c r="E56" s="35"/>
      <c r="F56" s="21"/>
      <c r="G56" s="21"/>
      <c r="H56" s="21"/>
      <c r="I56" s="21"/>
      <c r="J56" s="304"/>
      <c r="K56" s="304"/>
      <c r="L56" s="304"/>
      <c r="M56" s="304"/>
      <c r="N56" s="240">
        <f t="shared" si="8"/>
        <v>0</v>
      </c>
      <c r="O56" s="12"/>
      <c r="S56" s="298" t="str">
        <f t="shared" si="9"/>
        <v>Use column to right</v>
      </c>
      <c r="T56" s="298" t="e">
        <f>INDEX(Proj_grid_intensity_kWh,MATCH(Operations_year,Proj_grid_year,0))/Conversion_kWh_to_MJ</f>
        <v>#N/A</v>
      </c>
      <c r="U56" s="35" t="s">
        <v>1112</v>
      </c>
      <c r="V56" s="240" t="str">
        <f t="shared" ref="V56" si="11">IFERROR(IF(D56="tonnes/yr", $S56*$E56/($N$9*3.6), $T56*$E56*3.6/($N$9*3.6)), "Unfilled fields to left")</f>
        <v>Unfilled fields to left</v>
      </c>
      <c r="X56" s="21"/>
      <c r="Y56" s="19"/>
    </row>
    <row r="57" spans="2:25">
      <c r="B57" s="184"/>
      <c r="C57" s="182"/>
      <c r="D57" s="177"/>
      <c r="E57" s="35"/>
      <c r="F57" s="21"/>
      <c r="G57" s="21"/>
      <c r="H57" s="21"/>
      <c r="I57" s="21"/>
      <c r="J57" s="304"/>
      <c r="K57" s="304"/>
      <c r="L57" s="304"/>
      <c r="M57" s="304"/>
      <c r="N57" s="240">
        <f t="shared" si="8"/>
        <v>0</v>
      </c>
      <c r="O57" s="12"/>
      <c r="S57" s="298" t="str">
        <f t="shared" si="9"/>
        <v/>
      </c>
      <c r="T57" s="298"/>
      <c r="U57" s="35"/>
      <c r="V57" s="240" t="str">
        <f t="shared" si="10"/>
        <v>Unfilled fields to left</v>
      </c>
      <c r="X57" s="21"/>
      <c r="Y57" s="19"/>
    </row>
    <row r="58" spans="2:25">
      <c r="B58" s="14"/>
      <c r="C58" s="83"/>
      <c r="D58" s="83"/>
      <c r="E58" s="494"/>
      <c r="F58" s="84"/>
      <c r="G58" s="85"/>
      <c r="H58" s="86"/>
      <c r="I58" s="86"/>
      <c r="J58" s="87"/>
      <c r="K58" s="87"/>
      <c r="L58" s="141"/>
      <c r="M58" s="141"/>
      <c r="N58" s="73"/>
      <c r="O58" s="19"/>
      <c r="P58" s="19"/>
      <c r="Q58" s="19"/>
      <c r="R58" s="19"/>
      <c r="S58" s="87"/>
      <c r="T58" s="87"/>
      <c r="U58" s="87"/>
      <c r="V58" s="87"/>
      <c r="X58" s="246"/>
      <c r="Y58" s="19"/>
    </row>
    <row r="59" spans="2:25">
      <c r="B59" s="144" t="s">
        <v>1188</v>
      </c>
      <c r="C59" s="250"/>
      <c r="D59" s="250"/>
      <c r="E59" s="506"/>
      <c r="F59" s="249"/>
      <c r="G59" s="249"/>
      <c r="H59" s="248"/>
      <c r="I59" s="247"/>
      <c r="J59" s="483"/>
      <c r="K59" s="484"/>
      <c r="L59" s="472"/>
      <c r="M59" s="472"/>
      <c r="N59" s="472"/>
      <c r="O59" s="157"/>
      <c r="P59" s="157"/>
      <c r="Q59" s="157"/>
      <c r="R59" s="157"/>
      <c r="S59" s="483"/>
      <c r="T59" s="484"/>
      <c r="U59" s="484"/>
      <c r="V59" s="152">
        <f>SUM(V60:V67)</f>
        <v>0</v>
      </c>
      <c r="X59" s="251"/>
      <c r="Y59" s="19"/>
    </row>
    <row r="60" spans="2:25" s="14" customFormat="1">
      <c r="B60" s="184" t="s">
        <v>1069</v>
      </c>
      <c r="C60" s="182" t="s">
        <v>1189</v>
      </c>
      <c r="D60" s="177" t="s">
        <v>447</v>
      </c>
      <c r="E60" s="35"/>
      <c r="F60" s="24"/>
      <c r="G60" s="24"/>
      <c r="H60" s="24"/>
      <c r="I60" s="316"/>
      <c r="J60" s="298"/>
      <c r="K60" s="298"/>
      <c r="L60" s="304"/>
      <c r="M60" s="304"/>
      <c r="N60" s="240">
        <f t="shared" ref="N60:N67" si="12">IF($D60="MWh/yr (LHV)",$E60,$J60*$E60*(1-$L60)/Conversion_kWh_to_MJ)</f>
        <v>0</v>
      </c>
      <c r="O60" s="19"/>
      <c r="P60" s="19"/>
      <c r="Q60" s="19"/>
      <c r="R60" s="19"/>
      <c r="S60" s="298" t="str">
        <f t="shared" ref="S60:S66" si="13">IF(B60="", "", IF(D60="MWh/yr (LHV)", "Use column to right", "Enter data here"))</f>
        <v>Use column to right</v>
      </c>
      <c r="T60" s="298" t="e">
        <f>Initial_questions!$E$43*1/Conversion_kWh_to_MJ</f>
        <v>#VALUE!</v>
      </c>
      <c r="U60" s="35" t="s">
        <v>1110</v>
      </c>
      <c r="V60" s="240" t="str">
        <f t="shared" ref="V60:V67" si="14">IFERROR(IF(D60="tonnes/yr", $S60*$E60/($N$9*3.6), $T60*$E60*3.6/($N$9*3.6)), "Unfilled fields to left")</f>
        <v>Unfilled fields to left</v>
      </c>
      <c r="X60" s="21"/>
    </row>
    <row r="61" spans="2:25" s="14" customFormat="1">
      <c r="B61" s="184" t="s">
        <v>1069</v>
      </c>
      <c r="C61" s="182" t="s">
        <v>1190</v>
      </c>
      <c r="D61" s="177" t="s">
        <v>447</v>
      </c>
      <c r="E61" s="35"/>
      <c r="F61" s="24"/>
      <c r="G61" s="24"/>
      <c r="H61" s="24"/>
      <c r="I61" s="24"/>
      <c r="J61" s="298"/>
      <c r="K61" s="298"/>
      <c r="L61" s="304"/>
      <c r="M61" s="304"/>
      <c r="N61" s="240">
        <f t="shared" si="12"/>
        <v>0</v>
      </c>
      <c r="O61" s="19"/>
      <c r="P61" s="19"/>
      <c r="Q61" s="19"/>
      <c r="R61" s="19"/>
      <c r="S61" s="298" t="str">
        <f t="shared" si="13"/>
        <v>Use column to right</v>
      </c>
      <c r="T61" s="298" t="e">
        <f>INDEX(Proj_grid_intensity_kWh,MATCH(Operations_year,Proj_grid_year,0))/Conversion_kWh_to_MJ</f>
        <v>#N/A</v>
      </c>
      <c r="U61" s="35" t="s">
        <v>1112</v>
      </c>
      <c r="V61" s="240" t="str">
        <f t="shared" si="14"/>
        <v>Unfilled fields to left</v>
      </c>
      <c r="X61" s="65"/>
    </row>
    <row r="62" spans="2:25" s="14" customFormat="1">
      <c r="B62" s="184" t="s">
        <v>1069</v>
      </c>
      <c r="C62" s="182" t="s">
        <v>1191</v>
      </c>
      <c r="D62" s="177" t="s">
        <v>425</v>
      </c>
      <c r="E62" s="35"/>
      <c r="F62" s="24"/>
      <c r="G62" s="24"/>
      <c r="H62" s="24"/>
      <c r="I62" s="24"/>
      <c r="J62" s="298"/>
      <c r="K62" s="298"/>
      <c r="L62" s="304"/>
      <c r="M62" s="304"/>
      <c r="N62" s="240">
        <f t="shared" si="12"/>
        <v>0</v>
      </c>
      <c r="O62" s="19"/>
      <c r="P62" s="19"/>
      <c r="Q62" s="19"/>
      <c r="R62" s="19"/>
      <c r="S62" s="298" t="str">
        <f t="shared" si="13"/>
        <v>Enter data here</v>
      </c>
      <c r="T62" s="298" t="str">
        <f>IF(B62="", "", IF(D62="MWh/yr (LHV)", "Enter data here", "Use column to left"))</f>
        <v>Use column to left</v>
      </c>
      <c r="U62" s="35" t="s">
        <v>1114</v>
      </c>
      <c r="V62" s="240" t="str">
        <f t="shared" si="14"/>
        <v>Unfilled fields to left</v>
      </c>
      <c r="X62" s="65"/>
    </row>
    <row r="63" spans="2:25">
      <c r="B63" s="184" t="s">
        <v>1069</v>
      </c>
      <c r="C63" s="182" t="s">
        <v>1192</v>
      </c>
      <c r="D63" s="177" t="s">
        <v>425</v>
      </c>
      <c r="E63" s="35"/>
      <c r="F63" s="21"/>
      <c r="G63" s="21"/>
      <c r="H63" s="21"/>
      <c r="I63" s="21"/>
      <c r="J63" s="304"/>
      <c r="K63" s="304"/>
      <c r="L63" s="304"/>
      <c r="M63" s="304"/>
      <c r="N63" s="240">
        <f t="shared" si="12"/>
        <v>0</v>
      </c>
      <c r="O63" s="12"/>
      <c r="S63" s="298" t="str">
        <f t="shared" si="13"/>
        <v>Enter data here</v>
      </c>
      <c r="T63" s="298" t="str">
        <f>IF(B63="", "", IF(D63="MWh/yr (LHV)", "Enter data here", "Use column to left"))</f>
        <v>Use column to left</v>
      </c>
      <c r="U63" s="35" t="s">
        <v>1114</v>
      </c>
      <c r="V63" s="240" t="str">
        <f t="shared" si="14"/>
        <v>Unfilled fields to left</v>
      </c>
      <c r="X63" s="21"/>
      <c r="Y63" s="19"/>
    </row>
    <row r="64" spans="2:25">
      <c r="B64" s="184" t="s">
        <v>1069</v>
      </c>
      <c r="C64" s="182" t="s">
        <v>1193</v>
      </c>
      <c r="D64" s="177" t="s">
        <v>447</v>
      </c>
      <c r="E64" s="35"/>
      <c r="F64" s="21"/>
      <c r="G64" s="21"/>
      <c r="H64" s="21"/>
      <c r="I64" s="21"/>
      <c r="J64" s="304"/>
      <c r="K64" s="304"/>
      <c r="L64" s="304"/>
      <c r="M64" s="304"/>
      <c r="N64" s="240">
        <f t="shared" si="12"/>
        <v>0</v>
      </c>
      <c r="O64" s="12"/>
      <c r="S64" s="298" t="str">
        <f t="shared" si="13"/>
        <v>Use column to right</v>
      </c>
      <c r="T64" s="298" t="e">
        <f>INDEX(Proj_grid_intensity_kWh,MATCH(Operations_year,Proj_grid_year,0))/Conversion_kWh_to_MJ</f>
        <v>#N/A</v>
      </c>
      <c r="U64" s="35" t="s">
        <v>1112</v>
      </c>
      <c r="V64" s="240" t="str">
        <f t="shared" si="14"/>
        <v>Unfilled fields to left</v>
      </c>
      <c r="X64" s="21"/>
      <c r="Y64" s="19"/>
    </row>
    <row r="65" spans="2:25">
      <c r="B65" s="184" t="s">
        <v>1069</v>
      </c>
      <c r="C65" s="182" t="s">
        <v>1194</v>
      </c>
      <c r="D65" s="177" t="s">
        <v>447</v>
      </c>
      <c r="E65" s="35"/>
      <c r="F65" s="21"/>
      <c r="G65" s="21"/>
      <c r="H65" s="21"/>
      <c r="I65" s="21"/>
      <c r="J65" s="304"/>
      <c r="K65" s="304"/>
      <c r="L65" s="304"/>
      <c r="M65" s="304"/>
      <c r="N65" s="240">
        <f t="shared" si="12"/>
        <v>0</v>
      </c>
      <c r="O65" s="12"/>
      <c r="S65" s="298" t="str">
        <f t="shared" si="13"/>
        <v>Use column to right</v>
      </c>
      <c r="T65" s="298" t="e">
        <f>INDEX(Proj_grid_intensity_kWh,MATCH(Operations_year,Proj_grid_year,0))/Conversion_kWh_to_MJ</f>
        <v>#N/A</v>
      </c>
      <c r="U65" s="35" t="s">
        <v>1112</v>
      </c>
      <c r="V65" s="240" t="str">
        <f t="shared" ref="V65" si="15">IFERROR(IF(D65="tonnes/yr", $S65*$E65/($N$9*3.6), $T65*$E65*3.6/($N$9*3.6)), "Unfilled fields to left")</f>
        <v>Unfilled fields to left</v>
      </c>
      <c r="X65" s="21"/>
      <c r="Y65" s="19"/>
    </row>
    <row r="66" spans="2:25">
      <c r="B66" s="184" t="s">
        <v>1069</v>
      </c>
      <c r="C66" s="182" t="s">
        <v>1195</v>
      </c>
      <c r="D66" s="177" t="s">
        <v>447</v>
      </c>
      <c r="E66" s="35"/>
      <c r="F66" s="21"/>
      <c r="G66" s="21"/>
      <c r="H66" s="21"/>
      <c r="I66" s="21"/>
      <c r="J66" s="304"/>
      <c r="K66" s="304"/>
      <c r="L66" s="304"/>
      <c r="M66" s="304"/>
      <c r="N66" s="240">
        <f t="shared" si="12"/>
        <v>0</v>
      </c>
      <c r="O66" s="12"/>
      <c r="S66" s="298" t="str">
        <f t="shared" si="13"/>
        <v>Use column to right</v>
      </c>
      <c r="T66" s="298" t="e">
        <f>INDEX(Proj_grid_intensity_kWh,MATCH(Operations_year,Proj_grid_year,0))/Conversion_kWh_to_MJ</f>
        <v>#N/A</v>
      </c>
      <c r="U66" s="35" t="s">
        <v>1112</v>
      </c>
      <c r="V66" s="240" t="str">
        <f t="shared" si="14"/>
        <v>Unfilled fields to left</v>
      </c>
      <c r="X66" s="21"/>
      <c r="Y66" s="19"/>
    </row>
    <row r="67" spans="2:25">
      <c r="B67" s="16"/>
      <c r="C67" s="15"/>
      <c r="D67" s="177"/>
      <c r="E67" s="35"/>
      <c r="F67" s="21"/>
      <c r="G67" s="21"/>
      <c r="H67" s="21"/>
      <c r="I67" s="21"/>
      <c r="J67" s="304"/>
      <c r="K67" s="304"/>
      <c r="L67" s="304"/>
      <c r="M67" s="304"/>
      <c r="N67" s="240">
        <f t="shared" si="12"/>
        <v>0</v>
      </c>
      <c r="O67" s="12"/>
      <c r="S67" s="300"/>
      <c r="T67" s="300"/>
      <c r="U67" s="300"/>
      <c r="V67" s="240" t="str">
        <f t="shared" si="14"/>
        <v>Unfilled fields to left</v>
      </c>
      <c r="X67" s="21"/>
      <c r="Y67" s="19"/>
    </row>
    <row r="68" spans="2:25" s="14" customFormat="1">
      <c r="B68" s="78"/>
      <c r="C68" s="260"/>
      <c r="D68" s="260"/>
      <c r="E68" s="492"/>
      <c r="F68" s="79"/>
      <c r="G68" s="79"/>
      <c r="H68" s="258"/>
      <c r="I68" s="258"/>
      <c r="J68" s="252"/>
      <c r="K68" s="252"/>
      <c r="L68" s="73"/>
      <c r="M68" s="73"/>
      <c r="N68" s="73"/>
      <c r="O68" s="12"/>
      <c r="P68" s="12"/>
      <c r="Q68" s="12"/>
      <c r="R68" s="12"/>
      <c r="S68" s="252"/>
      <c r="T68" s="252"/>
      <c r="U68" s="252"/>
      <c r="V68" s="252"/>
      <c r="X68" s="79"/>
    </row>
    <row r="69" spans="2:25" s="14" customFormat="1" ht="16.5">
      <c r="B69" s="144" t="s">
        <v>1117</v>
      </c>
      <c r="C69" s="158"/>
      <c r="D69" s="158"/>
      <c r="E69" s="495"/>
      <c r="F69" s="159"/>
      <c r="G69" s="160"/>
      <c r="H69" s="159"/>
      <c r="I69" s="159"/>
      <c r="J69" s="305"/>
      <c r="K69" s="305"/>
      <c r="L69" s="472"/>
      <c r="M69" s="472"/>
      <c r="N69" s="472"/>
      <c r="O69" s="157"/>
      <c r="P69" s="157"/>
      <c r="Q69" s="157"/>
      <c r="R69" s="157"/>
      <c r="S69" s="305"/>
      <c r="T69" s="305"/>
      <c r="U69" s="305"/>
      <c r="V69" s="152">
        <f>SUM(V70:V74)</f>
        <v>0</v>
      </c>
      <c r="X69" s="79"/>
    </row>
    <row r="70" spans="2:25" s="14" customFormat="1">
      <c r="B70" s="184" t="s">
        <v>1118</v>
      </c>
      <c r="C70" s="182" t="s">
        <v>1119</v>
      </c>
      <c r="D70" s="177" t="s">
        <v>425</v>
      </c>
      <c r="E70" s="35">
        <f>E45*E96</f>
        <v>0</v>
      </c>
      <c r="F70" s="316"/>
      <c r="G70" s="316"/>
      <c r="H70" s="316"/>
      <c r="I70" s="316"/>
      <c r="J70" s="491"/>
      <c r="K70" s="35"/>
      <c r="L70" s="304"/>
      <c r="M70" s="304"/>
      <c r="N70" s="240">
        <f>IF($D70="MWh/yr (LHV)",$E70,$J70*$E70*(1-$L70)/Conversion_kWh_to_MJ)</f>
        <v>0</v>
      </c>
      <c r="O70" s="12"/>
      <c r="P70" s="12"/>
      <c r="Q70" s="12"/>
      <c r="R70" s="12"/>
      <c r="S70" s="298">
        <v>-1000</v>
      </c>
      <c r="T70" s="473"/>
      <c r="U70" s="35" t="s">
        <v>1182</v>
      </c>
      <c r="V70" s="240" t="str">
        <f>IFERROR(IF(D70="tonnes/yr", $S70*$E70/($N$9*3.6), $T70*$E70*3.6/($N$9*3.6)), "Unfilled fields to left")</f>
        <v>Unfilled fields to left</v>
      </c>
      <c r="X70" s="21"/>
    </row>
    <row r="71" spans="2:25" s="14" customFormat="1">
      <c r="B71" s="184"/>
      <c r="C71" s="182"/>
      <c r="D71" s="177"/>
      <c r="E71" s="35"/>
      <c r="F71" s="63"/>
      <c r="G71" s="63"/>
      <c r="H71" s="63"/>
      <c r="I71" s="63"/>
      <c r="J71" s="302"/>
      <c r="K71" s="304"/>
      <c r="L71" s="304"/>
      <c r="M71" s="304"/>
      <c r="N71" s="240">
        <f>IF($D71="MWh/yr (LHV)",$E71,$J71*$E71*(1-$L71)/Conversion_kWh_to_MJ)</f>
        <v>0</v>
      </c>
      <c r="O71" s="19"/>
      <c r="P71" s="19"/>
      <c r="Q71" s="19"/>
      <c r="R71" s="19"/>
      <c r="S71" s="298"/>
      <c r="T71" s="473"/>
      <c r="U71" s="35"/>
      <c r="V71" s="240" t="str">
        <f>IFERROR(IF(D71="tonnes/yr", $S71*$E71/($N$9*3.6), $T71*$E71*3.6/($N$9*3.6)), "Unfilled fields to left")</f>
        <v>Unfilled fields to left</v>
      </c>
      <c r="X71" s="21"/>
    </row>
    <row r="72" spans="2:25" s="14" customFormat="1">
      <c r="B72" s="64"/>
      <c r="C72" s="15"/>
      <c r="D72" s="177"/>
      <c r="E72" s="35"/>
      <c r="F72" s="21"/>
      <c r="G72" s="21"/>
      <c r="H72" s="63"/>
      <c r="I72" s="63"/>
      <c r="J72" s="302"/>
      <c r="K72" s="304"/>
      <c r="L72" s="304"/>
      <c r="M72" s="304"/>
      <c r="N72" s="240">
        <f>IF($D72="MWh/yr (LHV)",$E72,$J72*$E72*(1-$L72)/Conversion_kWh_to_MJ)</f>
        <v>0</v>
      </c>
      <c r="O72" s="19"/>
      <c r="P72" s="19"/>
      <c r="Q72" s="19"/>
      <c r="R72" s="19"/>
      <c r="S72" s="306"/>
      <c r="T72" s="473"/>
      <c r="U72" s="300"/>
      <c r="V72" s="240" t="str">
        <f>IFERROR(IF(D72="tonnes/yr", $S72*$E72/($N$9*3.6), $T72*$E72*3.6/($N$9*3.6)), "Unfilled fields to left")</f>
        <v>Unfilled fields to left</v>
      </c>
      <c r="X72" s="65"/>
    </row>
    <row r="73" spans="2:25" s="14" customFormat="1">
      <c r="B73" s="64"/>
      <c r="C73" s="15"/>
      <c r="D73" s="177"/>
      <c r="E73" s="35"/>
      <c r="F73" s="21"/>
      <c r="G73" s="21"/>
      <c r="H73" s="21"/>
      <c r="I73" s="21"/>
      <c r="J73" s="304"/>
      <c r="K73" s="304"/>
      <c r="L73" s="304"/>
      <c r="M73" s="304"/>
      <c r="N73" s="240">
        <f>IF($D73="MWh/yr (LHV)",$E73,$J73*$E73*(1-$L73)/Conversion_kWh_to_MJ)</f>
        <v>0</v>
      </c>
      <c r="O73" s="19"/>
      <c r="P73" s="19"/>
      <c r="Q73" s="19"/>
      <c r="R73" s="19"/>
      <c r="S73" s="306"/>
      <c r="T73" s="473"/>
      <c r="U73" s="300"/>
      <c r="V73" s="240" t="str">
        <f>IFERROR(IF(D73="tonnes/yr", $S73*$E73/($N$9*3.6), $T73*$E73*3.6/($N$9*3.6)), "Unfilled fields to left")</f>
        <v>Unfilled fields to left</v>
      </c>
      <c r="X73" s="65"/>
    </row>
    <row r="74" spans="2:25" s="14" customFormat="1">
      <c r="B74" s="64"/>
      <c r="C74" s="15"/>
      <c r="D74" s="177"/>
      <c r="E74" s="35"/>
      <c r="F74" s="21"/>
      <c r="G74" s="21"/>
      <c r="H74" s="21"/>
      <c r="I74" s="21"/>
      <c r="J74" s="304"/>
      <c r="K74" s="304"/>
      <c r="L74" s="304"/>
      <c r="M74" s="304"/>
      <c r="N74" s="240">
        <f>IF($D74="MWh/yr (LHV)",$E74,$J74*$E74*(1-$L74)/Conversion_kWh_to_MJ)</f>
        <v>0</v>
      </c>
      <c r="O74" s="19"/>
      <c r="P74" s="19"/>
      <c r="Q74" s="19"/>
      <c r="R74" s="19"/>
      <c r="S74" s="306"/>
      <c r="T74" s="473"/>
      <c r="U74" s="300"/>
      <c r="V74" s="240" t="str">
        <f>IFERROR(IF(D74="tonnes/yr", $S74*$E74/($N$9*3.6), $T74*$E74*3.6/($N$9*3.6)), "Unfilled fields to left")</f>
        <v>Unfilled fields to left</v>
      </c>
      <c r="X74" s="65"/>
    </row>
    <row r="75" spans="2:25" s="14" customFormat="1">
      <c r="B75" s="78"/>
      <c r="C75" s="260"/>
      <c r="D75" s="260"/>
      <c r="E75" s="492"/>
      <c r="F75" s="79"/>
      <c r="G75" s="79"/>
      <c r="H75" s="258"/>
      <c r="I75" s="258"/>
      <c r="J75" s="252"/>
      <c r="K75" s="252"/>
      <c r="L75" s="73"/>
      <c r="M75" s="73"/>
      <c r="N75" s="73"/>
      <c r="O75" s="12"/>
      <c r="P75" s="12"/>
      <c r="Q75" s="12"/>
      <c r="R75" s="12"/>
      <c r="S75" s="252"/>
      <c r="T75" s="252"/>
      <c r="U75" s="252"/>
      <c r="V75" s="252"/>
      <c r="X75" s="79"/>
    </row>
    <row r="76" spans="2:25" s="14" customFormat="1">
      <c r="B76" s="144" t="s">
        <v>995</v>
      </c>
      <c r="C76" s="158"/>
      <c r="D76" s="158"/>
      <c r="E76" s="495"/>
      <c r="F76" s="159"/>
      <c r="G76" s="160"/>
      <c r="H76" s="159"/>
      <c r="I76" s="159"/>
      <c r="J76" s="305"/>
      <c r="K76" s="305"/>
      <c r="L76" s="472"/>
      <c r="M76" s="472"/>
      <c r="N76" s="472"/>
      <c r="O76" s="157"/>
      <c r="P76" s="157"/>
      <c r="Q76" s="157"/>
      <c r="R76" s="157"/>
      <c r="S76" s="305"/>
      <c r="T76" s="305"/>
      <c r="U76" s="305"/>
      <c r="V76" s="152">
        <f>SUM(V77:V81)</f>
        <v>0</v>
      </c>
      <c r="X76" s="79"/>
    </row>
    <row r="77" spans="2:25" s="14" customFormat="1">
      <c r="B77" s="184" t="s">
        <v>1196</v>
      </c>
      <c r="C77" s="182" t="s">
        <v>1197</v>
      </c>
      <c r="D77" s="177" t="s">
        <v>425</v>
      </c>
      <c r="E77" s="35"/>
      <c r="F77" s="316"/>
      <c r="G77" s="316"/>
      <c r="H77" s="316"/>
      <c r="I77" s="316"/>
      <c r="J77" s="491"/>
      <c r="K77" s="35"/>
      <c r="L77" s="304"/>
      <c r="M77" s="304"/>
      <c r="N77" s="240">
        <f>IF($D77="MWh/yr (LHV)",$E77,$J77*$E77*(1-$L77)/Conversion_kWh_to_MJ)</f>
        <v>0</v>
      </c>
      <c r="O77" s="12"/>
      <c r="P77" s="12"/>
      <c r="Q77" s="12"/>
      <c r="R77" s="12"/>
      <c r="S77" s="298">
        <v>0</v>
      </c>
      <c r="T77" s="473"/>
      <c r="U77" s="35" t="s">
        <v>1198</v>
      </c>
      <c r="V77" s="240" t="str">
        <f>IFERROR(IF(D77="tonnes/yr", $S77*$E77/($N$9*3.6), $T77*$E77*3.6/($N$9*3.6)), "Unfilled fields to left")</f>
        <v>Unfilled fields to left</v>
      </c>
      <c r="X77" s="21"/>
    </row>
    <row r="78" spans="2:25" s="14" customFormat="1">
      <c r="B78" s="184" t="s">
        <v>1196</v>
      </c>
      <c r="C78" s="182" t="s">
        <v>1199</v>
      </c>
      <c r="D78" s="177" t="s">
        <v>425</v>
      </c>
      <c r="E78" s="35"/>
      <c r="F78" s="63"/>
      <c r="G78" s="63"/>
      <c r="H78" s="63"/>
      <c r="I78" s="63"/>
      <c r="J78" s="302"/>
      <c r="K78" s="304"/>
      <c r="L78" s="304"/>
      <c r="M78" s="304"/>
      <c r="N78" s="240">
        <f>IF($D78="MWh/yr (LHV)",$E78,$J78*$E78*(1-$L78)/Conversion_kWh_to_MJ)</f>
        <v>0</v>
      </c>
      <c r="O78" s="19"/>
      <c r="P78" s="19"/>
      <c r="Q78" s="19"/>
      <c r="R78" s="19"/>
      <c r="S78" s="298">
        <v>0</v>
      </c>
      <c r="T78" s="473"/>
      <c r="U78" s="35" t="s">
        <v>1198</v>
      </c>
      <c r="V78" s="240" t="str">
        <f>IFERROR(IF(D78="tonnes/yr", $S78*$E78/($N$9*3.6), $T78*$E78*3.6/($N$9*3.6)), "Unfilled fields to left")</f>
        <v>Unfilled fields to left</v>
      </c>
      <c r="X78" s="21"/>
    </row>
    <row r="79" spans="2:25" s="14" customFormat="1">
      <c r="B79" s="64"/>
      <c r="C79" s="15"/>
      <c r="D79" s="177"/>
      <c r="E79" s="35"/>
      <c r="F79" s="21"/>
      <c r="G79" s="21"/>
      <c r="H79" s="63"/>
      <c r="I79" s="63"/>
      <c r="J79" s="302"/>
      <c r="K79" s="304"/>
      <c r="L79" s="304"/>
      <c r="M79" s="304"/>
      <c r="N79" s="240">
        <f>IF($D79="MWh/yr (LHV)",$E79,$J79*$E79*(1-$L79)/Conversion_kWh_to_MJ)</f>
        <v>0</v>
      </c>
      <c r="O79" s="19"/>
      <c r="P79" s="19"/>
      <c r="Q79" s="19"/>
      <c r="R79" s="19"/>
      <c r="S79" s="306"/>
      <c r="T79" s="473"/>
      <c r="U79" s="300"/>
      <c r="V79" s="240" t="str">
        <f>IFERROR(IF(D79="tonnes/yr", $S79*$E79/($N$9*3.6), $T79*$E79*3.6/($N$9*3.6)), "Unfilled fields to left")</f>
        <v>Unfilled fields to left</v>
      </c>
      <c r="X79" s="65"/>
    </row>
    <row r="80" spans="2:25" s="14" customFormat="1">
      <c r="B80" s="64"/>
      <c r="C80" s="15"/>
      <c r="D80" s="177"/>
      <c r="E80" s="35"/>
      <c r="F80" s="21"/>
      <c r="G80" s="21"/>
      <c r="H80" s="21"/>
      <c r="I80" s="21"/>
      <c r="J80" s="304"/>
      <c r="K80" s="304"/>
      <c r="L80" s="304"/>
      <c r="M80" s="304"/>
      <c r="N80" s="240">
        <f>IF($D80="MWh/yr (LHV)",$E80,$J80*$E80*(1-$L80)/Conversion_kWh_to_MJ)</f>
        <v>0</v>
      </c>
      <c r="O80" s="19"/>
      <c r="P80" s="19"/>
      <c r="Q80" s="19"/>
      <c r="R80" s="19"/>
      <c r="S80" s="306"/>
      <c r="T80" s="473"/>
      <c r="U80" s="300"/>
      <c r="V80" s="240" t="str">
        <f>IFERROR(IF(D80="tonnes/yr", $S80*$E80/($N$9*3.6), $T80*$E80*3.6/($N$9*3.6)), "Unfilled fields to left")</f>
        <v>Unfilled fields to left</v>
      </c>
      <c r="X80" s="65"/>
    </row>
    <row r="81" spans="2:25" s="14" customFormat="1">
      <c r="B81" s="64"/>
      <c r="C81" s="15"/>
      <c r="D81" s="177"/>
      <c r="E81" s="35"/>
      <c r="F81" s="21"/>
      <c r="G81" s="21"/>
      <c r="H81" s="21"/>
      <c r="I81" s="21"/>
      <c r="J81" s="304"/>
      <c r="K81" s="304"/>
      <c r="L81" s="304"/>
      <c r="M81" s="304"/>
      <c r="N81" s="240">
        <f>IF($D81="MWh/yr (LHV)",$E81,$J81*$E81*(1-$L81)/Conversion_kWh_to_MJ)</f>
        <v>0</v>
      </c>
      <c r="O81" s="19"/>
      <c r="P81" s="19"/>
      <c r="Q81" s="19"/>
      <c r="R81" s="19"/>
      <c r="S81" s="306"/>
      <c r="T81" s="473"/>
      <c r="U81" s="300"/>
      <c r="V81" s="240" t="str">
        <f>IFERROR(IF(D81="tonnes/yr", $S81*$E81/($N$9*3.6), $T81*$E81*3.6/($N$9*3.6)), "Unfilled fields to left")</f>
        <v>Unfilled fields to left</v>
      </c>
      <c r="X81" s="65"/>
    </row>
    <row r="82" spans="2:25" s="14" customFormat="1">
      <c r="B82" s="78"/>
      <c r="C82" s="260"/>
      <c r="D82" s="260"/>
      <c r="E82" s="492"/>
      <c r="F82" s="79"/>
      <c r="G82" s="79"/>
      <c r="H82" s="258"/>
      <c r="I82" s="258"/>
      <c r="J82" s="252"/>
      <c r="K82" s="252"/>
      <c r="L82" s="73"/>
      <c r="M82" s="73"/>
      <c r="N82" s="73"/>
      <c r="O82" s="12"/>
      <c r="P82" s="12"/>
      <c r="Q82" s="12"/>
      <c r="R82" s="12"/>
      <c r="S82" s="252"/>
      <c r="T82" s="252"/>
      <c r="U82" s="252"/>
      <c r="V82" s="252"/>
      <c r="X82" s="79"/>
    </row>
    <row r="83" spans="2:25" s="14" customFormat="1" ht="16.5">
      <c r="B83" s="144" t="s">
        <v>132</v>
      </c>
      <c r="C83" s="158"/>
      <c r="D83" s="158"/>
      <c r="E83" s="495"/>
      <c r="F83" s="159"/>
      <c r="G83" s="160"/>
      <c r="H83" s="159"/>
      <c r="I83" s="159"/>
      <c r="J83" s="305"/>
      <c r="K83" s="305"/>
      <c r="L83" s="472"/>
      <c r="M83" s="472"/>
      <c r="N83" s="472"/>
      <c r="O83" s="157"/>
      <c r="P83" s="157"/>
      <c r="Q83" s="157"/>
      <c r="R83" s="157"/>
      <c r="S83" s="305"/>
      <c r="T83" s="305"/>
      <c r="U83" s="305"/>
      <c r="V83" s="152">
        <f>SUM(V84:V91)</f>
        <v>0</v>
      </c>
      <c r="X83" s="79"/>
    </row>
    <row r="84" spans="2:25" s="14" customFormat="1">
      <c r="B84" s="184" t="s">
        <v>1120</v>
      </c>
      <c r="C84" s="182" t="s">
        <v>1121</v>
      </c>
      <c r="D84" s="177" t="s">
        <v>425</v>
      </c>
      <c r="E84" s="35"/>
      <c r="F84" s="24"/>
      <c r="G84" s="21"/>
      <c r="H84" s="24"/>
      <c r="I84" s="24"/>
      <c r="J84" s="491"/>
      <c r="K84" s="35"/>
      <c r="L84" s="304"/>
      <c r="M84" s="304"/>
      <c r="N84" s="240">
        <f t="shared" ref="N84:N91" si="16">IF($D84="MWh/yr (LHV)",$E84,$J84*$E84*(1-$L84)/Conversion_kWh_to_MJ)</f>
        <v>0</v>
      </c>
      <c r="O84" s="12"/>
      <c r="P84" s="12"/>
      <c r="Q84" s="12"/>
      <c r="R84" s="12"/>
      <c r="S84" s="298">
        <f t="shared" ref="S84" si="17">28*1000</f>
        <v>28000</v>
      </c>
      <c r="T84" s="473"/>
      <c r="U84" s="35" t="s">
        <v>1107</v>
      </c>
      <c r="V84" s="240" t="str">
        <f t="shared" ref="V84:V91" si="18">IFERROR(IF(D84="tonnes/yr", $S84*$E84/($N$9*3.6), $T84*$E84*3.6/($N$9*3.6)), "Unfilled fields to left")</f>
        <v>Unfilled fields to left</v>
      </c>
      <c r="X84" s="21"/>
    </row>
    <row r="85" spans="2:25" s="14" customFormat="1">
      <c r="B85" s="185" t="s">
        <v>1122</v>
      </c>
      <c r="C85" s="182" t="s">
        <v>1123</v>
      </c>
      <c r="D85" s="177" t="s">
        <v>425</v>
      </c>
      <c r="E85" s="35"/>
      <c r="F85" s="24"/>
      <c r="G85" s="65"/>
      <c r="H85" s="24"/>
      <c r="I85" s="24"/>
      <c r="J85" s="491"/>
      <c r="K85" s="35"/>
      <c r="L85" s="306"/>
      <c r="M85" s="306"/>
      <c r="N85" s="240">
        <f t="shared" si="16"/>
        <v>0</v>
      </c>
      <c r="O85" s="19"/>
      <c r="P85" s="19"/>
      <c r="Q85" s="19"/>
      <c r="R85" s="19"/>
      <c r="S85" s="298">
        <v>265000</v>
      </c>
      <c r="T85" s="473"/>
      <c r="U85" s="35" t="s">
        <v>1107</v>
      </c>
      <c r="V85" s="240" t="str">
        <f t="shared" si="18"/>
        <v>Unfilled fields to left</v>
      </c>
      <c r="X85" s="65"/>
    </row>
    <row r="86" spans="2:25" s="14" customFormat="1">
      <c r="B86" s="185" t="s">
        <v>1124</v>
      </c>
      <c r="C86" s="182" t="s">
        <v>1125</v>
      </c>
      <c r="D86" s="177" t="s">
        <v>425</v>
      </c>
      <c r="E86" s="35"/>
      <c r="F86" s="24"/>
      <c r="G86" s="65"/>
      <c r="H86" s="24"/>
      <c r="I86" s="24"/>
      <c r="J86" s="491"/>
      <c r="K86" s="35"/>
      <c r="L86" s="306"/>
      <c r="M86" s="306"/>
      <c r="N86" s="240">
        <f t="shared" si="16"/>
        <v>0</v>
      </c>
      <c r="O86" s="19"/>
      <c r="P86" s="19"/>
      <c r="Q86" s="19"/>
      <c r="R86" s="19"/>
      <c r="S86" s="298">
        <v>23500000</v>
      </c>
      <c r="T86" s="473"/>
      <c r="U86" s="35" t="s">
        <v>1107</v>
      </c>
      <c r="V86" s="240" t="str">
        <f t="shared" si="18"/>
        <v>Unfilled fields to left</v>
      </c>
      <c r="X86" s="65"/>
    </row>
    <row r="87" spans="2:25" s="14" customFormat="1">
      <c r="B87" s="185" t="s">
        <v>1126</v>
      </c>
      <c r="C87" s="182" t="s">
        <v>1127</v>
      </c>
      <c r="D87" s="177" t="s">
        <v>425</v>
      </c>
      <c r="E87" s="35"/>
      <c r="F87" s="24"/>
      <c r="G87" s="65"/>
      <c r="H87" s="24"/>
      <c r="I87" s="24"/>
      <c r="J87" s="491"/>
      <c r="K87" s="35"/>
      <c r="L87" s="306"/>
      <c r="M87" s="306"/>
      <c r="N87" s="240">
        <f t="shared" si="16"/>
        <v>0</v>
      </c>
      <c r="O87" s="19"/>
      <c r="P87" s="19"/>
      <c r="Q87" s="19"/>
      <c r="R87" s="19"/>
      <c r="S87" s="480" t="s">
        <v>1128</v>
      </c>
      <c r="T87" s="473"/>
      <c r="U87" s="35"/>
      <c r="V87" s="240" t="str">
        <f t="shared" si="18"/>
        <v>Unfilled fields to left</v>
      </c>
      <c r="X87" s="65"/>
    </row>
    <row r="88" spans="2:25" s="14" customFormat="1">
      <c r="B88" s="185" t="s">
        <v>1126</v>
      </c>
      <c r="C88" s="182" t="s">
        <v>1127</v>
      </c>
      <c r="D88" s="177" t="s">
        <v>425</v>
      </c>
      <c r="E88" s="35"/>
      <c r="F88" s="24"/>
      <c r="G88" s="65"/>
      <c r="H88" s="24"/>
      <c r="I88" s="24"/>
      <c r="J88" s="491"/>
      <c r="K88" s="35"/>
      <c r="L88" s="306"/>
      <c r="M88" s="306"/>
      <c r="N88" s="240">
        <f t="shared" si="16"/>
        <v>0</v>
      </c>
      <c r="O88" s="19"/>
      <c r="P88" s="19"/>
      <c r="Q88" s="19"/>
      <c r="R88" s="19"/>
      <c r="S88" s="480" t="s">
        <v>1128</v>
      </c>
      <c r="T88" s="473"/>
      <c r="U88" s="35"/>
      <c r="V88" s="240" t="str">
        <f t="shared" si="18"/>
        <v>Unfilled fields to left</v>
      </c>
      <c r="X88" s="65"/>
    </row>
    <row r="89" spans="2:25" s="14" customFormat="1">
      <c r="B89" s="185" t="s">
        <v>1126</v>
      </c>
      <c r="C89" s="182" t="s">
        <v>1127</v>
      </c>
      <c r="D89" s="177" t="s">
        <v>425</v>
      </c>
      <c r="E89" s="35"/>
      <c r="F89" s="24"/>
      <c r="G89" s="65"/>
      <c r="H89" s="24"/>
      <c r="I89" s="24"/>
      <c r="J89" s="491"/>
      <c r="K89" s="35"/>
      <c r="L89" s="306"/>
      <c r="M89" s="306"/>
      <c r="N89" s="240">
        <f t="shared" si="16"/>
        <v>0</v>
      </c>
      <c r="O89" s="19"/>
      <c r="P89" s="19"/>
      <c r="Q89" s="19"/>
      <c r="R89" s="19"/>
      <c r="S89" s="480" t="s">
        <v>1128</v>
      </c>
      <c r="T89" s="473"/>
      <c r="U89" s="35"/>
      <c r="V89" s="240" t="str">
        <f t="shared" si="18"/>
        <v>Unfilled fields to left</v>
      </c>
      <c r="X89" s="65"/>
    </row>
    <row r="90" spans="2:25" s="14" customFormat="1">
      <c r="B90" s="64"/>
      <c r="C90" s="15"/>
      <c r="D90" s="178"/>
      <c r="E90" s="496"/>
      <c r="F90" s="65"/>
      <c r="G90" s="65"/>
      <c r="H90" s="66"/>
      <c r="I90" s="66"/>
      <c r="J90" s="302"/>
      <c r="K90" s="306"/>
      <c r="L90" s="306"/>
      <c r="M90" s="306"/>
      <c r="N90" s="240">
        <f t="shared" si="16"/>
        <v>0</v>
      </c>
      <c r="O90" s="19"/>
      <c r="P90" s="19"/>
      <c r="Q90" s="19"/>
      <c r="R90" s="19"/>
      <c r="S90" s="300"/>
      <c r="T90" s="473"/>
      <c r="U90" s="306"/>
      <c r="V90" s="240" t="str">
        <f t="shared" si="18"/>
        <v>Unfilled fields to left</v>
      </c>
      <c r="X90" s="65"/>
    </row>
    <row r="91" spans="2:25" s="14" customFormat="1">
      <c r="B91" s="64"/>
      <c r="C91" s="15"/>
      <c r="D91" s="178"/>
      <c r="E91" s="496"/>
      <c r="F91" s="65"/>
      <c r="G91" s="65"/>
      <c r="H91" s="66"/>
      <c r="I91" s="66"/>
      <c r="J91" s="304"/>
      <c r="K91" s="306"/>
      <c r="L91" s="306"/>
      <c r="M91" s="306"/>
      <c r="N91" s="240">
        <f t="shared" si="16"/>
        <v>0</v>
      </c>
      <c r="O91" s="19"/>
      <c r="P91" s="19"/>
      <c r="Q91" s="19"/>
      <c r="R91" s="19"/>
      <c r="S91" s="300"/>
      <c r="T91" s="473"/>
      <c r="U91" s="306"/>
      <c r="V91" s="240" t="str">
        <f t="shared" si="18"/>
        <v>Unfilled fields to left</v>
      </c>
      <c r="X91" s="65"/>
    </row>
    <row r="92" spans="2:25">
      <c r="C92" s="17"/>
      <c r="D92" s="17"/>
      <c r="E92" s="139"/>
      <c r="F92" s="17"/>
      <c r="H92" s="18"/>
      <c r="I92" s="18"/>
      <c r="J92" s="40"/>
      <c r="K92" s="40"/>
      <c r="L92" s="40"/>
      <c r="M92" s="40"/>
      <c r="N92" s="40"/>
      <c r="O92" s="12"/>
      <c r="S92" s="40"/>
      <c r="T92" s="40"/>
      <c r="U92" s="40"/>
      <c r="V92" s="40"/>
      <c r="Y92" s="19"/>
    </row>
    <row r="93" spans="2:25">
      <c r="E93" s="113"/>
      <c r="I93" s="19"/>
      <c r="J93" s="113"/>
      <c r="K93" s="113"/>
      <c r="L93" s="107"/>
      <c r="M93" s="107"/>
      <c r="N93" s="107"/>
      <c r="O93" s="12"/>
      <c r="S93" s="125"/>
      <c r="T93" s="125"/>
      <c r="U93" s="38" t="s">
        <v>1162</v>
      </c>
      <c r="V93" s="152">
        <f>IF(OR(COUNTIF(Initial_questions!$E$112,"Default"), COUNTIF(Initial_questions!$E$114:$E$115,"Default")),"Default data selected",SUM(V20,V32,V44,V51,V59,V69,V76,V83))</f>
        <v>0</v>
      </c>
      <c r="Y93" s="19"/>
    </row>
    <row r="94" spans="2:25">
      <c r="B94" s="144" t="s">
        <v>133</v>
      </c>
      <c r="C94" s="158"/>
      <c r="D94" s="158"/>
      <c r="E94" s="495"/>
      <c r="I94" s="19"/>
      <c r="J94" s="113"/>
      <c r="K94" s="113"/>
      <c r="L94" s="107"/>
      <c r="M94" s="107"/>
      <c r="N94" s="107"/>
      <c r="O94" s="12"/>
      <c r="S94" s="113"/>
      <c r="T94" s="113"/>
      <c r="U94" s="113"/>
      <c r="V94" s="19"/>
      <c r="Y94" s="19"/>
    </row>
    <row r="95" spans="2:25">
      <c r="B95" s="16" t="s">
        <v>1134</v>
      </c>
      <c r="C95" s="15" t="s">
        <v>1183</v>
      </c>
      <c r="D95" s="15" t="s">
        <v>1136</v>
      </c>
      <c r="E95" s="497"/>
      <c r="H95" s="19"/>
      <c r="I95" s="19"/>
      <c r="J95" s="113"/>
      <c r="K95" s="113"/>
      <c r="L95" s="107"/>
      <c r="M95" s="107"/>
      <c r="N95" s="107"/>
      <c r="O95" s="12"/>
      <c r="S95" s="113"/>
      <c r="T95" s="113"/>
      <c r="U95" s="113"/>
      <c r="V95" s="19"/>
      <c r="X95" s="25"/>
      <c r="Y95" s="19"/>
    </row>
    <row r="96" spans="2:25">
      <c r="B96" s="16" t="s">
        <v>1139</v>
      </c>
      <c r="C96" s="15" t="s">
        <v>1184</v>
      </c>
      <c r="D96" s="15" t="s">
        <v>897</v>
      </c>
      <c r="E96" s="507">
        <f>Initial_questions!$E$93</f>
        <v>0</v>
      </c>
      <c r="I96" s="19"/>
      <c r="J96" s="113"/>
      <c r="K96" s="113"/>
      <c r="L96" s="107"/>
      <c r="M96" s="107"/>
      <c r="N96" s="107"/>
      <c r="O96" s="12"/>
      <c r="S96" s="113"/>
      <c r="T96" s="113"/>
      <c r="U96" s="113"/>
      <c r="V96" s="19"/>
      <c r="X96" s="25"/>
      <c r="Y96" s="19"/>
    </row>
    <row r="97" spans="2:25">
      <c r="B97" s="16" t="s">
        <v>1139</v>
      </c>
      <c r="C97" s="15" t="s">
        <v>1200</v>
      </c>
      <c r="D97" s="15" t="s">
        <v>897</v>
      </c>
      <c r="E97" s="507">
        <f>Initial_questions!$E$102</f>
        <v>0</v>
      </c>
      <c r="H97" s="19"/>
      <c r="I97" s="19"/>
      <c r="J97" s="113"/>
      <c r="K97" s="113"/>
      <c r="L97" s="107"/>
      <c r="M97" s="107"/>
      <c r="N97" s="107"/>
      <c r="O97" s="12"/>
      <c r="S97" s="113"/>
      <c r="T97" s="113"/>
      <c r="U97" s="113"/>
      <c r="V97" s="19"/>
      <c r="X97" s="25"/>
      <c r="Y97" s="19"/>
    </row>
    <row r="98" spans="2:25">
      <c r="B98" s="16"/>
      <c r="C98" s="15"/>
      <c r="D98" s="15"/>
      <c r="E98" s="497"/>
      <c r="H98" s="19"/>
      <c r="I98" s="19"/>
      <c r="J98" s="113"/>
      <c r="K98" s="113"/>
      <c r="L98" s="107"/>
      <c r="M98" s="107"/>
      <c r="N98" s="107"/>
      <c r="O98" s="12"/>
      <c r="S98" s="125"/>
      <c r="T98" s="125"/>
      <c r="U98" s="125"/>
      <c r="X98" s="25"/>
    </row>
    <row r="99" spans="2:25">
      <c r="E99" s="113"/>
      <c r="H99" s="19"/>
      <c r="I99" s="19"/>
      <c r="J99" s="113"/>
      <c r="K99" s="113"/>
      <c r="L99" s="107"/>
      <c r="M99" s="107"/>
      <c r="N99" s="107"/>
      <c r="O99" s="12"/>
      <c r="S99" s="125"/>
      <c r="T99" s="125"/>
      <c r="U99" s="125"/>
    </row>
    <row r="100" spans="2:25">
      <c r="E100" s="113"/>
      <c r="J100" s="125"/>
      <c r="K100" s="125"/>
      <c r="L100" s="39"/>
      <c r="M100" s="39"/>
      <c r="S100" s="125"/>
      <c r="T100" s="125"/>
      <c r="U100" s="125"/>
    </row>
    <row r="101" spans="2:25">
      <c r="E101" s="113"/>
      <c r="J101" s="125"/>
      <c r="K101" s="125"/>
      <c r="L101" s="39"/>
      <c r="M101" s="39"/>
      <c r="S101" s="125"/>
      <c r="T101" s="125"/>
      <c r="U101" s="125"/>
    </row>
    <row r="102" spans="2:25">
      <c r="E102" s="113"/>
      <c r="J102" s="125"/>
      <c r="K102" s="125"/>
      <c r="L102" s="39"/>
      <c r="M102" s="39"/>
      <c r="S102" s="125"/>
      <c r="T102" s="125"/>
      <c r="U102" s="125"/>
    </row>
    <row r="103" spans="2:25">
      <c r="E103" s="113"/>
      <c r="J103" s="125"/>
      <c r="K103" s="125"/>
      <c r="L103" s="39"/>
      <c r="M103" s="39"/>
      <c r="S103" s="125"/>
      <c r="T103" s="125"/>
      <c r="U103" s="125"/>
    </row>
    <row r="104" spans="2:25">
      <c r="E104" s="113"/>
      <c r="J104" s="125"/>
      <c r="K104" s="125"/>
      <c r="L104" s="39"/>
      <c r="M104" s="39"/>
      <c r="S104" s="125"/>
      <c r="T104" s="125"/>
      <c r="U104" s="125"/>
    </row>
    <row r="105" spans="2:25">
      <c r="E105" s="113"/>
      <c r="J105" s="125"/>
      <c r="K105" s="125"/>
      <c r="L105" s="39"/>
      <c r="M105" s="39"/>
      <c r="S105" s="125"/>
      <c r="T105" s="125"/>
      <c r="U105" s="125"/>
    </row>
    <row r="106" spans="2:25">
      <c r="E106" s="113"/>
      <c r="J106" s="125"/>
      <c r="K106" s="125"/>
      <c r="L106" s="39"/>
      <c r="M106" s="39"/>
      <c r="S106" s="125"/>
      <c r="T106" s="125"/>
      <c r="U106" s="125"/>
    </row>
    <row r="107" spans="2:25">
      <c r="E107" s="113"/>
      <c r="J107" s="125"/>
      <c r="K107" s="125"/>
      <c r="L107" s="39"/>
      <c r="M107" s="39"/>
      <c r="S107" s="125"/>
      <c r="T107" s="125"/>
      <c r="U107" s="125"/>
    </row>
    <row r="108" spans="2:25">
      <c r="E108" s="113"/>
      <c r="J108" s="125"/>
      <c r="K108" s="125"/>
      <c r="L108" s="39"/>
      <c r="M108" s="39"/>
      <c r="S108" s="125"/>
      <c r="T108" s="125"/>
      <c r="U108" s="125"/>
    </row>
    <row r="109" spans="2:25">
      <c r="E109" s="113"/>
      <c r="J109" s="125"/>
      <c r="K109" s="125"/>
      <c r="L109" s="39"/>
      <c r="M109" s="39"/>
      <c r="S109" s="125"/>
      <c r="T109" s="125"/>
      <c r="U109" s="125"/>
    </row>
    <row r="110" spans="2:25">
      <c r="E110" s="113"/>
      <c r="J110" s="125"/>
      <c r="K110" s="125"/>
      <c r="L110" s="39"/>
      <c r="M110" s="39"/>
      <c r="S110" s="125"/>
      <c r="T110" s="125"/>
      <c r="U110" s="125"/>
    </row>
    <row r="111" spans="2:25">
      <c r="E111" s="113"/>
      <c r="J111" s="125"/>
      <c r="K111" s="125"/>
      <c r="L111" s="39"/>
      <c r="M111" s="39"/>
      <c r="S111" s="125"/>
      <c r="T111" s="125"/>
      <c r="U111" s="125"/>
    </row>
    <row r="112" spans="2:25">
      <c r="E112" s="113"/>
      <c r="J112" s="125"/>
      <c r="K112" s="125"/>
      <c r="L112" s="39"/>
      <c r="M112" s="39"/>
      <c r="S112" s="125"/>
      <c r="T112" s="125"/>
      <c r="U112" s="125"/>
    </row>
    <row r="113" spans="5:21">
      <c r="E113" s="113"/>
      <c r="J113" s="125"/>
      <c r="K113" s="125"/>
      <c r="L113" s="39"/>
      <c r="M113" s="39"/>
      <c r="S113" s="125"/>
      <c r="T113" s="125"/>
      <c r="U113" s="125"/>
    </row>
    <row r="114" spans="5:21">
      <c r="E114" s="113"/>
      <c r="J114" s="125"/>
      <c r="K114" s="125"/>
      <c r="L114" s="39"/>
      <c r="M114" s="39"/>
      <c r="S114" s="125"/>
      <c r="T114" s="125"/>
      <c r="U114" s="125"/>
    </row>
    <row r="115" spans="5:21">
      <c r="E115" s="113"/>
      <c r="J115" s="125"/>
      <c r="K115" s="125"/>
      <c r="L115" s="39"/>
      <c r="M115" s="39"/>
      <c r="S115" s="125"/>
      <c r="T115" s="125"/>
      <c r="U115" s="125"/>
    </row>
    <row r="116" spans="5:21">
      <c r="E116" s="113"/>
      <c r="J116" s="125"/>
      <c r="K116" s="125"/>
      <c r="L116" s="39"/>
      <c r="M116" s="39"/>
      <c r="S116" s="125"/>
      <c r="T116" s="125"/>
      <c r="U116" s="125"/>
    </row>
    <row r="117" spans="5:21">
      <c r="E117" s="113"/>
      <c r="J117" s="125"/>
      <c r="K117" s="125"/>
      <c r="L117" s="39"/>
      <c r="M117" s="39"/>
      <c r="S117" s="125"/>
      <c r="T117" s="125"/>
      <c r="U117" s="125"/>
    </row>
    <row r="118" spans="5:21">
      <c r="E118" s="113"/>
      <c r="J118" s="125"/>
      <c r="K118" s="125"/>
      <c r="L118" s="39"/>
      <c r="M118" s="39"/>
      <c r="S118" s="125"/>
      <c r="T118" s="125"/>
      <c r="U118" s="125"/>
    </row>
    <row r="119" spans="5:21">
      <c r="E119" s="113"/>
      <c r="J119" s="125"/>
      <c r="K119" s="125"/>
      <c r="L119" s="39"/>
      <c r="M119" s="39"/>
      <c r="S119" s="125"/>
      <c r="T119" s="125"/>
      <c r="U119" s="125"/>
    </row>
    <row r="120" spans="5:21">
      <c r="E120" s="113"/>
      <c r="J120" s="125"/>
      <c r="K120" s="125"/>
      <c r="L120" s="39"/>
      <c r="M120" s="39"/>
      <c r="S120" s="125"/>
      <c r="T120" s="125"/>
      <c r="U120" s="125"/>
    </row>
    <row r="121" spans="5:21">
      <c r="E121" s="113"/>
      <c r="J121" s="125"/>
      <c r="K121" s="125"/>
      <c r="L121" s="39"/>
      <c r="M121" s="39"/>
      <c r="S121" s="125"/>
      <c r="T121" s="125"/>
      <c r="U121" s="125"/>
    </row>
    <row r="122" spans="5:21">
      <c r="E122" s="113"/>
      <c r="J122" s="125"/>
      <c r="K122" s="125"/>
      <c r="L122" s="39"/>
      <c r="M122" s="39"/>
      <c r="S122" s="125"/>
      <c r="T122" s="125"/>
      <c r="U122" s="125"/>
    </row>
    <row r="123" spans="5:21">
      <c r="E123" s="113"/>
      <c r="J123" s="125"/>
      <c r="K123" s="125"/>
      <c r="L123" s="39"/>
      <c r="M123" s="39"/>
      <c r="S123" s="125"/>
      <c r="T123" s="125"/>
      <c r="U123" s="125"/>
    </row>
    <row r="124" spans="5:21">
      <c r="E124" s="113"/>
      <c r="J124" s="125"/>
      <c r="K124" s="125"/>
      <c r="L124" s="39"/>
      <c r="M124" s="39"/>
      <c r="S124" s="125"/>
      <c r="T124" s="125"/>
      <c r="U124" s="125"/>
    </row>
    <row r="125" spans="5:21">
      <c r="E125" s="113"/>
      <c r="J125" s="125"/>
      <c r="K125" s="125"/>
      <c r="L125" s="39"/>
      <c r="M125" s="39"/>
      <c r="S125" s="125"/>
      <c r="T125" s="125"/>
      <c r="U125" s="125"/>
    </row>
    <row r="126" spans="5:21">
      <c r="E126" s="113"/>
      <c r="J126" s="125"/>
      <c r="K126" s="125"/>
      <c r="L126" s="39"/>
      <c r="M126" s="39"/>
      <c r="S126" s="125"/>
      <c r="T126" s="125"/>
      <c r="U126" s="125"/>
    </row>
    <row r="127" spans="5:21">
      <c r="E127" s="113"/>
      <c r="J127" s="125"/>
      <c r="K127" s="125"/>
      <c r="L127" s="39"/>
      <c r="M127" s="39"/>
      <c r="S127" s="125"/>
      <c r="T127" s="125"/>
      <c r="U127" s="125"/>
    </row>
    <row r="128" spans="5:21">
      <c r="E128" s="113"/>
      <c r="J128" s="125"/>
      <c r="K128" s="125"/>
      <c r="L128" s="39"/>
      <c r="M128" s="39"/>
      <c r="S128" s="125"/>
      <c r="T128" s="125"/>
      <c r="U128" s="125"/>
    </row>
    <row r="129" spans="5:21">
      <c r="E129" s="113"/>
      <c r="J129" s="125"/>
      <c r="K129" s="125"/>
      <c r="L129" s="39"/>
      <c r="M129" s="39"/>
      <c r="S129" s="125"/>
      <c r="T129" s="125"/>
      <c r="U129" s="125"/>
    </row>
    <row r="130" spans="5:21">
      <c r="E130" s="113"/>
      <c r="J130" s="125"/>
      <c r="K130" s="125"/>
      <c r="L130" s="39"/>
      <c r="M130" s="39"/>
      <c r="S130" s="125"/>
      <c r="T130" s="125"/>
      <c r="U130" s="125"/>
    </row>
    <row r="131" spans="5:21">
      <c r="E131" s="113"/>
      <c r="J131" s="125"/>
      <c r="K131" s="125"/>
      <c r="L131" s="39"/>
      <c r="M131" s="39"/>
      <c r="S131" s="125"/>
      <c r="T131" s="125"/>
      <c r="U131" s="125"/>
    </row>
    <row r="132" spans="5:21">
      <c r="E132" s="113"/>
      <c r="J132" s="125"/>
      <c r="K132" s="125"/>
      <c r="L132" s="39"/>
      <c r="M132" s="39"/>
      <c r="S132" s="125"/>
      <c r="T132" s="125"/>
      <c r="U132" s="125"/>
    </row>
    <row r="133" spans="5:21">
      <c r="E133" s="113"/>
      <c r="J133" s="125"/>
      <c r="K133" s="125"/>
      <c r="L133" s="39"/>
      <c r="M133" s="39"/>
      <c r="S133" s="125"/>
      <c r="T133" s="125"/>
      <c r="U133" s="125"/>
    </row>
    <row r="134" spans="5:21">
      <c r="E134" s="113"/>
      <c r="J134" s="125"/>
      <c r="K134" s="125"/>
      <c r="L134" s="39"/>
      <c r="M134" s="39"/>
      <c r="S134" s="125"/>
      <c r="T134" s="125"/>
      <c r="U134" s="125"/>
    </row>
    <row r="135" spans="5:21">
      <c r="E135" s="113"/>
      <c r="J135" s="125"/>
      <c r="K135" s="125"/>
      <c r="L135" s="39"/>
      <c r="M135" s="39"/>
      <c r="S135" s="125"/>
      <c r="T135" s="125"/>
      <c r="U135" s="125"/>
    </row>
    <row r="136" spans="5:21">
      <c r="E136" s="113"/>
      <c r="J136" s="125"/>
      <c r="K136" s="125"/>
      <c r="L136" s="39"/>
      <c r="M136" s="39"/>
      <c r="S136" s="125"/>
      <c r="T136" s="125"/>
      <c r="U136" s="125"/>
    </row>
    <row r="137" spans="5:21">
      <c r="E137" s="113"/>
      <c r="J137" s="125"/>
      <c r="K137" s="125"/>
      <c r="L137" s="39"/>
      <c r="M137" s="39"/>
      <c r="S137" s="125"/>
      <c r="T137" s="125"/>
      <c r="U137" s="125"/>
    </row>
    <row r="138" spans="5:21">
      <c r="E138" s="113"/>
      <c r="J138" s="125"/>
      <c r="K138" s="125"/>
      <c r="L138" s="39"/>
      <c r="M138" s="39"/>
      <c r="S138" s="125"/>
      <c r="T138" s="125"/>
      <c r="U138" s="125"/>
    </row>
    <row r="139" spans="5:21">
      <c r="E139" s="113"/>
      <c r="S139" s="125"/>
      <c r="T139" s="125"/>
      <c r="U139" s="125"/>
    </row>
    <row r="140" spans="5:21">
      <c r="E140" s="113"/>
      <c r="S140" s="125"/>
      <c r="T140" s="125"/>
      <c r="U140" s="125"/>
    </row>
    <row r="141" spans="5:21">
      <c r="E141" s="113"/>
      <c r="S141" s="125"/>
      <c r="T141" s="125"/>
      <c r="U141" s="125"/>
    </row>
    <row r="142" spans="5:21">
      <c r="E142" s="113"/>
      <c r="S142" s="125"/>
      <c r="T142" s="125"/>
      <c r="U142" s="125"/>
    </row>
    <row r="143" spans="5:21">
      <c r="E143" s="113"/>
      <c r="S143" s="125"/>
      <c r="T143" s="125"/>
      <c r="U143" s="125"/>
    </row>
    <row r="144" spans="5:21">
      <c r="E144" s="113"/>
      <c r="S144" s="125"/>
      <c r="T144" s="125"/>
      <c r="U144" s="125"/>
    </row>
    <row r="145" spans="5:21">
      <c r="E145" s="113"/>
      <c r="S145" s="125"/>
      <c r="T145" s="125"/>
      <c r="U145" s="125"/>
    </row>
    <row r="146" spans="5:21">
      <c r="E146" s="113"/>
      <c r="S146" s="125"/>
      <c r="T146" s="125"/>
      <c r="U146" s="125"/>
    </row>
    <row r="147" spans="5:21">
      <c r="E147" s="113"/>
      <c r="S147" s="125"/>
      <c r="T147" s="125"/>
      <c r="U147" s="125"/>
    </row>
    <row r="148" spans="5:21">
      <c r="E148" s="113"/>
      <c r="S148" s="125"/>
      <c r="T148" s="125"/>
      <c r="U148" s="125"/>
    </row>
    <row r="149" spans="5:21">
      <c r="E149" s="113"/>
      <c r="S149" s="125"/>
      <c r="T149" s="125"/>
      <c r="U149" s="125"/>
    </row>
    <row r="150" spans="5:21">
      <c r="E150" s="113"/>
      <c r="S150" s="125"/>
      <c r="T150" s="125"/>
      <c r="U150" s="125"/>
    </row>
    <row r="151" spans="5:21">
      <c r="E151" s="113"/>
      <c r="S151" s="125"/>
      <c r="T151" s="125"/>
      <c r="U151" s="125"/>
    </row>
    <row r="152" spans="5:21">
      <c r="E152" s="113"/>
      <c r="S152" s="125"/>
      <c r="T152" s="125"/>
      <c r="U152" s="125"/>
    </row>
    <row r="153" spans="5:21">
      <c r="E153" s="113"/>
      <c r="S153" s="125"/>
      <c r="T153" s="125"/>
      <c r="U153" s="125"/>
    </row>
    <row r="154" spans="5:21">
      <c r="E154" s="113"/>
      <c r="S154" s="125"/>
      <c r="T154" s="125"/>
      <c r="U154" s="125"/>
    </row>
    <row r="155" spans="5:21">
      <c r="E155" s="113"/>
      <c r="S155" s="125"/>
      <c r="T155" s="125"/>
      <c r="U155" s="125"/>
    </row>
    <row r="156" spans="5:21">
      <c r="E156" s="113"/>
      <c r="S156" s="125"/>
      <c r="T156" s="125"/>
      <c r="U156" s="125"/>
    </row>
    <row r="157" spans="5:21">
      <c r="E157" s="113"/>
      <c r="S157" s="125"/>
      <c r="T157" s="125"/>
      <c r="U157" s="125"/>
    </row>
    <row r="158" spans="5:21">
      <c r="E158" s="113"/>
      <c r="S158" s="125"/>
      <c r="T158" s="125"/>
      <c r="U158" s="125"/>
    </row>
    <row r="159" spans="5:21">
      <c r="E159" s="113"/>
      <c r="S159" s="125"/>
      <c r="T159" s="125"/>
      <c r="U159" s="125"/>
    </row>
    <row r="160" spans="5:21">
      <c r="E160" s="113"/>
      <c r="S160" s="125"/>
      <c r="T160" s="125"/>
      <c r="U160" s="125"/>
    </row>
    <row r="161" spans="5:21">
      <c r="E161" s="113"/>
      <c r="S161" s="125"/>
      <c r="T161" s="125"/>
      <c r="U161" s="125"/>
    </row>
    <row r="162" spans="5:21">
      <c r="E162" s="113"/>
      <c r="S162" s="125"/>
      <c r="T162" s="125"/>
      <c r="U162" s="125"/>
    </row>
    <row r="163" spans="5:21">
      <c r="E163" s="113"/>
      <c r="S163" s="125"/>
      <c r="T163" s="125"/>
      <c r="U163" s="125"/>
    </row>
    <row r="164" spans="5:21">
      <c r="E164" s="254"/>
      <c r="S164" s="125"/>
      <c r="T164" s="125"/>
      <c r="U164" s="125"/>
    </row>
    <row r="165" spans="5:21">
      <c r="E165" s="254"/>
      <c r="S165" s="125"/>
      <c r="T165" s="125"/>
      <c r="U165" s="125"/>
    </row>
    <row r="166" spans="5:21">
      <c r="E166" s="254"/>
      <c r="S166" s="125"/>
      <c r="T166" s="125"/>
      <c r="U166" s="125"/>
    </row>
    <row r="167" spans="5:21">
      <c r="E167" s="254"/>
      <c r="S167" s="125"/>
      <c r="T167" s="125"/>
      <c r="U167" s="125"/>
    </row>
    <row r="168" spans="5:21">
      <c r="E168" s="254"/>
      <c r="S168" s="125"/>
      <c r="T168" s="125"/>
      <c r="U168" s="125"/>
    </row>
    <row r="169" spans="5:21">
      <c r="E169" s="254"/>
      <c r="S169" s="125"/>
      <c r="T169" s="125"/>
      <c r="U169" s="125"/>
    </row>
    <row r="170" spans="5:21">
      <c r="E170" s="254"/>
      <c r="S170" s="125"/>
      <c r="T170" s="125"/>
      <c r="U170" s="125"/>
    </row>
    <row r="171" spans="5:21">
      <c r="E171" s="254"/>
      <c r="S171" s="125"/>
      <c r="T171" s="125"/>
      <c r="U171" s="125"/>
    </row>
    <row r="172" spans="5:21">
      <c r="E172" s="254"/>
      <c r="S172" s="125"/>
      <c r="T172" s="125"/>
      <c r="U172" s="125"/>
    </row>
    <row r="173" spans="5:21">
      <c r="E173" s="254"/>
      <c r="S173" s="125"/>
      <c r="T173" s="125"/>
      <c r="U173" s="125"/>
    </row>
    <row r="174" spans="5:21">
      <c r="E174" s="254"/>
      <c r="S174" s="125"/>
      <c r="T174" s="125"/>
      <c r="U174" s="125"/>
    </row>
    <row r="175" spans="5:21">
      <c r="E175" s="254"/>
      <c r="S175" s="125"/>
      <c r="T175" s="125"/>
      <c r="U175" s="125"/>
    </row>
    <row r="176" spans="5:21">
      <c r="E176" s="254"/>
      <c r="S176" s="125"/>
      <c r="T176" s="125"/>
      <c r="U176" s="125"/>
    </row>
    <row r="177" spans="5:21">
      <c r="E177" s="254"/>
      <c r="S177" s="125"/>
      <c r="T177" s="125"/>
      <c r="U177" s="125"/>
    </row>
    <row r="178" spans="5:21">
      <c r="E178" s="254"/>
      <c r="S178" s="125"/>
      <c r="T178" s="125"/>
      <c r="U178" s="125"/>
    </row>
    <row r="179" spans="5:21">
      <c r="E179" s="254"/>
      <c r="S179" s="125"/>
      <c r="T179" s="125"/>
      <c r="U179" s="125"/>
    </row>
    <row r="180" spans="5:21">
      <c r="E180" s="254"/>
      <c r="S180" s="125"/>
      <c r="T180" s="125"/>
      <c r="U180" s="125"/>
    </row>
    <row r="181" spans="5:21">
      <c r="E181" s="254"/>
      <c r="S181" s="125"/>
      <c r="T181" s="125"/>
      <c r="U181" s="125"/>
    </row>
    <row r="182" spans="5:21">
      <c r="E182" s="254"/>
      <c r="S182" s="125"/>
      <c r="T182" s="125"/>
      <c r="U182" s="125"/>
    </row>
    <row r="183" spans="5:21">
      <c r="E183" s="254"/>
      <c r="S183" s="125"/>
      <c r="T183" s="125"/>
      <c r="U183" s="125"/>
    </row>
    <row r="184" spans="5:21">
      <c r="E184" s="254"/>
      <c r="S184" s="125"/>
      <c r="T184" s="125"/>
      <c r="U184" s="125"/>
    </row>
    <row r="185" spans="5:21">
      <c r="E185" s="254"/>
      <c r="S185" s="125"/>
      <c r="T185" s="125"/>
      <c r="U185" s="125"/>
    </row>
    <row r="186" spans="5:21">
      <c r="E186" s="254"/>
      <c r="S186" s="125"/>
      <c r="T186" s="125"/>
      <c r="U186" s="125"/>
    </row>
    <row r="187" spans="5:21">
      <c r="E187" s="254"/>
      <c r="S187" s="125"/>
      <c r="T187" s="125"/>
      <c r="U187" s="125"/>
    </row>
    <row r="188" spans="5:21">
      <c r="E188" s="254"/>
      <c r="S188" s="125"/>
      <c r="T188" s="125"/>
      <c r="U188" s="125"/>
    </row>
    <row r="189" spans="5:21">
      <c r="E189" s="254"/>
      <c r="S189" s="125"/>
      <c r="T189" s="125"/>
      <c r="U189" s="125"/>
    </row>
    <row r="190" spans="5:21">
      <c r="E190" s="254"/>
      <c r="S190" s="125"/>
      <c r="T190" s="125"/>
      <c r="U190" s="125"/>
    </row>
    <row r="191" spans="5:21">
      <c r="E191" s="254"/>
      <c r="S191" s="125"/>
      <c r="T191" s="125"/>
      <c r="U191" s="125"/>
    </row>
    <row r="192" spans="5:21">
      <c r="E192" s="254"/>
      <c r="S192" s="125"/>
      <c r="T192" s="125"/>
      <c r="U192" s="125"/>
    </row>
    <row r="193" spans="5:21">
      <c r="E193" s="254"/>
      <c r="S193" s="125"/>
      <c r="T193" s="125"/>
      <c r="U193" s="125"/>
    </row>
    <row r="194" spans="5:21">
      <c r="E194" s="254"/>
      <c r="S194" s="125"/>
      <c r="T194" s="125"/>
      <c r="U194" s="125"/>
    </row>
    <row r="195" spans="5:21">
      <c r="E195" s="254"/>
      <c r="S195" s="125"/>
      <c r="T195" s="125"/>
      <c r="U195" s="125"/>
    </row>
    <row r="196" spans="5:21">
      <c r="E196" s="254"/>
      <c r="S196" s="125"/>
      <c r="T196" s="125"/>
      <c r="U196" s="125"/>
    </row>
    <row r="197" spans="5:21">
      <c r="E197" s="254"/>
      <c r="S197" s="125"/>
      <c r="T197" s="125"/>
      <c r="U197" s="125"/>
    </row>
    <row r="198" spans="5:21">
      <c r="E198" s="254"/>
      <c r="S198" s="125"/>
      <c r="T198" s="125"/>
      <c r="U198" s="125"/>
    </row>
    <row r="199" spans="5:21">
      <c r="E199" s="254"/>
      <c r="S199" s="125"/>
      <c r="T199" s="125"/>
      <c r="U199" s="125"/>
    </row>
    <row r="200" spans="5:21">
      <c r="E200" s="254"/>
      <c r="S200" s="125"/>
      <c r="T200" s="125"/>
      <c r="U200" s="125"/>
    </row>
    <row r="201" spans="5:21">
      <c r="E201" s="254"/>
      <c r="S201" s="125"/>
      <c r="T201" s="125"/>
      <c r="U201" s="125"/>
    </row>
    <row r="202" spans="5:21">
      <c r="E202" s="254"/>
      <c r="S202" s="125"/>
      <c r="T202" s="125"/>
      <c r="U202" s="125"/>
    </row>
    <row r="203" spans="5:21">
      <c r="E203" s="254"/>
      <c r="S203" s="125"/>
      <c r="T203" s="125"/>
      <c r="U203" s="125"/>
    </row>
    <row r="204" spans="5:21">
      <c r="E204" s="254"/>
      <c r="S204" s="125"/>
      <c r="T204" s="125"/>
      <c r="U204" s="125"/>
    </row>
    <row r="205" spans="5:21">
      <c r="E205" s="254"/>
      <c r="S205" s="125"/>
      <c r="T205" s="125"/>
      <c r="U205" s="125"/>
    </row>
    <row r="206" spans="5:21">
      <c r="E206" s="254"/>
    </row>
    <row r="207" spans="5:21">
      <c r="E207" s="254"/>
    </row>
    <row r="208" spans="5:21">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row r="247" spans="5:5">
      <c r="E247" s="254"/>
    </row>
    <row r="248" spans="5:5">
      <c r="E248" s="254"/>
    </row>
    <row r="249" spans="5:5">
      <c r="E249" s="254"/>
    </row>
    <row r="250" spans="5:5">
      <c r="E250" s="254"/>
    </row>
    <row r="251" spans="5:5">
      <c r="E251" s="254"/>
    </row>
    <row r="252" spans="5:5">
      <c r="E252" s="254"/>
    </row>
    <row r="253" spans="5:5">
      <c r="E253" s="254"/>
    </row>
    <row r="254" spans="5:5">
      <c r="E254" s="254"/>
    </row>
    <row r="255" spans="5:5">
      <c r="E255" s="254"/>
    </row>
    <row r="256" spans="5:5">
      <c r="E256" s="254"/>
    </row>
    <row r="257" spans="5:5">
      <c r="E257" s="254"/>
    </row>
    <row r="258" spans="5:5">
      <c r="E258" s="254"/>
    </row>
    <row r="259" spans="5:5">
      <c r="E259" s="254"/>
    </row>
    <row r="260" spans="5:5">
      <c r="E260" s="254"/>
    </row>
    <row r="261" spans="5:5">
      <c r="E261" s="254"/>
    </row>
    <row r="262" spans="5:5">
      <c r="E262" s="254"/>
    </row>
  </sheetData>
  <dataConsolidate/>
  <customSheetViews>
    <customSheetView guid="{F03309BC-D3FA-4CF2-833B-D6D9A95FE1FB}" showGridLines="0" state="hidden">
      <pane xSplit="3" ySplit="5" topLeftCell="F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F6" activePane="bottomRight" state="frozen"/>
      <selection pane="bottomRight" activeCell="D2" sqref="D2"/>
      <pageMargins left="0" right="0" top="0" bottom="0" header="0" footer="0"/>
      <pageSetup paperSize="9" orientation="portrait" r:id="rId2"/>
    </customSheetView>
    <customSheetView guid="{1C16EB38-F785-4168-9938-104594734038}" showGridLines="0" state="hidden">
      <pane xSplit="3" ySplit="5" topLeftCell="F6" activePane="bottomRight" state="frozen"/>
      <selection pane="bottomRight" activeCell="D2" sqref="D2"/>
      <pageMargins left="0" right="0" top="0" bottom="0" header="0" footer="0"/>
      <pageSetup paperSize="9" orientation="portrait" r:id="rId3"/>
    </customSheetView>
    <customSheetView guid="{0E935136-9A80-44B6-88D5-61E64D742049}" showGridLines="0" state="hidden">
      <pane xSplit="3" ySplit="5" topLeftCell="F6" activePane="bottomRight" state="frozen"/>
      <selection pane="bottomRight" activeCell="D2" sqref="D2"/>
      <pageMargins left="0" right="0" top="0" bottom="0" header="0" footer="0"/>
      <pageSetup paperSize="9" orientation="portrait" r:id="rId4"/>
    </customSheetView>
    <customSheetView guid="{E6EFD927-84B2-4D06-BB59-59D9DF522DA2}" showGridLines="0" state="hidden">
      <pane xSplit="3" ySplit="5" topLeftCell="F6" activePane="bottomRight" state="frozen"/>
      <selection pane="bottomRight" activeCell="D2" sqref="D2"/>
      <pageMargins left="0" right="0" top="0" bottom="0" header="0" footer="0"/>
      <pageSetup paperSize="9" orientation="portrait" r:id="rId5"/>
    </customSheetView>
    <customSheetView guid="{3F0A4FBA-5323-448F-A023-B3E14C54064C}" showGridLines="0">
      <pane xSplit="3" ySplit="5" topLeftCell="F6" activePane="bottomRight" state="frozen"/>
      <selection pane="bottomRight" activeCell="D2" sqref="D2"/>
      <pageMargins left="0" right="0" top="0" bottom="0" header="0" footer="0"/>
      <pageSetup paperSize="9" orientation="portrait" r:id="rId6"/>
    </customSheetView>
    <customSheetView guid="{D97B1299-69D0-4EE0-B673-CCF74742F96B}" scale="85" state="hidden">
      <selection activeCell="C2" sqref="C2:E2"/>
      <pageMargins left="0" right="0" top="0" bottom="0" header="0" footer="0"/>
      <pageSetup paperSize="9" orientation="portrait" r:id="rId7"/>
    </customSheetView>
    <customSheetView guid="{F468A2FD-7987-4A9D-8BAE-1AACE523607F}" showGridLines="0" state="hidden">
      <pane xSplit="3" ySplit="5" topLeftCell="F6" activePane="bottomRight" state="frozen"/>
      <selection pane="bottomRight" activeCell="D2" sqref="D2"/>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custom" allowBlank="1" showInputMessage="1" showErrorMessage="1" error="Please do not change this formula" prompt="Please do not change this formula" sqref="W4 V1:V4 R6:R8 S5:V5 O1:R4 N1:N1048576 R14:R1048576 O6:Q1048576 V6:V1048576" xr:uid="{A922D6BC-DE04-4259-9952-D3E869B93687}">
      <formula1>"Please do not change this formula"</formula1>
    </dataValidation>
    <dataValidation type="list" allowBlank="1" showInputMessage="1" showErrorMessage="1" sqref="D70:D74 D33:D42 D10:D17 D77:D81 D20:D30 D84:D91 D8 D52:D57 D45:D49 D60:D67" xr:uid="{DADD7D49-D520-40F5-892C-D26BF7D08FB4}">
      <formula1>Flow_units</formula1>
    </dataValidation>
    <dataValidation type="custom" allowBlank="1" showInputMessage="1" showErrorMessage="1" error="Please do not change" sqref="R9:R13" xr:uid="{72895127-8990-4533-B323-F8EA93F599F5}">
      <formula1>"Please do not change"</formula1>
    </dataValidation>
    <dataValidation type="custom" allowBlank="1" showInputMessage="1" showErrorMessage="1" error="Please do not change this formula" sqref="O5:R5" xr:uid="{A20AD2AC-BC9F-4E1D-8FA9-04F4BE625EA4}">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4:T92 S7:T68" xr:uid="{3661D0DB-624E-4C16-8998-1460223B9327}">
      <formula1>0</formula1>
    </dataValidation>
  </dataValidations>
  <hyperlinks>
    <hyperlink ref="I2:J2" location="GHG_FOSSIL_NG_REFORM_CCS!A1" display="Go to the summary tab of this pathway" xr:uid="{7014A66A-524A-4173-AFD4-37619EC61EC0}"/>
    <hyperlink ref="I2:K2" location="GHG_NG_SPLITTING!A1" display="Go to the summary GHG worksheet" xr:uid="{EE30EEAB-8BBD-4722-8C07-D63F755C571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6" id="{00000000-000E-0000-1B00-000004000000}">
            <xm:f>AND(Path&lt;&gt;Units!$B$93,Master_Switch="On")</xm:f>
            <x14:dxf>
              <font>
                <color theme="0"/>
              </font>
              <fill>
                <patternFill>
                  <bgColor theme="0"/>
                </patternFill>
              </fill>
              <border>
                <left/>
                <right/>
                <top/>
                <bottom/>
                <vertical/>
                <horizontal/>
              </border>
            </x14:dxf>
          </x14:cfRule>
          <xm:sqref>A2:H2 L2:XFD2 A3:XFD116</xm:sqref>
        </x14:conditionalFormatting>
        <x14:conditionalFormatting xmlns:xm="http://schemas.microsoft.com/office/excel/2006/main">
          <x14:cfRule type="expression" priority="5" id="{0A01FC82-8F1F-457B-A79F-56A5FE60058D}">
            <xm:f>AND(GHG_NG_SPLITTING!$D$7="Default",Master_Switch="On")</xm:f>
            <x14:dxf>
              <font>
                <color theme="0"/>
              </font>
              <fill>
                <patternFill>
                  <bgColor theme="0"/>
                </patternFill>
              </fill>
            </x14:dxf>
          </x14:cfRule>
          <xm:sqref>B21:X30</xm:sqref>
        </x14:conditionalFormatting>
        <x14:conditionalFormatting xmlns:xm="http://schemas.microsoft.com/office/excel/2006/main">
          <x14:cfRule type="expression" priority="3" id="{ABE1D42B-8283-409C-A021-0E0FEA54CDAF}">
            <xm:f>AND(GHG_NG_SPLITTING!$D$8="Default",Master_Switch="On")</xm:f>
            <x14:dxf>
              <font>
                <color theme="0"/>
              </font>
              <fill>
                <patternFill>
                  <bgColor theme="0"/>
                </patternFill>
              </fill>
            </x14:dxf>
          </x14:cfRule>
          <xm:sqref>B33:X42</xm:sqref>
        </x14:conditionalFormatting>
        <x14:conditionalFormatting xmlns:xm="http://schemas.microsoft.com/office/excel/2006/main">
          <x14:cfRule type="expression" priority="1" id="{0F499F4D-9E42-4BAA-8FE8-6BC473CB0FE7}">
            <xm:f>AND(Path&lt;&gt;Units!$B$90,Path&lt;&gt;Units!$B$91,Path&lt;&gt;Units!$B$92, Path&lt;&gt;Units!$B$93,Master_Switch="On")</xm:f>
            <x14:dxf>
              <font>
                <color theme="0"/>
              </font>
              <fill>
                <patternFill>
                  <bgColor theme="0"/>
                </patternFill>
              </fill>
              <border>
                <left/>
                <right/>
                <top/>
                <bottom/>
                <vertical/>
                <horizontal/>
              </border>
            </x14:dxf>
          </x14:cfRule>
          <xm:sqref>I2:K2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7973F66-6114-478D-AAC4-13FE72E8018A}">
          <x14:formula1>
            <xm:f>Units!$Z$84</xm:f>
          </x14:formula1>
          <xm:sqref>D9</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2504E-5A69-4739-BC5F-59D45D672028}">
  <sheetPr codeName="Sheet55">
    <tabColor theme="3" tint="-0.249977111117893"/>
  </sheetPr>
  <dimension ref="A1:E19"/>
  <sheetViews>
    <sheetView showGridLines="0" zoomScaleNormal="100" workbookViewId="0"/>
  </sheetViews>
  <sheetFormatPr defaultColWidth="8.85546875" defaultRowHeight="14.45"/>
  <cols>
    <col min="1" max="1" width="6.5703125" customWidth="1"/>
    <col min="2" max="2" width="92.85546875" customWidth="1"/>
    <col min="3" max="3" width="41.140625" customWidth="1"/>
    <col min="4" max="10" width="21.140625" customWidth="1"/>
  </cols>
  <sheetData>
    <row r="1" spans="1:5" ht="30.95">
      <c r="A1" s="566" t="str">
        <f>IF(AND(OR(Path&lt;&gt;Units!B94,AND(Path=Units!B94, Initial_questions!$E$27&lt;&gt;Units!$L$86)), Master_Switch="On"),"User should not fill in this sheet, but switch to other non-blank GHG worksheets","")</f>
        <v>User should not fill in this sheet, but switch to other non-blank GHG worksheets</v>
      </c>
    </row>
    <row r="2" spans="1:5" ht="21">
      <c r="A2" s="611"/>
      <c r="C2" s="735" t="s">
        <v>1141</v>
      </c>
      <c r="D2" s="737"/>
      <c r="E2" s="738"/>
    </row>
    <row r="3" spans="1:5" ht="30.95">
      <c r="A3" s="566"/>
    </row>
    <row r="4" spans="1:5">
      <c r="B4" s="28" t="s">
        <v>1201</v>
      </c>
    </row>
    <row r="5" spans="1:5" ht="16.5">
      <c r="B5" t="s">
        <v>1202</v>
      </c>
    </row>
    <row r="7" spans="1:5" ht="18" customHeight="1">
      <c r="B7" t="s">
        <v>1203</v>
      </c>
      <c r="C7" s="576" t="str">
        <f>"Heating using natural gas from the UK gas grid"</f>
        <v>Heating using natural gas from the UK gas grid</v>
      </c>
      <c r="D7" s="555" t="s">
        <v>1204</v>
      </c>
    </row>
    <row r="8" spans="1:5" ht="16.5">
      <c r="B8" t="s">
        <v>1205</v>
      </c>
      <c r="C8" s="576">
        <v>1</v>
      </c>
      <c r="D8" s="555" t="s">
        <v>1206</v>
      </c>
    </row>
    <row r="9" spans="1:5" ht="16.5">
      <c r="B9" t="s">
        <v>1207</v>
      </c>
      <c r="C9" s="577">
        <f>('Typical data'!$C$280+'Typical data'!$C$366)</f>
        <v>62.959999999999994</v>
      </c>
      <c r="D9" t="s">
        <v>1208</v>
      </c>
    </row>
    <row r="10" spans="1:5" ht="16.5">
      <c r="B10" t="s">
        <v>1209</v>
      </c>
      <c r="C10" s="556" t="s">
        <v>1128</v>
      </c>
      <c r="D10" t="s">
        <v>1210</v>
      </c>
    </row>
    <row r="13" spans="1:5">
      <c r="B13" s="555" t="s">
        <v>1211</v>
      </c>
    </row>
    <row r="14" spans="1:5">
      <c r="B14" s="555" t="s">
        <v>1212</v>
      </c>
    </row>
    <row r="16" spans="1:5">
      <c r="B16" s="555" t="s">
        <v>1213</v>
      </c>
    </row>
    <row r="17" spans="2:2">
      <c r="B17" s="555"/>
    </row>
    <row r="18" spans="2:2">
      <c r="B18" s="53"/>
    </row>
    <row r="19" spans="2:2">
      <c r="B19" s="53"/>
    </row>
  </sheetData>
  <customSheetViews>
    <customSheetView guid="{F03309BC-D3FA-4CF2-833B-D6D9A95FE1FB}" state="hidden">
      <selection activeCell="D2" sqref="D2"/>
      <pageMargins left="0" right="0" top="0" bottom="0" header="0" footer="0"/>
      <pageSetup paperSize="9" orientation="portrait" r:id="rId1"/>
    </customSheetView>
    <customSheetView guid="{EECBF9DF-6D77-4263-85DA-71E40216BADD}" state="hidden">
      <selection activeCell="C2" sqref="C2:E2"/>
      <pageMargins left="0" right="0" top="0" bottom="0" header="0" footer="0"/>
      <pageSetup paperSize="9" orientation="portrait" r:id="rId2"/>
    </customSheetView>
    <customSheetView guid="{1C16EB38-F785-4168-9938-104594734038}" showGridLines="0" state="hidden">
      <selection activeCell="C2" sqref="C2:E2"/>
      <pageMargins left="0" right="0" top="0" bottom="0" header="0" footer="0"/>
      <pageSetup paperSize="9" orientation="portrait" r:id="rId3"/>
    </customSheetView>
    <customSheetView guid="{0E935136-9A80-44B6-88D5-61E64D742049}" showGridLines="0" state="hidden">
      <selection activeCell="I2" sqref="I2:K2"/>
      <pageMargins left="0" right="0" top="0" bottom="0" header="0" footer="0"/>
      <pageSetup paperSize="9" orientation="portrait" r:id="rId4"/>
    </customSheetView>
    <customSheetView guid="{E6EFD927-84B2-4D06-BB59-59D9DF522DA2}" scale="80" state="hidden">
      <selection activeCell="C2" sqref="C2:E2"/>
      <pageMargins left="0" right="0" top="0" bottom="0" header="0" footer="0"/>
      <pageSetup paperSize="9" orientation="portrait" r:id="rId5"/>
    </customSheetView>
    <customSheetView guid="{3F0A4FBA-5323-448F-A023-B3E14C54064C}" state="hidden">
      <selection activeCell="C2" sqref="C2:E2"/>
      <pageMargins left="0" right="0" top="0" bottom="0" header="0" footer="0"/>
      <pageSetup paperSize="9" orientation="portrait" r:id="rId6"/>
    </customSheetView>
    <customSheetView guid="{D97B1299-69D0-4EE0-B673-CCF74742F96B}">
      <selection activeCell="C2" sqref="C2:E2"/>
      <pageMargins left="0" right="0" top="0" bottom="0" header="0" footer="0"/>
      <pageSetup paperSize="9" orientation="portrait" r:id="rId7"/>
    </customSheetView>
    <customSheetView guid="{F468A2FD-7987-4A9D-8BAE-1AACE523607F}" state="hidden">
      <selection activeCell="D2" sqref="D2"/>
      <pageMargins left="0" right="0" top="0" bottom="0" header="0" footer="0"/>
      <pageSetup paperSize="9" orientation="portrait" r:id="rId8"/>
    </customSheetView>
    <customSheetView guid="{2D920366-22B2-4182-A65D-0EDBE614FB37}" showGridLines="0">
      <pageMargins left="0" right="0" top="0" bottom="0" header="0" footer="0"/>
      <pageSetup paperSize="9" orientation="portrait" r:id="rId9"/>
    </customSheetView>
  </customSheetViews>
  <mergeCells count="1">
    <mergeCell ref="C2:E2"/>
  </mergeCells>
  <dataValidations count="1">
    <dataValidation type="decimal" operator="greaterThan" allowBlank="1" showInputMessage="1" showErrorMessage="1" errorTitle="Negative value used" error="Efficiency, displaced GHG intensity and CO2 emitted from ROG fossil feedstock carbon values must all be non-negative" sqref="C8 C10" xr:uid="{8B52FF8C-7564-4C9D-A232-5D72619C11A8}">
      <formula1>0</formula1>
    </dataValidation>
  </dataValidations>
  <hyperlinks>
    <hyperlink ref="C2:D2" location="GHG_FOSSIL_NG_REFORM_CCS!A1" display="Go to the summary tab of this pathway" xr:uid="{CC5090B0-7E12-45B5-AB56-0BC00EEBC06B}"/>
    <hyperlink ref="C2:E2" location="ROG_Processing!A1" display="Go to the next step of this pathway" xr:uid="{061A3F76-2122-4926-98B3-466D4A7F71FA}"/>
  </hyperlinks>
  <pageMargins left="0" right="0" top="0" bottom="0" header="0" footer="0"/>
  <pageSetup paperSize="9" orientation="portrait" r:id="rId10"/>
  <headerFooter>
    <oddHeader>&amp;C&amp;"Aptos"&amp;10&amp;K000000 OFFICIAL&amp;1#_x000D_</oddHeader>
    <oddFooter>&amp;C_x000D_&amp;1#&amp;"Aptos"&amp;10&amp;K000000 OFFICIAL</oddFooter>
  </headerFooter>
  <ignoredErrors>
    <ignoredError sqref="C7" unlockedFormula="1"/>
  </ignoredErrors>
  <extLst>
    <ext xmlns:x14="http://schemas.microsoft.com/office/spreadsheetml/2009/9/main" uri="{78C0D931-6437-407d-A8EE-F0AAD7539E65}">
      <x14:conditionalFormattings>
        <x14:conditionalFormatting xmlns:xm="http://schemas.microsoft.com/office/excel/2006/main">
          <x14:cfRule type="expression" priority="260" id="{A2A07DCE-C531-427B-8326-30E0D943A268}">
            <xm:f>AND(OR(Path&lt;&gt;Units!$B$94,AND(Path=Units!$B$94,Initial_questions!$E$27&lt;&gt;Units!$L$86)),Master_Switch="On")</xm:f>
            <x14:dxf>
              <font>
                <strike val="0"/>
                <color theme="0"/>
              </font>
              <fill>
                <patternFill>
                  <bgColor theme="0"/>
                </patternFill>
              </fill>
              <border>
                <left/>
                <right/>
                <top/>
                <bottom/>
              </border>
            </x14:dxf>
          </x14:cfRule>
          <xm:sqref>A2:XFD100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tabColor theme="8" tint="0.59999389629810485"/>
  </sheetPr>
  <dimension ref="B1:Z171"/>
  <sheetViews>
    <sheetView showGridLines="0" zoomScaleNormal="100" workbookViewId="0"/>
  </sheetViews>
  <sheetFormatPr defaultColWidth="7.140625" defaultRowHeight="14.45"/>
  <cols>
    <col min="1" max="1" width="8.5703125" customWidth="1"/>
    <col min="2" max="2" width="19.5703125" customWidth="1"/>
    <col min="3" max="3" width="8.85546875" customWidth="1"/>
    <col min="4" max="4" width="8.5703125" customWidth="1"/>
    <col min="9" max="15" width="7.140625" customWidth="1"/>
    <col min="17" max="17" width="6" customWidth="1"/>
    <col min="19" max="19" width="8.85546875" customWidth="1"/>
    <col min="23" max="23" width="17.5703125" customWidth="1"/>
    <col min="24" max="24" width="18.42578125" customWidth="1"/>
    <col min="25" max="25" width="22.85546875" customWidth="1"/>
  </cols>
  <sheetData>
    <row r="1" spans="2:22" ht="15" thickBot="1">
      <c r="B1" s="3" t="s">
        <v>105</v>
      </c>
      <c r="C1" s="3"/>
      <c r="D1" s="3"/>
    </row>
    <row r="2" spans="2:22" ht="15.6" thickTop="1" thickBot="1">
      <c r="B2" s="175" t="s">
        <v>106</v>
      </c>
      <c r="C2" s="175"/>
      <c r="D2" s="175"/>
      <c r="E2" s="175"/>
      <c r="F2" s="175"/>
      <c r="G2" s="175"/>
      <c r="H2" s="175"/>
    </row>
    <row r="3" spans="2:22">
      <c r="B3" s="30"/>
    </row>
    <row r="4" spans="2:22">
      <c r="B4" s="30" t="s">
        <v>107</v>
      </c>
    </row>
    <row r="5" spans="2:22">
      <c r="B5" s="133"/>
      <c r="C5" s="651" t="s">
        <v>108</v>
      </c>
      <c r="D5" s="652"/>
      <c r="E5" s="652"/>
      <c r="F5" s="652"/>
      <c r="G5" s="652"/>
      <c r="H5" s="653"/>
    </row>
    <row r="6" spans="2:22">
      <c r="B6" s="143"/>
      <c r="C6" s="654" t="s">
        <v>109</v>
      </c>
      <c r="D6" s="655"/>
      <c r="E6" s="655"/>
      <c r="F6" s="655"/>
      <c r="G6" s="655"/>
      <c r="H6" s="656"/>
    </row>
    <row r="7" spans="2:22">
      <c r="B7" s="134"/>
      <c r="C7" s="651" t="s">
        <v>110</v>
      </c>
      <c r="D7" s="652"/>
      <c r="E7" s="652"/>
      <c r="F7" s="652"/>
      <c r="G7" s="652"/>
      <c r="H7" s="653"/>
    </row>
    <row r="9" spans="2:22">
      <c r="B9" s="28"/>
    </row>
    <row r="10" spans="2:22" ht="15" thickBot="1">
      <c r="B10" s="174" t="s">
        <v>111</v>
      </c>
      <c r="C10" s="174"/>
    </row>
    <row r="11" spans="2:22" ht="15" thickTop="1"/>
    <row r="12" spans="2:22">
      <c r="B12" s="648" t="s">
        <v>112</v>
      </c>
      <c r="C12" s="648"/>
      <c r="D12" s="648"/>
      <c r="E12" s="648"/>
      <c r="F12" s="648"/>
      <c r="G12" s="648"/>
      <c r="H12" s="648"/>
      <c r="I12" s="648"/>
      <c r="J12" s="648"/>
      <c r="K12" s="648"/>
      <c r="L12" s="648"/>
      <c r="M12" s="648"/>
      <c r="N12" s="648"/>
      <c r="O12" s="648"/>
      <c r="P12" s="648"/>
      <c r="Q12" s="648"/>
      <c r="R12" s="648"/>
      <c r="S12" s="648"/>
      <c r="T12" s="648"/>
      <c r="U12" s="648"/>
      <c r="V12" s="648"/>
    </row>
    <row r="13" spans="2:22">
      <c r="B13" t="s">
        <v>113</v>
      </c>
      <c r="C13" s="4"/>
      <c r="D13" s="4"/>
    </row>
    <row r="14" spans="2:22">
      <c r="B14" s="130"/>
      <c r="C14" s="130"/>
      <c r="D14" s="130"/>
    </row>
    <row r="18" spans="2:25">
      <c r="C18" s="124"/>
    </row>
    <row r="19" spans="2:25">
      <c r="B19" s="28"/>
      <c r="C19" s="28"/>
      <c r="D19" s="28"/>
    </row>
    <row r="20" spans="2:25">
      <c r="C20" s="124"/>
    </row>
    <row r="22" spans="2:25">
      <c r="C22" s="124"/>
    </row>
    <row r="23" spans="2:25" ht="31.5" customHeight="1">
      <c r="B23" s="647" t="s">
        <v>114</v>
      </c>
      <c r="C23" s="647"/>
      <c r="D23" s="647"/>
      <c r="E23" s="647"/>
      <c r="F23" s="647"/>
      <c r="G23" s="647"/>
      <c r="H23" s="647"/>
      <c r="I23" s="647"/>
      <c r="J23" s="647"/>
      <c r="K23" s="647"/>
      <c r="L23" s="647"/>
      <c r="M23" s="647"/>
      <c r="N23" s="647"/>
      <c r="O23" s="647"/>
      <c r="P23" s="647"/>
      <c r="Q23" s="647"/>
      <c r="R23" s="647"/>
      <c r="S23" s="647"/>
      <c r="T23" s="647"/>
      <c r="U23" s="647"/>
      <c r="V23" s="647"/>
      <c r="W23" s="647"/>
      <c r="X23" s="647"/>
      <c r="Y23" s="647"/>
    </row>
    <row r="24" spans="2:25">
      <c r="B24" s="657" t="s">
        <v>115</v>
      </c>
      <c r="C24" s="647"/>
      <c r="D24" s="647"/>
      <c r="E24" s="647"/>
      <c r="F24" s="647"/>
      <c r="G24" s="647"/>
      <c r="H24" s="647"/>
      <c r="I24" s="647"/>
      <c r="J24" s="647"/>
      <c r="K24" s="647"/>
      <c r="L24" s="647"/>
      <c r="M24" s="647"/>
      <c r="N24" s="647"/>
      <c r="O24" s="647"/>
      <c r="P24" s="647"/>
      <c r="Q24" s="647"/>
      <c r="R24" s="647"/>
      <c r="S24" s="647"/>
      <c r="T24" s="647"/>
      <c r="U24" s="647"/>
      <c r="V24" s="647"/>
      <c r="W24" s="647"/>
      <c r="X24" s="647"/>
      <c r="Y24" s="647"/>
    </row>
    <row r="25" spans="2:25">
      <c r="C25" s="124"/>
    </row>
    <row r="26" spans="2:25">
      <c r="C26" s="124"/>
    </row>
    <row r="27" spans="2:25">
      <c r="C27" s="124"/>
    </row>
    <row r="28" spans="2:25">
      <c r="C28" s="124"/>
    </row>
    <row r="29" spans="2:25">
      <c r="C29" s="124"/>
    </row>
    <row r="30" spans="2:25">
      <c r="C30" s="124"/>
    </row>
    <row r="31" spans="2:25">
      <c r="C31" s="124"/>
    </row>
    <row r="32" spans="2:25">
      <c r="C32" s="124"/>
    </row>
    <row r="33" spans="2:26">
      <c r="C33" s="124"/>
    </row>
    <row r="34" spans="2:26">
      <c r="C34" s="124"/>
    </row>
    <row r="35" spans="2:26" ht="59.45" customHeight="1">
      <c r="C35" s="124"/>
    </row>
    <row r="36" spans="2:26">
      <c r="C36" s="124"/>
    </row>
    <row r="37" spans="2:26">
      <c r="C37" s="124"/>
    </row>
    <row r="38" spans="2:26">
      <c r="C38" s="124"/>
    </row>
    <row r="39" spans="2:26">
      <c r="C39" s="124"/>
    </row>
    <row r="40" spans="2:26">
      <c r="B40" t="s">
        <v>116</v>
      </c>
      <c r="C40" s="124"/>
    </row>
    <row r="41" spans="2:26">
      <c r="C41" s="124"/>
    </row>
    <row r="42" spans="2:26" ht="31.9" customHeight="1">
      <c r="B42" s="647" t="s">
        <v>117</v>
      </c>
      <c r="C42" s="647"/>
      <c r="D42" s="647"/>
      <c r="E42" s="647"/>
      <c r="F42" s="647"/>
      <c r="G42" s="647"/>
      <c r="H42" s="647"/>
      <c r="I42" s="647"/>
      <c r="J42" s="647"/>
      <c r="K42" s="647"/>
      <c r="L42" s="647"/>
      <c r="M42" s="647"/>
      <c r="N42" s="647"/>
      <c r="O42" s="647"/>
      <c r="P42" s="647"/>
      <c r="Q42" s="647"/>
      <c r="R42" s="647"/>
      <c r="S42" s="647"/>
      <c r="T42" s="647"/>
      <c r="U42" s="647"/>
      <c r="V42" s="647"/>
      <c r="W42" s="647"/>
      <c r="X42" s="647"/>
      <c r="Y42" s="647"/>
    </row>
    <row r="43" spans="2:26">
      <c r="C43" s="124"/>
    </row>
    <row r="44" spans="2:26">
      <c r="B44" s="648" t="s">
        <v>118</v>
      </c>
      <c r="C44" s="648"/>
      <c r="D44" s="648"/>
      <c r="E44" s="648"/>
      <c r="F44" s="648"/>
      <c r="G44" s="648"/>
      <c r="H44" s="648"/>
      <c r="I44" s="648"/>
      <c r="J44" s="648"/>
      <c r="K44" s="648"/>
      <c r="L44" s="648"/>
      <c r="M44" s="648"/>
      <c r="N44" s="648"/>
      <c r="O44" s="648"/>
      <c r="P44" s="648"/>
      <c r="Q44" s="648"/>
      <c r="R44" s="648"/>
      <c r="S44" s="648"/>
      <c r="T44" s="648"/>
      <c r="U44" s="648"/>
      <c r="V44" s="648"/>
      <c r="W44" s="648"/>
      <c r="X44" s="648"/>
      <c r="Y44" s="648"/>
      <c r="Z44" s="648"/>
    </row>
    <row r="62" spans="2:22">
      <c r="B62" s="649"/>
      <c r="C62" s="649"/>
      <c r="D62" s="649"/>
      <c r="E62" s="649"/>
      <c r="F62" s="649"/>
      <c r="G62" s="649"/>
      <c r="H62" s="649"/>
      <c r="I62" s="649"/>
      <c r="J62" s="649"/>
      <c r="K62" s="649"/>
      <c r="L62" s="649"/>
      <c r="M62" s="649"/>
      <c r="N62" s="649"/>
      <c r="O62" s="649"/>
      <c r="P62" s="649"/>
      <c r="Q62" s="649"/>
      <c r="R62" s="649"/>
      <c r="S62" s="649"/>
      <c r="T62" s="649"/>
      <c r="U62" s="649"/>
      <c r="V62" s="649"/>
    </row>
    <row r="81" spans="2:25">
      <c r="B81" s="650" t="s">
        <v>119</v>
      </c>
      <c r="C81" s="650"/>
      <c r="D81" s="650"/>
      <c r="E81" s="650"/>
      <c r="F81" s="650"/>
      <c r="G81" s="650"/>
      <c r="H81" s="650"/>
      <c r="I81" s="650"/>
      <c r="J81" s="650"/>
      <c r="K81" s="650"/>
      <c r="L81" s="650"/>
      <c r="M81" s="650"/>
      <c r="N81" s="650"/>
      <c r="O81" s="650"/>
      <c r="P81" s="650"/>
      <c r="Q81" s="650"/>
      <c r="R81" s="650"/>
      <c r="S81" s="650"/>
      <c r="T81" s="650"/>
      <c r="U81" s="650"/>
      <c r="V81" s="650"/>
      <c r="W81" s="650"/>
      <c r="X81" s="650"/>
      <c r="Y81" s="650"/>
    </row>
    <row r="90" spans="2:25">
      <c r="B90" s="648"/>
      <c r="C90" s="648"/>
      <c r="D90" s="648"/>
      <c r="E90" s="648"/>
      <c r="F90" s="648"/>
      <c r="G90" s="648"/>
      <c r="H90" s="648"/>
      <c r="I90" s="648"/>
      <c r="J90" s="648"/>
      <c r="K90" s="648"/>
      <c r="L90" s="648"/>
      <c r="M90" s="648"/>
      <c r="N90" s="648"/>
      <c r="O90" s="648"/>
      <c r="P90" s="648"/>
      <c r="Q90" s="648"/>
      <c r="R90" s="648"/>
      <c r="S90" s="648"/>
      <c r="T90" s="648"/>
      <c r="U90" s="648"/>
      <c r="V90" s="648"/>
    </row>
    <row r="111" spans="2:2">
      <c r="B111" s="28" t="s">
        <v>120</v>
      </c>
    </row>
    <row r="121" ht="125.1" customHeight="1"/>
    <row r="122" ht="15" customHeight="1"/>
    <row r="123" ht="15" customHeight="1"/>
    <row r="124" ht="15" customHeight="1"/>
    <row r="125" ht="15" customHeight="1"/>
    <row r="126" ht="15" customHeight="1"/>
    <row r="127" ht="15" customHeight="1"/>
    <row r="128" ht="15" customHeight="1"/>
    <row r="129" spans="2:25" ht="15" customHeight="1"/>
    <row r="130" spans="2:25" ht="15" customHeight="1"/>
    <row r="131" spans="2:25" ht="15" customHeight="1"/>
    <row r="132" spans="2:25" ht="15" customHeight="1"/>
    <row r="133" spans="2:25" ht="43.5" customHeight="1">
      <c r="B133" s="647" t="s">
        <v>121</v>
      </c>
      <c r="C133" s="647"/>
      <c r="D133" s="647"/>
      <c r="E133" s="647"/>
      <c r="F133" s="647"/>
      <c r="G133" s="647"/>
      <c r="H133" s="647"/>
      <c r="I133" s="647"/>
      <c r="J133" s="647"/>
      <c r="K133" s="647"/>
      <c r="L133" s="647"/>
      <c r="M133" s="647"/>
      <c r="N133" s="647"/>
      <c r="O133" s="647"/>
      <c r="P133" s="647"/>
      <c r="Q133" s="647"/>
      <c r="R133" s="647"/>
      <c r="S133" s="647"/>
      <c r="T133" s="647"/>
      <c r="U133" s="647"/>
      <c r="V133" s="647"/>
      <c r="W133" s="647"/>
      <c r="X133" s="647"/>
      <c r="Y133" s="647"/>
    </row>
    <row r="170" spans="2:25" ht="68.099999999999994" customHeight="1">
      <c r="B170" s="647" t="s">
        <v>122</v>
      </c>
      <c r="C170" s="647"/>
      <c r="D170" s="647"/>
      <c r="E170" s="647"/>
      <c r="F170" s="647"/>
      <c r="G170" s="647"/>
      <c r="H170" s="647"/>
      <c r="I170" s="647"/>
      <c r="J170" s="647"/>
      <c r="K170" s="647"/>
      <c r="L170" s="647"/>
      <c r="M170" s="647"/>
      <c r="N170" s="647"/>
      <c r="O170" s="647"/>
      <c r="P170" s="647"/>
      <c r="Q170" s="647"/>
      <c r="R170" s="647"/>
      <c r="S170" s="647"/>
      <c r="T170" s="647"/>
      <c r="U170" s="647"/>
      <c r="V170" s="647"/>
      <c r="W170" s="647"/>
      <c r="X170" s="647"/>
      <c r="Y170" s="647"/>
    </row>
    <row r="171" spans="2:25">
      <c r="B171" s="28" t="s">
        <v>123</v>
      </c>
    </row>
  </sheetData>
  <customSheetViews>
    <customSheetView guid="{F03309BC-D3FA-4CF2-833B-D6D9A95FE1FB}" showGridLines="0">
      <selection activeCell="D2" sqref="D2"/>
      <pageMargins left="0" right="0" top="0" bottom="0" header="0" footer="0"/>
      <pageSetup paperSize="9" orientation="portrait" r:id="rId1"/>
    </customSheetView>
    <customSheetView guid="{EECBF9DF-6D77-4263-85DA-71E40216BADD}" showGridLines="0">
      <selection activeCell="D1" sqref="D1"/>
      <pageMargins left="0" right="0" top="0" bottom="0" header="0" footer="0"/>
      <pageSetup paperSize="9" orientation="portrait" r:id="rId2"/>
    </customSheetView>
    <customSheetView guid="{1C16EB38-F785-4168-9938-104594734038}" showGridLines="0">
      <selection activeCell="D1" sqref="D1"/>
      <pageMargins left="0" right="0" top="0" bottom="0" header="0" footer="0"/>
      <pageSetup paperSize="9" orientation="portrait" r:id="rId3"/>
    </customSheetView>
    <customSheetView guid="{0E935136-9A80-44B6-88D5-61E64D742049}" showGridLines="0">
      <selection activeCell="D1" sqref="D1"/>
      <pageMargins left="0" right="0" top="0" bottom="0" header="0" footer="0"/>
      <pageSetup paperSize="9" orientation="portrait" r:id="rId4"/>
    </customSheetView>
    <customSheetView guid="{E6EFD927-84B2-4D06-BB59-59D9DF522DA2}" showGridLines="0">
      <selection activeCell="D1" sqref="D1"/>
      <pageMargins left="0" right="0" top="0" bottom="0" header="0" footer="0"/>
      <pageSetup paperSize="9" orientation="portrait" r:id="rId5"/>
    </customSheetView>
    <customSheetView guid="{3F0A4FBA-5323-448F-A023-B3E14C54064C}" showGridLines="0">
      <selection activeCell="D2" sqref="D2"/>
      <pageMargins left="0" right="0" top="0" bottom="0" header="0" footer="0"/>
      <pageSetup paperSize="9" orientation="portrait" r:id="rId6"/>
    </customSheetView>
    <customSheetView guid="{D97B1299-69D0-4EE0-B673-CCF74742F96B}">
      <selection activeCell="D2" sqref="D2"/>
      <pageMargins left="0" right="0" top="0" bottom="0" header="0" footer="0"/>
      <pageSetup paperSize="9" orientation="portrait" r:id="rId7"/>
    </customSheetView>
    <customSheetView guid="{F468A2FD-7987-4A9D-8BAE-1AACE523607F}" showGridLines="0">
      <selection activeCell="D1" sqref="D1"/>
      <pageMargins left="0" right="0" top="0" bottom="0" header="0" footer="0"/>
      <pageSetup paperSize="9" orientation="portrait" r:id="rId8"/>
    </customSheetView>
    <customSheetView guid="{2D920366-22B2-4182-A65D-0EDBE614FB37}" showGridLines="0">
      <pageMargins left="0" right="0" top="0" bottom="0" header="0" footer="0"/>
      <pageSetup paperSize="9" orientation="portrait" r:id="rId9"/>
    </customSheetView>
  </customSheetViews>
  <mergeCells count="13">
    <mergeCell ref="C5:H5"/>
    <mergeCell ref="C6:H6"/>
    <mergeCell ref="C7:H7"/>
    <mergeCell ref="B12:V12"/>
    <mergeCell ref="B24:Y24"/>
    <mergeCell ref="B170:Y170"/>
    <mergeCell ref="B90:V90"/>
    <mergeCell ref="B62:V62"/>
    <mergeCell ref="B133:Y133"/>
    <mergeCell ref="B23:Y23"/>
    <mergeCell ref="B81:Y81"/>
    <mergeCell ref="B44:Z44"/>
    <mergeCell ref="B42:Y42"/>
  </mergeCell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7135-79FF-494A-B24F-451A2ACAC35B}">
  <sheetPr>
    <tabColor theme="3" tint="-0.249977111117893"/>
  </sheetPr>
  <dimension ref="A1:AC190"/>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ol min="24" max="24" width="26" style="12" customWidth="1"/>
    <col min="26" max="16384" width="7.140625" style="12"/>
  </cols>
  <sheetData>
    <row r="1" spans="1:29" ht="31.9" customHeight="1">
      <c r="A1" s="80" t="str">
        <f>IF(AND(OR(Path&lt;&gt;Units!$B$94,AND(Path=Units!$B$94, Initial_questions!$E$27&lt;&gt;Units!$L$88)), Master_Switch="On"),"User should not fill in this sheet, but switch to other non-blank GHG worksheets","")</f>
        <v>User should not fill in this sheet, but switch to other non-blank GHG worksheets</v>
      </c>
      <c r="C1" s="80"/>
      <c r="E1" s="254"/>
    </row>
    <row r="2" spans="1:29" ht="20.45" customHeight="1">
      <c r="B2" s="80"/>
      <c r="E2" s="254"/>
      <c r="I2" s="735" t="s">
        <v>1141</v>
      </c>
      <c r="J2" s="737"/>
      <c r="K2" s="738"/>
      <c r="L2" s="39"/>
      <c r="M2" s="39"/>
    </row>
    <row r="3" spans="1:29" ht="15" customHeight="1">
      <c r="E3" s="254"/>
    </row>
    <row r="4" spans="1:29" ht="15.6" customHeight="1" thickBot="1">
      <c r="A4" s="19"/>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1142</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84" t="s">
        <v>1069</v>
      </c>
      <c r="C8" s="182" t="s">
        <v>1146</v>
      </c>
      <c r="D8" s="177" t="s">
        <v>447</v>
      </c>
      <c r="E8" s="304"/>
      <c r="F8" s="21"/>
      <c r="G8" s="21"/>
      <c r="H8" s="20"/>
      <c r="I8" s="459"/>
      <c r="J8" s="300"/>
      <c r="K8" s="300"/>
      <c r="L8" s="300"/>
      <c r="M8" s="300"/>
      <c r="N8" s="240">
        <f t="shared" ref="N8:N17" si="0">IF($D8="MWh/yr (LHV)",$E8,$J8*$E8*(1-$L8)/Conversion_kWh_to_MJ)</f>
        <v>0</v>
      </c>
      <c r="O8" s="12"/>
      <c r="P8" s="12"/>
      <c r="S8" s="298" t="str">
        <f t="shared" ref="S8:S17" si="1">IF(B8="", "", IF(D8="MWh/yr (LHV)", "Use column to right", "Enter data here"))</f>
        <v>Use column to right</v>
      </c>
      <c r="T8" s="298" t="e">
        <f>INDEX(Proj_grid_intensity_kWh,MATCH(Operations_year,Proj_grid_year,0))/Conversion_kWh_to_MJ</f>
        <v>#N/A</v>
      </c>
      <c r="U8" s="35" t="s">
        <v>1112</v>
      </c>
      <c r="V8" s="240" t="str">
        <f>IFERROR(IF(D8="tonnes/yr", $S8*$E8/($N$20*3.6), $T8*$E8*3.6/($N$20*3.6)), "Unfilled fields to left")</f>
        <v>Unfilled fields to left</v>
      </c>
      <c r="X8" s="25"/>
      <c r="Y8" s="12"/>
    </row>
    <row r="9" spans="1:29">
      <c r="B9" s="184" t="s">
        <v>1069</v>
      </c>
      <c r="C9" s="182" t="s">
        <v>1147</v>
      </c>
      <c r="D9" s="177" t="s">
        <v>447</v>
      </c>
      <c r="E9" s="304"/>
      <c r="F9" s="21"/>
      <c r="G9" s="21"/>
      <c r="H9" s="20"/>
      <c r="I9" s="459"/>
      <c r="J9" s="300"/>
      <c r="K9" s="300"/>
      <c r="L9" s="300"/>
      <c r="M9" s="300"/>
      <c r="N9" s="240">
        <f t="shared" si="0"/>
        <v>0</v>
      </c>
      <c r="O9" s="12"/>
      <c r="P9" s="12"/>
      <c r="S9" s="298" t="str">
        <f t="shared" si="1"/>
        <v>Use column to right</v>
      </c>
      <c r="T9" s="298" t="str">
        <f t="shared" ref="T9:T17" si="2">IF(B9="", "", IF(D9="MWh/yr (LHV)", "Enter data here", "Use column to left"))</f>
        <v>Enter data here</v>
      </c>
      <c r="U9" s="35" t="s">
        <v>1148</v>
      </c>
      <c r="V9" s="240" t="str">
        <f t="shared" ref="V9:V17" si="3">IFERROR(IF(D9="tonnes/yr", $S9*$E9/($N$20*3.6), $T9*$E9*3.6/($N$20*3.6)), "Unfilled fields to left")</f>
        <v>Unfilled fields to left</v>
      </c>
      <c r="X9" s="25"/>
      <c r="Y9" s="12"/>
    </row>
    <row r="10" spans="1:29">
      <c r="B10" s="184" t="s">
        <v>1090</v>
      </c>
      <c r="C10" s="182" t="s">
        <v>1091</v>
      </c>
      <c r="D10" s="177" t="s">
        <v>425</v>
      </c>
      <c r="E10" s="304"/>
      <c r="F10" s="21"/>
      <c r="G10" s="21"/>
      <c r="H10" s="20"/>
      <c r="I10" s="459"/>
      <c r="J10" s="300"/>
      <c r="K10" s="300"/>
      <c r="L10" s="300"/>
      <c r="M10" s="300"/>
      <c r="N10" s="240">
        <f t="shared" si="0"/>
        <v>0</v>
      </c>
      <c r="O10" s="12"/>
      <c r="P10" s="12"/>
      <c r="S10" s="298" t="str">
        <f t="shared" si="1"/>
        <v>Enter data here</v>
      </c>
      <c r="T10" s="298" t="str">
        <f t="shared" si="2"/>
        <v>Use column to left</v>
      </c>
      <c r="U10" s="35" t="s">
        <v>1148</v>
      </c>
      <c r="V10" s="240" t="str">
        <f t="shared" si="3"/>
        <v>Unfilled fields to left</v>
      </c>
      <c r="X10" s="25"/>
      <c r="Y10" s="12"/>
    </row>
    <row r="11" spans="1:29">
      <c r="B11" s="184" t="s">
        <v>1090</v>
      </c>
      <c r="C11" s="182" t="s">
        <v>1093</v>
      </c>
      <c r="D11" s="177" t="s">
        <v>425</v>
      </c>
      <c r="E11" s="304"/>
      <c r="F11" s="21"/>
      <c r="G11" s="21"/>
      <c r="H11" s="20"/>
      <c r="I11" s="459"/>
      <c r="J11" s="300"/>
      <c r="K11" s="300"/>
      <c r="L11" s="300"/>
      <c r="M11" s="300"/>
      <c r="N11" s="240">
        <f t="shared" si="0"/>
        <v>0</v>
      </c>
      <c r="O11" s="12"/>
      <c r="P11" s="12"/>
      <c r="S11" s="298" t="str">
        <f t="shared" si="1"/>
        <v>Enter data here</v>
      </c>
      <c r="T11" s="298" t="str">
        <f t="shared" si="2"/>
        <v>Use column to left</v>
      </c>
      <c r="U11" s="35" t="s">
        <v>1148</v>
      </c>
      <c r="V11" s="240" t="str">
        <f t="shared" si="3"/>
        <v>Unfilled fields to left</v>
      </c>
      <c r="X11" s="25"/>
      <c r="Y11" s="12"/>
    </row>
    <row r="12" spans="1:29">
      <c r="B12" s="184" t="s">
        <v>1099</v>
      </c>
      <c r="C12" s="182" t="s">
        <v>1058</v>
      </c>
      <c r="D12" s="177" t="s">
        <v>425</v>
      </c>
      <c r="E12" s="304"/>
      <c r="F12" s="21"/>
      <c r="G12" s="21"/>
      <c r="H12" s="20"/>
      <c r="I12" s="459"/>
      <c r="J12" s="300"/>
      <c r="K12" s="300"/>
      <c r="L12" s="300"/>
      <c r="M12" s="300"/>
      <c r="N12" s="240">
        <f t="shared" si="0"/>
        <v>0</v>
      </c>
      <c r="O12" s="12"/>
      <c r="P12" s="12"/>
      <c r="S12" s="298" t="str">
        <f t="shared" si="1"/>
        <v>Enter data here</v>
      </c>
      <c r="T12" s="298" t="str">
        <f t="shared" si="2"/>
        <v>Use column to left</v>
      </c>
      <c r="U12" s="35" t="s">
        <v>1148</v>
      </c>
      <c r="V12" s="240" t="str">
        <f t="shared" si="3"/>
        <v>Unfilled fields to left</v>
      </c>
      <c r="X12" s="25"/>
      <c r="Y12" s="12"/>
    </row>
    <row r="13" spans="1:29">
      <c r="B13" s="184" t="s">
        <v>1099</v>
      </c>
      <c r="C13" s="182" t="s">
        <v>1149</v>
      </c>
      <c r="D13" s="177" t="s">
        <v>425</v>
      </c>
      <c r="E13" s="304"/>
      <c r="F13" s="21"/>
      <c r="G13" s="21"/>
      <c r="H13" s="20"/>
      <c r="I13" s="459"/>
      <c r="J13" s="300"/>
      <c r="K13" s="300"/>
      <c r="L13" s="300"/>
      <c r="M13" s="300"/>
      <c r="N13" s="240">
        <f t="shared" si="0"/>
        <v>0</v>
      </c>
      <c r="O13" s="12"/>
      <c r="P13" s="12"/>
      <c r="S13" s="298" t="str">
        <f t="shared" si="1"/>
        <v>Enter data here</v>
      </c>
      <c r="T13" s="298" t="str">
        <f t="shared" si="2"/>
        <v>Use column to left</v>
      </c>
      <c r="U13" s="35" t="s">
        <v>1148</v>
      </c>
      <c r="V13" s="240" t="str">
        <f t="shared" si="3"/>
        <v>Unfilled fields to left</v>
      </c>
      <c r="X13" s="25"/>
      <c r="Y13" s="12"/>
    </row>
    <row r="14" spans="1:29">
      <c r="B14" s="184" t="s">
        <v>1150</v>
      </c>
      <c r="C14" s="182" t="s">
        <v>1103</v>
      </c>
      <c r="D14" s="177" t="s">
        <v>425</v>
      </c>
      <c r="E14" s="304"/>
      <c r="F14" s="21"/>
      <c r="G14" s="21"/>
      <c r="H14" s="20"/>
      <c r="I14" s="459"/>
      <c r="J14" s="300"/>
      <c r="K14" s="300"/>
      <c r="L14" s="300"/>
      <c r="M14" s="300"/>
      <c r="N14" s="240">
        <f t="shared" si="0"/>
        <v>0</v>
      </c>
      <c r="O14" s="12"/>
      <c r="P14" s="12"/>
      <c r="S14" s="298" t="str">
        <f t="shared" si="1"/>
        <v>Enter data here</v>
      </c>
      <c r="T14" s="298" t="str">
        <f t="shared" si="2"/>
        <v>Use column to left</v>
      </c>
      <c r="U14" s="35" t="s">
        <v>1148</v>
      </c>
      <c r="V14" s="240" t="str">
        <f t="shared" si="3"/>
        <v>Unfilled fields to left</v>
      </c>
      <c r="X14" s="25"/>
      <c r="Y14" s="12"/>
    </row>
    <row r="15" spans="1:29">
      <c r="B15" s="184" t="s">
        <v>1150</v>
      </c>
      <c r="C15" s="182"/>
      <c r="D15" s="177"/>
      <c r="E15" s="304"/>
      <c r="F15" s="21"/>
      <c r="G15" s="21"/>
      <c r="H15" s="20"/>
      <c r="I15" s="459"/>
      <c r="J15" s="300"/>
      <c r="K15" s="300"/>
      <c r="L15" s="300"/>
      <c r="M15" s="300"/>
      <c r="N15" s="240">
        <f t="shared" si="0"/>
        <v>0</v>
      </c>
      <c r="O15" s="12"/>
      <c r="P15" s="12"/>
      <c r="S15" s="298" t="str">
        <f t="shared" si="1"/>
        <v>Enter data here</v>
      </c>
      <c r="T15" s="298" t="str">
        <f t="shared" si="2"/>
        <v>Use column to left</v>
      </c>
      <c r="U15" s="35" t="s">
        <v>1148</v>
      </c>
      <c r="V15" s="240" t="str">
        <f t="shared" si="3"/>
        <v>Unfilled fields to left</v>
      </c>
      <c r="X15" s="25"/>
      <c r="Y15" s="12"/>
    </row>
    <row r="16" spans="1:29">
      <c r="B16" s="184"/>
      <c r="C16" s="182"/>
      <c r="D16" s="177"/>
      <c r="E16" s="304"/>
      <c r="F16" s="21"/>
      <c r="G16" s="21"/>
      <c r="H16" s="20"/>
      <c r="I16" s="459"/>
      <c r="J16" s="300"/>
      <c r="K16" s="300"/>
      <c r="L16" s="300"/>
      <c r="M16" s="300"/>
      <c r="N16" s="240">
        <f t="shared" si="0"/>
        <v>0</v>
      </c>
      <c r="O16" s="12"/>
      <c r="P16" s="12"/>
      <c r="S16" s="298" t="str">
        <f t="shared" si="1"/>
        <v/>
      </c>
      <c r="T16" s="298" t="str">
        <f t="shared" si="2"/>
        <v/>
      </c>
      <c r="U16" s="35"/>
      <c r="V16" s="240" t="str">
        <f t="shared" si="3"/>
        <v>Unfilled fields to left</v>
      </c>
      <c r="X16" s="25"/>
      <c r="Y16" s="12"/>
    </row>
    <row r="17" spans="2:29">
      <c r="B17" s="16"/>
      <c r="C17" s="15"/>
      <c r="D17" s="177"/>
      <c r="E17" s="304"/>
      <c r="F17" s="21"/>
      <c r="G17" s="21"/>
      <c r="H17" s="20"/>
      <c r="I17" s="459"/>
      <c r="J17" s="300"/>
      <c r="K17" s="300"/>
      <c r="L17" s="300"/>
      <c r="M17" s="300"/>
      <c r="N17" s="240">
        <f t="shared" si="0"/>
        <v>0</v>
      </c>
      <c r="O17" s="12"/>
      <c r="P17" s="12"/>
      <c r="S17" s="298" t="str">
        <f t="shared" si="1"/>
        <v/>
      </c>
      <c r="T17" s="298" t="str">
        <f t="shared" si="2"/>
        <v/>
      </c>
      <c r="U17" s="35"/>
      <c r="V17" s="240" t="str">
        <f t="shared" si="3"/>
        <v>Unfilled fields to left</v>
      </c>
      <c r="X17" s="25"/>
      <c r="Y17" s="12"/>
    </row>
    <row r="18" spans="2:29">
      <c r="C18" s="17"/>
      <c r="D18" s="17"/>
      <c r="E18" s="502"/>
      <c r="F18" s="26"/>
      <c r="G18" s="26"/>
      <c r="H18" s="22"/>
      <c r="I18" s="22"/>
      <c r="J18" s="41"/>
      <c r="K18" s="41"/>
      <c r="L18" s="41"/>
      <c r="M18" s="41"/>
      <c r="N18" s="41"/>
      <c r="S18" s="41"/>
      <c r="T18" s="41"/>
      <c r="U18" s="41"/>
      <c r="V18" s="41"/>
      <c r="X18" s="27"/>
      <c r="Y18" s="12"/>
    </row>
    <row r="19" spans="2:29">
      <c r="B19" s="144" t="s">
        <v>1151</v>
      </c>
      <c r="C19" s="144"/>
      <c r="D19" s="144"/>
      <c r="E19" s="489"/>
      <c r="F19" s="460"/>
      <c r="G19" s="460"/>
      <c r="H19" s="460"/>
      <c r="I19" s="460"/>
      <c r="J19" s="489"/>
      <c r="K19" s="489"/>
      <c r="L19" s="299"/>
      <c r="M19" s="299"/>
      <c r="N19" s="299"/>
      <c r="Q19"/>
      <c r="R19"/>
      <c r="S19" s="40"/>
      <c r="T19" s="40"/>
      <c r="U19" s="40"/>
      <c r="V19" s="40"/>
      <c r="W19" s="19"/>
      <c r="X19" s="19"/>
      <c r="Y19" s="19"/>
      <c r="Z19" s="19"/>
      <c r="AA19" s="19"/>
      <c r="AB19" s="19"/>
      <c r="AC19" s="19"/>
    </row>
    <row r="20" spans="2:29">
      <c r="B20" s="16" t="s">
        <v>1152</v>
      </c>
      <c r="C20" s="182" t="s">
        <v>1214</v>
      </c>
      <c r="D20" s="177" t="s">
        <v>447</v>
      </c>
      <c r="E20" s="304"/>
      <c r="F20" s="21"/>
      <c r="G20" s="21"/>
      <c r="H20" s="21"/>
      <c r="I20" s="21"/>
      <c r="J20" s="300"/>
      <c r="K20" s="304"/>
      <c r="L20" s="304"/>
      <c r="M20" s="304"/>
      <c r="N20" s="240">
        <f t="shared" ref="N20:N32" si="4">IF($D20="MWh/yr (LHV)",$E20,$J20*$E20*(1-$L20)/Conversion_kWh_to_MJ)</f>
        <v>0</v>
      </c>
      <c r="O20" s="244" t="s">
        <v>563</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04"/>
      <c r="F21" s="21"/>
      <c r="G21" s="21"/>
      <c r="H21" s="20"/>
      <c r="I21" s="20"/>
      <c r="J21" s="300"/>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04"/>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04"/>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04"/>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04"/>
      <c r="F25" s="21"/>
      <c r="G25" s="21"/>
      <c r="H25" s="20"/>
      <c r="I25" s="459"/>
      <c r="J25" s="300"/>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04"/>
      <c r="F26" s="21"/>
      <c r="G26" s="21"/>
      <c r="H26" s="20"/>
      <c r="I26" s="459"/>
      <c r="J26" s="300"/>
      <c r="K26" s="300"/>
      <c r="L26" s="300"/>
      <c r="M26" s="300"/>
      <c r="N26" s="240">
        <f t="shared" si="4"/>
        <v>0</v>
      </c>
      <c r="O26" s="12"/>
      <c r="P26" s="12"/>
      <c r="Q26" s="12"/>
      <c r="R26" s="12"/>
      <c r="S26" s="107"/>
      <c r="T26" s="107"/>
      <c r="U26" s="107"/>
      <c r="V26" s="12"/>
      <c r="X26" s="21"/>
    </row>
    <row r="27" spans="2:29" s="14" customFormat="1">
      <c r="B27" s="184" t="s">
        <v>1105</v>
      </c>
      <c r="C27" s="182" t="s">
        <v>1157</v>
      </c>
      <c r="D27" s="177" t="s">
        <v>425</v>
      </c>
      <c r="E27" s="304"/>
      <c r="F27" s="461"/>
      <c r="G27" s="21"/>
      <c r="H27" s="20"/>
      <c r="I27" s="459"/>
      <c r="J27" s="300"/>
      <c r="K27" s="300"/>
      <c r="L27" s="300"/>
      <c r="M27" s="300"/>
      <c r="N27" s="240">
        <f t="shared" si="4"/>
        <v>0</v>
      </c>
      <c r="O27" s="12"/>
      <c r="P27" s="12"/>
      <c r="Q27" s="12"/>
      <c r="R27" s="12"/>
      <c r="S27" s="524">
        <f>1*1000</f>
        <v>1000</v>
      </c>
      <c r="T27" s="473"/>
      <c r="U27" s="526" t="s">
        <v>1158</v>
      </c>
      <c r="V27" s="240" t="str">
        <f t="shared" ref="V27:V32" si="6">IFERROR(IF(D27="tonnes/yr", $S27*$E27/($N$20*3.6), $T27*$E27*3.6/($N$20*3.6)), "Unfilled fields to left")</f>
        <v>Unfilled fields to left</v>
      </c>
      <c r="X27" s="21"/>
    </row>
    <row r="28" spans="2:29" s="14" customFormat="1">
      <c r="B28" s="184" t="s">
        <v>1118</v>
      </c>
      <c r="C28" s="182" t="s">
        <v>1159</v>
      </c>
      <c r="D28" s="177" t="s">
        <v>425</v>
      </c>
      <c r="E28" s="35">
        <f>E27*E37</f>
        <v>0</v>
      </c>
      <c r="F28" s="461"/>
      <c r="G28" s="21"/>
      <c r="H28" s="20"/>
      <c r="I28" s="459"/>
      <c r="J28" s="300"/>
      <c r="K28" s="300"/>
      <c r="L28" s="300"/>
      <c r="M28" s="300"/>
      <c r="N28" s="240">
        <f t="shared" si="4"/>
        <v>0</v>
      </c>
      <c r="O28" s="12"/>
      <c r="P28" s="12"/>
      <c r="Q28" s="12"/>
      <c r="R28" s="12"/>
      <c r="S28" s="524">
        <v>-1000</v>
      </c>
      <c r="T28" s="473"/>
      <c r="U28" s="526" t="s">
        <v>1160</v>
      </c>
      <c r="V28" s="240" t="str">
        <f t="shared" si="6"/>
        <v>Unfilled fields to left</v>
      </c>
      <c r="X28" s="21"/>
    </row>
    <row r="29" spans="2:29" s="14" customFormat="1">
      <c r="B29" s="184" t="s">
        <v>1161</v>
      </c>
      <c r="C29" s="182" t="s">
        <v>1121</v>
      </c>
      <c r="D29" s="177" t="s">
        <v>425</v>
      </c>
      <c r="E29" s="304"/>
      <c r="F29" s="461"/>
      <c r="G29" s="21"/>
      <c r="H29" s="20"/>
      <c r="I29" s="459"/>
      <c r="J29" s="300"/>
      <c r="K29" s="300"/>
      <c r="L29" s="300"/>
      <c r="M29" s="300"/>
      <c r="N29" s="240">
        <f t="shared" si="4"/>
        <v>0</v>
      </c>
      <c r="O29" s="12"/>
      <c r="P29" s="12"/>
      <c r="Q29" s="12"/>
      <c r="R29" s="12"/>
      <c r="S29" s="524">
        <f>28*1000</f>
        <v>28000</v>
      </c>
      <c r="T29" s="473"/>
      <c r="U29" s="526" t="s">
        <v>1107</v>
      </c>
      <c r="V29" s="240" t="str">
        <f t="shared" si="6"/>
        <v>Unfilled fields to left</v>
      </c>
      <c r="X29" s="21"/>
    </row>
    <row r="30" spans="2:29" s="14" customFormat="1">
      <c r="B30" s="184" t="s">
        <v>1161</v>
      </c>
      <c r="C30" s="182" t="s">
        <v>1123</v>
      </c>
      <c r="D30" s="177" t="s">
        <v>425</v>
      </c>
      <c r="E30" s="304"/>
      <c r="F30" s="21"/>
      <c r="G30" s="21"/>
      <c r="H30" s="20"/>
      <c r="I30" s="459"/>
      <c r="J30" s="300"/>
      <c r="K30" s="300"/>
      <c r="L30" s="300"/>
      <c r="M30" s="300"/>
      <c r="N30" s="240">
        <f t="shared" si="4"/>
        <v>0</v>
      </c>
      <c r="O30" s="12"/>
      <c r="P30" s="12"/>
      <c r="Q30" s="12"/>
      <c r="R30" s="12"/>
      <c r="S30" s="530">
        <v>265000</v>
      </c>
      <c r="T30" s="514"/>
      <c r="U30" s="526" t="s">
        <v>1107</v>
      </c>
      <c r="V30" s="240" t="str">
        <f t="shared" si="6"/>
        <v>Unfilled fields to left</v>
      </c>
      <c r="X30" s="21"/>
    </row>
    <row r="31" spans="2:29" s="14" customFormat="1">
      <c r="B31" s="16"/>
      <c r="C31" s="15"/>
      <c r="D31" s="177"/>
      <c r="E31" s="304"/>
      <c r="F31" s="21"/>
      <c r="G31" s="21"/>
      <c r="H31" s="20"/>
      <c r="I31" s="459"/>
      <c r="J31" s="300"/>
      <c r="K31" s="300"/>
      <c r="L31" s="300"/>
      <c r="M31" s="300"/>
      <c r="N31" s="240">
        <f t="shared" si="4"/>
        <v>0</v>
      </c>
      <c r="O31" s="12"/>
      <c r="P31" s="12"/>
      <c r="Q31" s="12"/>
      <c r="R31" s="12"/>
      <c r="S31" s="525"/>
      <c r="T31" s="473"/>
      <c r="U31" s="527"/>
      <c r="V31" s="240" t="str">
        <f t="shared" si="6"/>
        <v>Unfilled fields to left</v>
      </c>
      <c r="X31" s="21"/>
    </row>
    <row r="32" spans="2:29" s="14" customFormat="1">
      <c r="B32" s="16"/>
      <c r="C32" s="15"/>
      <c r="D32" s="177"/>
      <c r="E32" s="304"/>
      <c r="F32" s="21"/>
      <c r="G32" s="21"/>
      <c r="H32" s="20"/>
      <c r="I32" s="459"/>
      <c r="J32" s="300"/>
      <c r="K32" s="300"/>
      <c r="L32" s="300"/>
      <c r="M32" s="300"/>
      <c r="N32" s="240">
        <f t="shared" si="4"/>
        <v>0</v>
      </c>
      <c r="O32" s="12"/>
      <c r="P32" s="12"/>
      <c r="Q32" s="12"/>
      <c r="R32" s="12"/>
      <c r="S32" s="524"/>
      <c r="T32" s="473"/>
      <c r="U32" s="527"/>
      <c r="V32" s="240" t="str">
        <f t="shared" si="6"/>
        <v>Unfilled fields to left</v>
      </c>
      <c r="X32" s="21"/>
    </row>
    <row r="33" spans="2:25">
      <c r="C33" s="17"/>
      <c r="D33" s="17"/>
      <c r="E33" s="139"/>
      <c r="F33" s="17"/>
      <c r="H33" s="18"/>
      <c r="I33" s="18"/>
      <c r="J33" s="40"/>
      <c r="K33" s="40"/>
      <c r="L33" s="39"/>
      <c r="M33" s="39"/>
      <c r="O33" s="12"/>
      <c r="P33" s="12"/>
      <c r="S33" s="40"/>
      <c r="T33" s="40"/>
      <c r="U33" s="40"/>
      <c r="V33" s="40"/>
      <c r="Y33" s="12"/>
    </row>
    <row r="34" spans="2:25">
      <c r="D34" s="17"/>
      <c r="E34" s="139"/>
      <c r="J34" s="39"/>
      <c r="K34" s="39"/>
      <c r="L34" s="107"/>
      <c r="M34" s="107"/>
      <c r="N34" s="107"/>
      <c r="O34" s="12"/>
      <c r="P34" s="12"/>
      <c r="S34" s="39"/>
      <c r="T34" s="39"/>
      <c r="U34" s="38" t="s">
        <v>1162</v>
      </c>
      <c r="V34" s="152">
        <f>SUM(V7:V33)</f>
        <v>0</v>
      </c>
      <c r="Y34" s="12"/>
    </row>
    <row r="35" spans="2:25">
      <c r="B35" s="144" t="s">
        <v>133</v>
      </c>
      <c r="C35" s="158"/>
      <c r="D35" s="158"/>
      <c r="E35" s="495"/>
      <c r="I35" s="12"/>
      <c r="J35" s="107"/>
      <c r="K35" s="107"/>
      <c r="L35" s="107"/>
      <c r="M35" s="107"/>
      <c r="N35" s="107"/>
      <c r="O35" s="12"/>
      <c r="P35" s="12"/>
      <c r="S35" s="107"/>
      <c r="T35" s="107"/>
      <c r="U35" s="107"/>
      <c r="Y35" s="12"/>
    </row>
    <row r="36" spans="2:25">
      <c r="B36" s="16" t="s">
        <v>1134</v>
      </c>
      <c r="C36" s="15" t="s">
        <v>1135</v>
      </c>
      <c r="D36" s="15" t="s">
        <v>1136</v>
      </c>
      <c r="E36" s="497"/>
      <c r="G36" s="19"/>
      <c r="H36" s="12"/>
      <c r="I36" s="12"/>
      <c r="J36" s="107"/>
      <c r="K36" s="107"/>
      <c r="L36" s="107"/>
      <c r="M36" s="107"/>
      <c r="N36" s="107"/>
      <c r="O36" s="12"/>
      <c r="P36" s="12"/>
      <c r="S36" s="107"/>
      <c r="T36" s="107"/>
      <c r="U36" s="107"/>
      <c r="V36" s="12"/>
      <c r="X36" s="25"/>
      <c r="Y36" s="12"/>
    </row>
    <row r="37" spans="2:25">
      <c r="B37" s="16" t="s">
        <v>1139</v>
      </c>
      <c r="C37" s="15" t="s">
        <v>1140</v>
      </c>
      <c r="D37" s="15" t="s">
        <v>897</v>
      </c>
      <c r="E37" s="508"/>
      <c r="H37" s="12"/>
      <c r="I37" s="12"/>
      <c r="J37" s="107"/>
      <c r="K37" s="107"/>
      <c r="L37" s="39"/>
      <c r="M37" s="39"/>
      <c r="S37" s="107"/>
      <c r="T37" s="107"/>
      <c r="U37" s="107"/>
      <c r="V37" s="12"/>
      <c r="X37" s="25"/>
      <c r="Y37" s="12"/>
    </row>
    <row r="38" spans="2:25">
      <c r="B38" s="16"/>
      <c r="C38" s="15"/>
      <c r="D38" s="15"/>
      <c r="E38" s="508"/>
      <c r="J38" s="39"/>
      <c r="K38" s="39"/>
      <c r="L38" s="39"/>
      <c r="M38" s="39"/>
      <c r="S38" s="39"/>
      <c r="T38" s="39"/>
      <c r="U38" s="39"/>
      <c r="X38" s="25"/>
    </row>
    <row r="39" spans="2:25">
      <c r="B39" s="16"/>
      <c r="C39" s="15"/>
      <c r="D39" s="15"/>
      <c r="E39" s="503"/>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S122" s="39"/>
      <c r="T122" s="39"/>
      <c r="U122" s="39"/>
    </row>
    <row r="123" spans="5:21">
      <c r="E123" s="107"/>
      <c r="J123" s="39"/>
      <c r="K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F03309BC-D3FA-4CF2-833B-D6D9A95FE1FB}" showGridLines="0" state="hidden">
      <pane xSplit="3" ySplit="5" topLeftCell="D6" activePane="bottomRight" state="frozen"/>
      <selection pane="bottomRight"/>
      <pageMargins left="0" right="0" top="0" bottom="0" header="0" footer="0"/>
    </customSheetView>
    <customSheetView guid="{EECBF9DF-6D77-4263-85DA-71E40216BADD}" showGridLines="0" state="hidden">
      <pane xSplit="3" ySplit="5" topLeftCell="D6" activePane="bottomRight" state="frozen"/>
      <selection pane="bottomRight"/>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E6EFD927-84B2-4D06-BB59-59D9DF522DA2}" showGridLines="0" state="hidden">
      <pane xSplit="3" ySplit="5" topLeftCell="D6" activePane="bottomRight" state="frozen"/>
      <selection pane="bottomRight"/>
      <pageMargins left="0" right="0" top="0" bottom="0" header="0" footer="0"/>
    </customSheetView>
    <customSheetView guid="{3F0A4FBA-5323-448F-A023-B3E14C54064C}" state="hidden">
      <pageMargins left="0" right="0" top="0" bottom="0" header="0" footer="0"/>
    </customSheetView>
    <customSheetView guid="{D97B1299-69D0-4EE0-B673-CCF74742F96B}">
      <pageMargins left="0" right="0" top="0" bottom="0" header="0" footer="0"/>
    </customSheetView>
    <customSheetView guid="{F468A2FD-7987-4A9D-8BAE-1AACE523607F}" state="hidden">
      <selection activeCell="C2" sqref="C2:E2"/>
      <pageMargins left="0" right="0" top="0" bottom="0" header="0" footer="0"/>
    </customSheetView>
    <customSheetView guid="{2D920366-22B2-4182-A65D-0EDBE614FB37}" showGridLines="0">
      <pane xSplit="3" ySplit="5" topLeftCell="D6" activePane="bottomRight" state="frozen"/>
      <selection pane="bottomRight"/>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8:T27 S29:T33" xr:uid="{7B637471-9293-44C4-9C4A-660DDA565C28}">
      <formula1>0</formula1>
    </dataValidation>
    <dataValidation type="custom" allowBlank="1" showInputMessage="1" showErrorMessage="1" error="Please do not change" sqref="O20 R20:R22" xr:uid="{FCB48724-6237-44A3-A091-91645B1EDF87}">
      <formula1>"Please do not change"</formula1>
    </dataValidation>
    <dataValidation type="custom" allowBlank="1" showInputMessage="1" showErrorMessage="1" error="Please do not change this formula" sqref="O6:O19 O21:O1048576 R23:R1048576 P1:Q1048576 R1:R19 N1:O5 N6:N1048576" xr:uid="{19A11E6C-8847-4F9B-8FE7-984EB9DF37C6}">
      <formula1>"Please do not change this formula"</formula1>
    </dataValidation>
    <dataValidation type="custom" allowBlank="1" showInputMessage="1" showErrorMessage="1" error="Please do not change this formula" prompt="Please do not change this formula" sqref="W4 V1:V4 S5:V5 V6:V1048576" xr:uid="{3DE23927-B13A-4649-9CEA-CE27390E0526}">
      <formula1>"Please do not change this formula"</formula1>
    </dataValidation>
    <dataValidation type="list" allowBlank="1" showInputMessage="1" showErrorMessage="1" sqref="D8:D17 D20:D32" xr:uid="{0CFA82EA-67B8-4F22-9EC8-8EE2CC46318E}">
      <formula1>Flow_units</formula1>
    </dataValidation>
  </dataValidations>
  <hyperlinks>
    <hyperlink ref="I2:J2" location="'NG Transport'!A1" display="Go to the next step of this pathway" xr:uid="{BA6E2831-53EB-4050-BE38-6B6FCC0158DC}"/>
    <hyperlink ref="I2:K2" location="Crude_Transport!A1" display="Go to the next step of this pathway" xr:uid="{C74968A3-0910-4467-A5E9-8706FD455738}"/>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61" id="{00000000-000E-0000-1D00-000002000000}">
            <xm:f>AND(OR(Path&lt;&gt;Units!$B$94,AND(Path=Units!$B$94,Initial_questions!$E$27&lt;&gt;Units!$L$88)),Master_Switch="On")</xm:f>
            <x14:dxf>
              <font>
                <color theme="0"/>
              </font>
              <fill>
                <patternFill patternType="solid">
                  <fgColor theme="0"/>
                  <bgColor theme="0"/>
                </patternFill>
              </fill>
              <border>
                <left/>
                <right/>
                <top/>
                <bottom/>
                <vertical/>
                <horizontal/>
              </border>
            </x14:dxf>
          </x14:cfRule>
          <xm:sqref>A2:XFD100</xm:sqref>
        </x14:conditionalFormatting>
      </x14:conditionalFormatting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6F690-8111-4AD1-A044-58259A0DC8DE}">
  <sheetPr>
    <tabColor theme="3" tint="-0.249977111117893"/>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ol min="24" max="24" width="26" style="12" customWidth="1"/>
    <col min="26" max="16384" width="7.140625" style="12"/>
  </cols>
  <sheetData>
    <row r="1" spans="1:29" ht="31.9" customHeight="1">
      <c r="A1" s="80" t="str">
        <f>IF(AND(OR(Path&lt;&gt;Units!$B$94,AND(Path=Units!$B$94, Initial_questions!$E$27&lt;&gt;Units!$L$88)), Master_Switch="On"),"User should not fill in this sheet, but switch to other non-blank GHG worksheets","")</f>
        <v>User should not fill in this sheet, but switch to other non-blank GHG worksheets</v>
      </c>
      <c r="E1" s="254"/>
    </row>
    <row r="2" spans="1:29" s="19" customFormat="1" ht="20.45" customHeight="1">
      <c r="B2" s="80"/>
      <c r="E2" s="254"/>
      <c r="H2" s="126"/>
      <c r="I2" s="735" t="s">
        <v>1141</v>
      </c>
      <c r="J2" s="737"/>
      <c r="K2" s="738"/>
      <c r="L2" s="39"/>
      <c r="M2" s="39"/>
      <c r="N2" s="39"/>
      <c r="O2"/>
      <c r="P2"/>
      <c r="Q2" s="12"/>
      <c r="R2" s="12"/>
      <c r="S2" s="126"/>
      <c r="T2" s="126"/>
      <c r="U2" s="126"/>
      <c r="V2" s="125"/>
      <c r="Y2"/>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1214</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1164</v>
      </c>
      <c r="D9" s="177" t="s">
        <v>447</v>
      </c>
      <c r="E9" s="35"/>
      <c r="F9" s="21"/>
      <c r="G9" s="21"/>
      <c r="H9" s="20"/>
      <c r="I9" s="36"/>
      <c r="J9" s="298"/>
      <c r="K9" s="300"/>
      <c r="L9" s="300"/>
      <c r="M9" s="300"/>
      <c r="N9" s="240">
        <f t="shared" si="0"/>
        <v>0</v>
      </c>
      <c r="O9" s="12"/>
      <c r="P9" s="12"/>
      <c r="S9" s="35" t="str">
        <f>IF(B9="", "", IF(D9="MWh/yr (LHV)", "Use column to right", "Enter data here"))</f>
        <v>Use column to right</v>
      </c>
      <c r="T9" s="298"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IF(B10="", "", IF(D10="MWh/yr (LHV)", "Use column to right", "Enter data here"))</f>
        <v>Enter data here</v>
      </c>
      <c r="T10" s="35" t="str">
        <f t="shared" ref="T10:T17"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ref="S11:S17" si="3">IF(B11="", "", IF(D11="MWh/yr (LHV)", "Use column to right", "Enter data here"))</f>
        <v>Enter data here</v>
      </c>
      <c r="T11" s="35" t="str">
        <f t="shared" si="2"/>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3"/>
        <v>Enter data here</v>
      </c>
      <c r="T12" s="35" t="str">
        <f t="shared" si="2"/>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3"/>
        <v>Enter data here</v>
      </c>
      <c r="T13" s="35" t="str">
        <f t="shared" si="2"/>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3"/>
        <v>Enter data here</v>
      </c>
      <c r="T14" s="35" t="str">
        <f t="shared" si="2"/>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P15" s="12"/>
      <c r="S15" s="35" t="str">
        <f t="shared" si="3"/>
        <v>Enter data here</v>
      </c>
      <c r="T15" s="35" t="str">
        <f t="shared" si="2"/>
        <v>Use column to left</v>
      </c>
      <c r="U15" s="35" t="s">
        <v>1148</v>
      </c>
      <c r="V15" s="240" t="str">
        <f t="shared" si="1"/>
        <v>Unfilled fields to left</v>
      </c>
      <c r="X15" s="25"/>
      <c r="Y15" s="12"/>
    </row>
    <row r="16" spans="1:29">
      <c r="B16" s="184" t="s">
        <v>1150</v>
      </c>
      <c r="C16" s="182"/>
      <c r="D16" s="177"/>
      <c r="E16" s="35"/>
      <c r="F16" s="21"/>
      <c r="G16" s="21"/>
      <c r="H16" s="20"/>
      <c r="I16" s="36"/>
      <c r="J16" s="298"/>
      <c r="K16" s="300"/>
      <c r="L16" s="300"/>
      <c r="M16" s="300"/>
      <c r="N16" s="240">
        <f t="shared" si="0"/>
        <v>0</v>
      </c>
      <c r="O16" s="12"/>
      <c r="P16" s="12"/>
      <c r="S16" s="35" t="str">
        <f t="shared" si="3"/>
        <v>Enter data here</v>
      </c>
      <c r="T16" s="35" t="str">
        <f t="shared" si="2"/>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3"/>
        <v/>
      </c>
      <c r="T17" s="35" t="str">
        <f t="shared" si="2"/>
        <v/>
      </c>
      <c r="U17" s="35"/>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1214</v>
      </c>
      <c r="D20" s="177" t="s">
        <v>425</v>
      </c>
      <c r="E20" s="35"/>
      <c r="F20" s="21"/>
      <c r="G20" s="21"/>
      <c r="H20" s="21"/>
      <c r="I20" s="21"/>
      <c r="J20" s="298"/>
      <c r="K20" s="304"/>
      <c r="L20" s="304"/>
      <c r="M20" s="304"/>
      <c r="N20" s="240">
        <f t="shared" ref="N20:N31"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1165</v>
      </c>
      <c r="D27" s="177" t="s">
        <v>425</v>
      </c>
      <c r="E27" s="35"/>
      <c r="F27" s="34"/>
      <c r="G27" s="21"/>
      <c r="H27" s="20"/>
      <c r="I27" s="36"/>
      <c r="J27" s="298"/>
      <c r="K27" s="300"/>
      <c r="L27" s="300"/>
      <c r="M27" s="300"/>
      <c r="N27" s="240">
        <f t="shared" si="4"/>
        <v>0</v>
      </c>
      <c r="O27" s="12"/>
      <c r="P27" s="12"/>
      <c r="Q27" s="12"/>
      <c r="R27" s="12"/>
      <c r="S27" s="298">
        <f>1*1000</f>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D6" activePane="bottomRight" state="frozen"/>
      <selection pane="bottomRight"/>
      <pageMargins left="0" right="0" top="0" bottom="0" header="0" footer="0"/>
    </customSheetView>
    <customSheetView guid="{EECBF9DF-6D77-4263-85DA-71E40216BADD}" showGridLines="0" state="hidden">
      <pane xSplit="3" ySplit="5" topLeftCell="D6" activePane="bottomRight" state="frozen"/>
      <selection pane="bottomRight"/>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E6EFD927-84B2-4D06-BB59-59D9DF522DA2}" showGridLines="0" state="hidden">
      <pane xSplit="3" ySplit="5" topLeftCell="D6" activePane="bottomRight" state="frozen"/>
      <selection pane="bottomRight"/>
      <pageMargins left="0" right="0" top="0" bottom="0" header="0" footer="0"/>
    </customSheetView>
    <customSheetView guid="{3F0A4FBA-5323-448F-A023-B3E14C54064C}" state="hidden">
      <pageMargins left="0" right="0" top="0" bottom="0" header="0" footer="0"/>
    </customSheetView>
    <customSheetView guid="{D97B1299-69D0-4EE0-B673-CCF74742F96B}">
      <pageMargins left="0" right="0" top="0" bottom="0" header="0" footer="0"/>
    </customSheetView>
    <customSheetView guid="{F468A2FD-7987-4A9D-8BAE-1AACE523607F}" state="hidden">
      <selection activeCell="C2" sqref="C2:E2"/>
      <pageMargins left="0" right="0" top="0" bottom="0" header="0" footer="0"/>
    </customSheetView>
    <customSheetView guid="{2D920366-22B2-4182-A65D-0EDBE614FB37}" showGridLines="0">
      <pane xSplit="3" ySplit="5" topLeftCell="D6" activePane="bottomRight" state="frozen"/>
      <selection pane="bottomRight"/>
      <pageMargins left="0" right="0" top="0" bottom="0" header="0" footer="0"/>
    </customSheetView>
  </customSheetViews>
  <mergeCells count="1">
    <mergeCell ref="I2:K2"/>
  </mergeCells>
  <dataValidations count="5">
    <dataValidation type="list" allowBlank="1" showInputMessage="1" showErrorMessage="1" sqref="D8:D17 D20:D31" xr:uid="{DFB0E8E8-1694-4CD4-8A28-E509B018B878}">
      <formula1>Flow_units</formula1>
    </dataValidation>
    <dataValidation type="custom" allowBlank="1" showInputMessage="1" showErrorMessage="1" error="Please do not change this formula" prompt="Please do not change this formula" sqref="V6:V1048576 W4 V1:V4 S5:V5" xr:uid="{4BBF7B6A-57C7-4A1B-B4F1-F909ED4110FC}">
      <formula1>"Please do not change this formula"</formula1>
    </dataValidation>
    <dataValidation type="custom" allowBlank="1" showInputMessage="1" showErrorMessage="1" error="Please do not change this formula" sqref="R23:R1048576 R1:R19 N1:Q1048576" xr:uid="{7A1A26FE-7FBA-4809-9646-7C0FA5C1E91A}">
      <formula1>"Please do not change this formula"</formula1>
    </dataValidation>
    <dataValidation type="custom" allowBlank="1" showInputMessage="1" showErrorMessage="1" error="Please do not change" sqref="R20:R22" xr:uid="{6FC06A9D-2BBF-477E-9D4D-739902489ABE}">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9:T32" xr:uid="{D59AAD47-08F8-4BC5-91ED-D3601CDA1F1A}">
      <formula1>0</formula1>
    </dataValidation>
  </dataValidations>
  <hyperlinks>
    <hyperlink ref="I2:J2" location="'NG Processing'!A1" display="Go to the next step of this pathway" xr:uid="{5F379D66-C081-4040-B62F-20F58D9514FF}"/>
    <hyperlink ref="I2:K2" location="Crude_Refine!A1" display="Go to the next step of this pathway" xr:uid="{ED808053-A988-44E2-BA2D-1F9ED4562FE1}"/>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62" id="{00000000-000E-0000-1E00-000003000000}">
            <xm:f>AND(OR(Path&lt;&gt;Units!$B$94,AND(Path=Units!$B$94, Initial_questions!$E$27&lt;&gt;Units!$L$88)),Master_Switch="On")</xm:f>
            <x14:dxf>
              <font>
                <color theme="0"/>
              </font>
              <fill>
                <patternFill>
                  <fgColor theme="0"/>
                  <bgColor theme="0"/>
                </patternFill>
              </fill>
              <border>
                <left/>
                <right/>
                <top/>
                <bottom/>
                <vertical/>
                <horizontal/>
              </border>
            </x14:dxf>
          </x14:cfRule>
          <xm:sqref>A2:XFD101</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1D034-8EAF-45D8-BE43-823340B833E0}">
  <sheetPr>
    <tabColor theme="3" tint="-0.249977111117893"/>
  </sheetPr>
  <dimension ref="A1:AC197"/>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7109375" customWidth="1"/>
    <col min="16" max="16" width="8.5703125" style="12" customWidth="1"/>
    <col min="17" max="17" width="17.140625" style="12" customWidth="1"/>
    <col min="18" max="18" width="17.5703125" style="12" customWidth="1"/>
    <col min="19" max="20" width="20.7109375" style="13" customWidth="1"/>
    <col min="21" max="21" width="22.7109375" style="13" customWidth="1"/>
    <col min="22" max="22" width="20.28515625" style="39" customWidth="1"/>
    <col min="23" max="23" width="7.140625" style="12"/>
    <col min="24" max="24" width="26" style="12" customWidth="1"/>
    <col min="26" max="16384" width="7.140625" style="12"/>
  </cols>
  <sheetData>
    <row r="1" spans="1:29" ht="31.9" customHeight="1">
      <c r="A1" s="80" t="str">
        <f>IF(AND(OR(Path&lt;&gt;Units!$B$94,AND(Path=Units!$B$94, Initial_questions!$E$27&lt;&gt;Units!$L$88)),Master_Switch="On"),"User should not fill in this sheet, but switch to other non-blank GHG worksheets","")</f>
        <v>User should not fill in this sheet, but switch to other non-blank GHG worksheets</v>
      </c>
      <c r="E1" s="254"/>
    </row>
    <row r="2" spans="1:29" ht="20.45" customHeight="1">
      <c r="B2" s="80"/>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1214</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S9" s="35" t="str">
        <f t="shared" ref="S9:S17" si="1">IF(B9="", "", IF(D9="MWh/yr (LHV)", "Use column to right", "Enter data here"))</f>
        <v>Use column to right</v>
      </c>
      <c r="T9" s="298"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si="1"/>
        <v>Enter data here</v>
      </c>
      <c r="T11" s="35" t="str">
        <f t="shared" si="3"/>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1"/>
        <v>Enter data here</v>
      </c>
      <c r="T12" s="35" t="str">
        <f t="shared" si="3"/>
        <v>Use column to left</v>
      </c>
      <c r="U12" s="35" t="s">
        <v>1148</v>
      </c>
      <c r="V12" s="240"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1"/>
        <v>Enter data here</v>
      </c>
      <c r="T14" s="35" t="str">
        <f t="shared" si="3"/>
        <v>Use column to left</v>
      </c>
      <c r="U14" s="35" t="s">
        <v>1148</v>
      </c>
      <c r="V14" s="240" t="str">
        <f t="shared" si="2"/>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S15" s="35" t="str">
        <f t="shared" si="1"/>
        <v>Enter data here</v>
      </c>
      <c r="T15" s="35" t="str">
        <f t="shared" si="3"/>
        <v>Use column to left</v>
      </c>
      <c r="U15" s="35" t="s">
        <v>1148</v>
      </c>
      <c r="V15" s="240" t="str">
        <f t="shared" si="2"/>
        <v>Unfilled fields to left</v>
      </c>
      <c r="X15" s="25"/>
      <c r="Y15" s="12"/>
    </row>
    <row r="16" spans="1:29">
      <c r="B16" s="184" t="s">
        <v>1150</v>
      </c>
      <c r="C16" s="182"/>
      <c r="D16" s="177"/>
      <c r="E16" s="35"/>
      <c r="F16" s="21"/>
      <c r="G16" s="21"/>
      <c r="H16" s="20"/>
      <c r="I16" s="36"/>
      <c r="J16" s="298"/>
      <c r="K16" s="300"/>
      <c r="L16" s="300"/>
      <c r="M16" s="300"/>
      <c r="N16" s="240">
        <f t="shared" si="0"/>
        <v>0</v>
      </c>
      <c r="O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1215</v>
      </c>
      <c r="D20" s="177" t="s">
        <v>425</v>
      </c>
      <c r="E20" s="35"/>
      <c r="F20" s="21"/>
      <c r="G20" s="21"/>
      <c r="H20" s="21"/>
      <c r="I20" s="21"/>
      <c r="J20" s="298"/>
      <c r="K20" s="304"/>
      <c r="L20" s="304"/>
      <c r="M20" s="304"/>
      <c r="N20" s="240">
        <f t="shared" ref="N20:N40" si="4">IF($D20="MWh/yr (LHV)",$E20,$J20*$E20*(1-$L20)/Conversion_kWh_to_MJ)</f>
        <v>0</v>
      </c>
      <c r="O20" s="244" t="str">
        <f>IFERROR(N20/N8,"")</f>
        <v/>
      </c>
      <c r="Q20" s="511">
        <f t="shared" ref="Q20:Q30" si="5">IF($D20="MWh/yr (LHV)",$E20,$E20*MAX(0, $J20*(1-$L20)-2.441*$L20)/Conversion_kWh_to_MJ)</f>
        <v>0</v>
      </c>
      <c r="R20" s="243" t="str">
        <f>IFERROR(Q20/(SUM($Q$20:$Q$30)),"")</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 t="shared" si="5"/>
        <v>0</v>
      </c>
      <c r="R21" s="243" t="str">
        <f t="shared" ref="R21:R30" si="6">IFERROR(Q21/(SUM($Q$20:$Q$30)),"")</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 t="shared" si="5"/>
        <v>0</v>
      </c>
      <c r="R22" s="243" t="str">
        <f t="shared" si="6"/>
        <v/>
      </c>
      <c r="S22" s="42"/>
      <c r="T22" s="42"/>
      <c r="U22" s="107"/>
      <c r="V22" s="12"/>
      <c r="W22" s="23"/>
      <c r="X22" s="21"/>
      <c r="Y22" s="23"/>
      <c r="Z22" s="42"/>
      <c r="AB22" s="12"/>
    </row>
    <row r="23" spans="2:29" s="14" customFormat="1">
      <c r="B23" s="184" t="s">
        <v>1056</v>
      </c>
      <c r="C23" s="182" t="s">
        <v>1059</v>
      </c>
      <c r="D23" s="177" t="s">
        <v>425</v>
      </c>
      <c r="E23" s="35"/>
      <c r="F23" s="21"/>
      <c r="G23" s="21"/>
      <c r="H23" s="20"/>
      <c r="I23" s="20"/>
      <c r="J23" s="300"/>
      <c r="K23" s="300"/>
      <c r="L23" s="300"/>
      <c r="M23" s="300"/>
      <c r="N23" s="240">
        <f t="shared" si="4"/>
        <v>0</v>
      </c>
      <c r="O23" s="12"/>
      <c r="P23" s="12"/>
      <c r="Q23" s="511">
        <f t="shared" si="5"/>
        <v>0</v>
      </c>
      <c r="R23" s="243" t="str">
        <f t="shared" si="6"/>
        <v/>
      </c>
      <c r="S23" s="42"/>
      <c r="T23" s="42"/>
      <c r="U23" s="107"/>
      <c r="V23" s="12"/>
      <c r="W23" s="23"/>
      <c r="X23" s="21"/>
      <c r="Y23" s="23"/>
      <c r="Z23" s="42"/>
      <c r="AB23" s="12"/>
    </row>
    <row r="24" spans="2:29" s="14" customFormat="1">
      <c r="B24" s="184" t="s">
        <v>1056</v>
      </c>
      <c r="C24" s="182" t="s">
        <v>1060</v>
      </c>
      <c r="D24" s="177" t="s">
        <v>425</v>
      </c>
      <c r="E24" s="35"/>
      <c r="F24" s="21"/>
      <c r="G24" s="21"/>
      <c r="H24" s="20"/>
      <c r="I24" s="20"/>
      <c r="J24" s="300"/>
      <c r="K24" s="300"/>
      <c r="L24" s="300"/>
      <c r="M24" s="300"/>
      <c r="N24" s="240">
        <f t="shared" si="4"/>
        <v>0</v>
      </c>
      <c r="O24" s="12"/>
      <c r="P24" s="12"/>
      <c r="Q24" s="511">
        <f t="shared" si="5"/>
        <v>0</v>
      </c>
      <c r="R24" s="243" t="str">
        <f t="shared" si="6"/>
        <v/>
      </c>
      <c r="S24" s="42"/>
      <c r="T24" s="42"/>
      <c r="U24" s="107"/>
      <c r="V24" s="12"/>
      <c r="W24" s="23"/>
      <c r="X24" s="21"/>
      <c r="Y24" s="23"/>
      <c r="Z24" s="42"/>
      <c r="AB24" s="12"/>
    </row>
    <row r="25" spans="2:29" s="14" customFormat="1">
      <c r="B25" s="184" t="s">
        <v>1056</v>
      </c>
      <c r="C25" s="182" t="s">
        <v>1216</v>
      </c>
      <c r="D25" s="177" t="s">
        <v>425</v>
      </c>
      <c r="E25" s="35"/>
      <c r="F25" s="21"/>
      <c r="G25" s="21"/>
      <c r="H25" s="20"/>
      <c r="I25" s="20"/>
      <c r="J25" s="300"/>
      <c r="K25" s="300"/>
      <c r="L25" s="300"/>
      <c r="M25" s="300"/>
      <c r="N25" s="240">
        <f t="shared" si="4"/>
        <v>0</v>
      </c>
      <c r="O25" s="12"/>
      <c r="P25" s="12"/>
      <c r="Q25" s="511">
        <f t="shared" si="5"/>
        <v>0</v>
      </c>
      <c r="R25" s="243" t="str">
        <f t="shared" si="6"/>
        <v/>
      </c>
      <c r="S25" s="42"/>
      <c r="T25" s="42"/>
      <c r="U25" s="107"/>
      <c r="V25" s="12"/>
      <c r="W25" s="23"/>
      <c r="X25" s="21"/>
      <c r="Y25" s="23"/>
      <c r="Z25" s="42"/>
      <c r="AB25" s="12"/>
    </row>
    <row r="26" spans="2:29" s="14" customFormat="1">
      <c r="B26" s="184" t="s">
        <v>1056</v>
      </c>
      <c r="C26" s="182" t="s">
        <v>1217</v>
      </c>
      <c r="D26" s="177" t="s">
        <v>425</v>
      </c>
      <c r="E26" s="35"/>
      <c r="F26" s="21"/>
      <c r="G26" s="21"/>
      <c r="H26" s="20"/>
      <c r="I26" s="20"/>
      <c r="J26" s="300"/>
      <c r="K26" s="300"/>
      <c r="L26" s="300"/>
      <c r="M26" s="300"/>
      <c r="N26" s="240">
        <f t="shared" si="4"/>
        <v>0</v>
      </c>
      <c r="O26" s="12"/>
      <c r="P26" s="12"/>
      <c r="Q26" s="511">
        <f t="shared" si="5"/>
        <v>0</v>
      </c>
      <c r="R26" s="243" t="str">
        <f t="shared" si="6"/>
        <v/>
      </c>
      <c r="S26" s="42"/>
      <c r="T26" s="42"/>
      <c r="U26" s="107"/>
      <c r="V26" s="12"/>
      <c r="W26" s="23"/>
      <c r="X26" s="21"/>
      <c r="Y26" s="23"/>
      <c r="Z26" s="42"/>
      <c r="AB26" s="12"/>
    </row>
    <row r="27" spans="2:29" s="14" customFormat="1">
      <c r="B27" s="184" t="s">
        <v>1056</v>
      </c>
      <c r="C27" s="182" t="s">
        <v>1218</v>
      </c>
      <c r="D27" s="177" t="s">
        <v>425</v>
      </c>
      <c r="E27" s="35"/>
      <c r="F27" s="21"/>
      <c r="G27" s="21"/>
      <c r="H27" s="20"/>
      <c r="I27" s="20"/>
      <c r="J27" s="300"/>
      <c r="K27" s="300"/>
      <c r="L27" s="300"/>
      <c r="M27" s="300"/>
      <c r="N27" s="240">
        <f t="shared" si="4"/>
        <v>0</v>
      </c>
      <c r="O27" s="12"/>
      <c r="P27" s="12"/>
      <c r="Q27" s="511">
        <f t="shared" si="5"/>
        <v>0</v>
      </c>
      <c r="R27" s="243" t="str">
        <f t="shared" si="6"/>
        <v/>
      </c>
      <c r="S27" s="42"/>
      <c r="T27" s="42"/>
      <c r="U27" s="107"/>
      <c r="V27" s="12"/>
      <c r="W27" s="23"/>
      <c r="X27" s="21"/>
      <c r="Y27" s="23"/>
      <c r="Z27" s="42"/>
      <c r="AB27" s="12"/>
    </row>
    <row r="28" spans="2:29" s="14" customFormat="1">
      <c r="B28" s="184" t="s">
        <v>1056</v>
      </c>
      <c r="C28" s="182" t="s">
        <v>1219</v>
      </c>
      <c r="D28" s="177" t="s">
        <v>425</v>
      </c>
      <c r="E28" s="35"/>
      <c r="F28" s="21"/>
      <c r="G28" s="21"/>
      <c r="H28" s="20"/>
      <c r="I28" s="20"/>
      <c r="J28" s="300"/>
      <c r="K28" s="300"/>
      <c r="L28" s="300"/>
      <c r="M28" s="300"/>
      <c r="N28" s="240">
        <f t="shared" si="4"/>
        <v>0</v>
      </c>
      <c r="O28" s="12"/>
      <c r="P28" s="12"/>
      <c r="Q28" s="511">
        <f t="shared" si="5"/>
        <v>0</v>
      </c>
      <c r="R28" s="243" t="str">
        <f t="shared" si="6"/>
        <v/>
      </c>
      <c r="S28" s="42"/>
      <c r="T28" s="42"/>
      <c r="U28" s="107"/>
      <c r="V28" s="12"/>
      <c r="W28" s="23"/>
      <c r="X28" s="21"/>
      <c r="Y28" s="23"/>
      <c r="Z28" s="42"/>
      <c r="AB28" s="12"/>
    </row>
    <row r="29" spans="2:29" s="14" customFormat="1">
      <c r="B29" s="184" t="s">
        <v>1056</v>
      </c>
      <c r="C29" s="182" t="s">
        <v>1220</v>
      </c>
      <c r="D29" s="177" t="s">
        <v>425</v>
      </c>
      <c r="E29" s="35"/>
      <c r="F29" s="21"/>
      <c r="G29" s="21"/>
      <c r="H29" s="20"/>
      <c r="I29" s="20"/>
      <c r="J29" s="300"/>
      <c r="K29" s="300"/>
      <c r="L29" s="300"/>
      <c r="M29" s="300"/>
      <c r="N29" s="240">
        <f t="shared" si="4"/>
        <v>0</v>
      </c>
      <c r="O29" s="12"/>
      <c r="P29" s="12"/>
      <c r="Q29" s="511">
        <f t="shared" si="5"/>
        <v>0</v>
      </c>
      <c r="R29" s="243" t="str">
        <f t="shared" si="6"/>
        <v/>
      </c>
      <c r="S29" s="42"/>
      <c r="T29" s="42"/>
      <c r="U29" s="107"/>
      <c r="V29" s="12"/>
      <c r="W29" s="23"/>
      <c r="X29" s="21"/>
      <c r="Y29" s="23"/>
      <c r="Z29" s="42"/>
      <c r="AB29" s="12"/>
    </row>
    <row r="30" spans="2:29" s="14" customFormat="1">
      <c r="B30" s="184" t="s">
        <v>1056</v>
      </c>
      <c r="C30" s="182" t="s">
        <v>1221</v>
      </c>
      <c r="D30" s="177" t="s">
        <v>425</v>
      </c>
      <c r="E30" s="35"/>
      <c r="F30" s="21"/>
      <c r="G30" s="21"/>
      <c r="H30" s="20"/>
      <c r="I30" s="20"/>
      <c r="J30" s="300"/>
      <c r="K30" s="300"/>
      <c r="L30" s="300"/>
      <c r="M30" s="300"/>
      <c r="N30" s="240">
        <f t="shared" si="4"/>
        <v>0</v>
      </c>
      <c r="O30" s="12"/>
      <c r="P30" s="12"/>
      <c r="Q30" s="511">
        <f t="shared" si="5"/>
        <v>0</v>
      </c>
      <c r="R30" s="243" t="str">
        <f t="shared" si="6"/>
        <v/>
      </c>
      <c r="S30" s="42"/>
      <c r="T30" s="42"/>
      <c r="U30" s="107"/>
      <c r="V30" s="12"/>
      <c r="W30" s="23"/>
      <c r="X30" s="21"/>
      <c r="Y30" s="23"/>
      <c r="Z30" s="42"/>
      <c r="AB30" s="12"/>
    </row>
    <row r="31" spans="2:29" s="14" customFormat="1">
      <c r="B31" s="184" t="s">
        <v>1061</v>
      </c>
      <c r="C31" s="182" t="s">
        <v>1156</v>
      </c>
      <c r="D31" s="177" t="s">
        <v>425</v>
      </c>
      <c r="E31" s="35"/>
      <c r="F31" s="21"/>
      <c r="G31" s="21"/>
      <c r="H31" s="20"/>
      <c r="I31" s="20"/>
      <c r="J31" s="300"/>
      <c r="K31" s="300"/>
      <c r="L31" s="300"/>
      <c r="M31" s="300"/>
      <c r="N31" s="240">
        <f t="shared" si="4"/>
        <v>0</v>
      </c>
      <c r="O31" s="12"/>
      <c r="P31" s="12"/>
      <c r="Q31" s="12"/>
      <c r="R31" s="12"/>
      <c r="S31" s="107"/>
      <c r="T31" s="107"/>
      <c r="U31" s="107"/>
      <c r="V31" s="12"/>
      <c r="W31" s="23"/>
      <c r="X31" s="21"/>
      <c r="Y31" s="23"/>
      <c r="Z31" s="42"/>
      <c r="AB31" s="12"/>
    </row>
    <row r="32" spans="2:29" s="14" customFormat="1">
      <c r="B32" s="184" t="s">
        <v>1061</v>
      </c>
      <c r="C32" s="182" t="s">
        <v>1063</v>
      </c>
      <c r="D32" s="177" t="s">
        <v>425</v>
      </c>
      <c r="E32" s="35"/>
      <c r="F32" s="21"/>
      <c r="G32" s="21"/>
      <c r="H32" s="20"/>
      <c r="I32" s="20"/>
      <c r="J32" s="300"/>
      <c r="K32" s="300"/>
      <c r="L32" s="300"/>
      <c r="M32" s="300"/>
      <c r="N32" s="240">
        <f t="shared" si="4"/>
        <v>0</v>
      </c>
      <c r="O32" s="12"/>
      <c r="P32" s="12"/>
      <c r="Q32" s="12"/>
      <c r="R32" s="12"/>
      <c r="S32" s="107"/>
      <c r="T32" s="107"/>
      <c r="U32" s="107"/>
      <c r="V32" s="12"/>
      <c r="W32" s="23"/>
      <c r="X32" s="21"/>
      <c r="Y32" s="23"/>
      <c r="Z32" s="42"/>
      <c r="AB32" s="12"/>
    </row>
    <row r="33" spans="2:25" s="14" customFormat="1">
      <c r="B33" s="184" t="s">
        <v>1064</v>
      </c>
      <c r="C33" s="182" t="s">
        <v>1065</v>
      </c>
      <c r="D33" s="177" t="s">
        <v>425</v>
      </c>
      <c r="E33" s="35"/>
      <c r="F33" s="21"/>
      <c r="G33" s="21"/>
      <c r="H33" s="20"/>
      <c r="I33" s="36"/>
      <c r="J33" s="298"/>
      <c r="K33" s="300"/>
      <c r="L33" s="300"/>
      <c r="M33" s="300"/>
      <c r="N33" s="240">
        <f t="shared" si="4"/>
        <v>0</v>
      </c>
      <c r="O33" s="12"/>
      <c r="P33" s="12"/>
      <c r="Q33" s="12"/>
      <c r="R33" s="12"/>
      <c r="S33" s="107"/>
      <c r="T33" s="107"/>
      <c r="U33" s="107"/>
      <c r="V33" s="12"/>
      <c r="X33" s="21"/>
    </row>
    <row r="34" spans="2:25" s="14" customFormat="1">
      <c r="B34" s="184" t="s">
        <v>1064</v>
      </c>
      <c r="C34" s="182" t="s">
        <v>1066</v>
      </c>
      <c r="D34" s="177" t="s">
        <v>425</v>
      </c>
      <c r="E34" s="35"/>
      <c r="F34" s="21"/>
      <c r="G34" s="21"/>
      <c r="H34" s="20"/>
      <c r="I34" s="36"/>
      <c r="J34" s="298"/>
      <c r="K34" s="300"/>
      <c r="L34" s="300"/>
      <c r="M34" s="300"/>
      <c r="N34" s="240">
        <f t="shared" si="4"/>
        <v>0</v>
      </c>
      <c r="O34" s="12"/>
      <c r="P34" s="12"/>
      <c r="Q34" s="12"/>
      <c r="R34" s="12"/>
      <c r="S34" s="107"/>
      <c r="T34" s="107"/>
      <c r="U34" s="107"/>
      <c r="V34" s="12"/>
      <c r="X34" s="21"/>
    </row>
    <row r="35" spans="2:25" s="14" customFormat="1">
      <c r="B35" s="184" t="s">
        <v>1105</v>
      </c>
      <c r="C35" s="182" t="s">
        <v>1157</v>
      </c>
      <c r="D35" s="177" t="s">
        <v>425</v>
      </c>
      <c r="E35" s="35"/>
      <c r="F35" s="34"/>
      <c r="G35" s="21"/>
      <c r="H35" s="20"/>
      <c r="I35" s="36"/>
      <c r="J35" s="298"/>
      <c r="K35" s="300"/>
      <c r="L35" s="300"/>
      <c r="M35" s="300"/>
      <c r="N35" s="240">
        <f t="shared" si="4"/>
        <v>0</v>
      </c>
      <c r="O35" s="12"/>
      <c r="P35" s="12"/>
      <c r="Q35" s="12"/>
      <c r="R35" s="12"/>
      <c r="S35" s="298">
        <v>1000</v>
      </c>
      <c r="T35" s="473"/>
      <c r="U35" s="35" t="s">
        <v>1158</v>
      </c>
      <c r="V35" s="240" t="str">
        <f t="shared" ref="V35:V40" si="7">IFERROR(IF(D35="tonnes/yr", $S35*$E35/($N$20*3.6), $T35*$E35*3.6/($N$20*3.6)), "Unfilled fields to left")</f>
        <v>Unfilled fields to left</v>
      </c>
      <c r="X35" s="21"/>
    </row>
    <row r="36" spans="2:25" s="14" customFormat="1">
      <c r="B36" s="184" t="s">
        <v>1118</v>
      </c>
      <c r="C36" s="182" t="s">
        <v>1159</v>
      </c>
      <c r="D36" s="177" t="s">
        <v>425</v>
      </c>
      <c r="E36" s="35">
        <f>E35*E45</f>
        <v>0</v>
      </c>
      <c r="F36" s="34"/>
      <c r="G36" s="21"/>
      <c r="H36" s="20"/>
      <c r="I36" s="36"/>
      <c r="J36" s="298"/>
      <c r="K36" s="300"/>
      <c r="L36" s="300"/>
      <c r="M36" s="300"/>
      <c r="N36" s="240">
        <f t="shared" si="4"/>
        <v>0</v>
      </c>
      <c r="O36" s="12"/>
      <c r="P36" s="12"/>
      <c r="Q36" s="12"/>
      <c r="R36" s="12"/>
      <c r="S36" s="298">
        <v>-1000</v>
      </c>
      <c r="T36" s="473"/>
      <c r="U36" s="35" t="s">
        <v>1160</v>
      </c>
      <c r="V36" s="240" t="str">
        <f t="shared" si="7"/>
        <v>Unfilled fields to left</v>
      </c>
      <c r="X36" s="21"/>
    </row>
    <row r="37" spans="2:25" s="14" customFormat="1">
      <c r="B37" s="184" t="s">
        <v>1161</v>
      </c>
      <c r="C37" s="182" t="s">
        <v>1121</v>
      </c>
      <c r="D37" s="177" t="s">
        <v>425</v>
      </c>
      <c r="E37" s="35"/>
      <c r="F37" s="34"/>
      <c r="G37" s="21"/>
      <c r="H37" s="20"/>
      <c r="I37" s="36"/>
      <c r="J37" s="298"/>
      <c r="K37" s="300"/>
      <c r="L37" s="300"/>
      <c r="M37" s="300"/>
      <c r="N37" s="240">
        <f t="shared" si="4"/>
        <v>0</v>
      </c>
      <c r="O37" s="12"/>
      <c r="P37" s="12"/>
      <c r="Q37" s="12"/>
      <c r="R37" s="12"/>
      <c r="S37" s="298">
        <f>28*1000</f>
        <v>28000</v>
      </c>
      <c r="T37" s="473"/>
      <c r="U37" s="35" t="s">
        <v>1107</v>
      </c>
      <c r="V37" s="240" t="str">
        <f t="shared" si="7"/>
        <v>Unfilled fields to left</v>
      </c>
      <c r="X37" s="21"/>
    </row>
    <row r="38" spans="2:25" s="14" customFormat="1">
      <c r="B38" s="184" t="s">
        <v>1161</v>
      </c>
      <c r="C38" s="182" t="s">
        <v>1123</v>
      </c>
      <c r="D38" s="177" t="s">
        <v>425</v>
      </c>
      <c r="E38" s="35"/>
      <c r="F38" s="21"/>
      <c r="G38" s="21"/>
      <c r="H38" s="20"/>
      <c r="I38" s="36"/>
      <c r="J38" s="298"/>
      <c r="K38" s="300"/>
      <c r="L38" s="300"/>
      <c r="M38" s="300"/>
      <c r="N38" s="240">
        <f t="shared" si="4"/>
        <v>0</v>
      </c>
      <c r="O38" s="12"/>
      <c r="P38" s="12"/>
      <c r="Q38" s="12"/>
      <c r="R38" s="12"/>
      <c r="S38" s="35">
        <v>265000</v>
      </c>
      <c r="T38" s="514"/>
      <c r="U38" s="35" t="s">
        <v>1107</v>
      </c>
      <c r="V38" s="240" t="str">
        <f t="shared" si="7"/>
        <v>Unfilled fields to left</v>
      </c>
      <c r="X38" s="21"/>
    </row>
    <row r="39" spans="2:25" s="14" customFormat="1">
      <c r="B39" s="16"/>
      <c r="C39" s="15"/>
      <c r="D39" s="177"/>
      <c r="E39" s="35"/>
      <c r="F39" s="21"/>
      <c r="G39" s="21"/>
      <c r="H39" s="20"/>
      <c r="I39" s="36"/>
      <c r="J39" s="298"/>
      <c r="K39" s="300"/>
      <c r="L39" s="300"/>
      <c r="M39" s="300"/>
      <c r="N39" s="240">
        <f t="shared" si="4"/>
        <v>0</v>
      </c>
      <c r="O39" s="12"/>
      <c r="P39" s="12"/>
      <c r="Q39" s="12"/>
      <c r="R39" s="12"/>
      <c r="S39" s="298"/>
      <c r="T39" s="473"/>
      <c r="U39" s="300"/>
      <c r="V39" s="240" t="str">
        <f t="shared" si="7"/>
        <v>Unfilled fields to left</v>
      </c>
      <c r="X39" s="21"/>
    </row>
    <row r="40" spans="2:25" s="14" customFormat="1">
      <c r="B40" s="16"/>
      <c r="C40" s="15"/>
      <c r="D40" s="177"/>
      <c r="E40" s="35"/>
      <c r="F40" s="21"/>
      <c r="G40" s="21"/>
      <c r="H40" s="20"/>
      <c r="I40" s="36"/>
      <c r="J40" s="298"/>
      <c r="K40" s="300"/>
      <c r="L40" s="300"/>
      <c r="M40" s="300"/>
      <c r="N40" s="240">
        <f t="shared" si="4"/>
        <v>0</v>
      </c>
      <c r="O40" s="12"/>
      <c r="P40" s="12"/>
      <c r="Q40" s="12"/>
      <c r="R40" s="12"/>
      <c r="S40" s="298"/>
      <c r="T40" s="473"/>
      <c r="U40" s="300"/>
      <c r="V40" s="240" t="str">
        <f t="shared" si="7"/>
        <v>Unfilled fields to left</v>
      </c>
      <c r="X40" s="21"/>
    </row>
    <row r="41" spans="2:25">
      <c r="C41" s="17"/>
      <c r="D41" s="17"/>
      <c r="E41" s="139"/>
      <c r="F41" s="17"/>
      <c r="H41" s="18"/>
      <c r="I41" s="18"/>
      <c r="J41" s="40"/>
      <c r="K41" s="40"/>
      <c r="L41" s="40"/>
      <c r="M41" s="40"/>
      <c r="N41" s="40"/>
      <c r="O41" s="12"/>
      <c r="S41" s="40"/>
      <c r="T41" s="40"/>
      <c r="U41" s="40"/>
      <c r="V41" s="40"/>
      <c r="Y41" s="12"/>
    </row>
    <row r="42" spans="2:25">
      <c r="D42" s="17"/>
      <c r="E42" s="139"/>
      <c r="J42" s="39"/>
      <c r="K42" s="39"/>
      <c r="L42" s="39"/>
      <c r="M42" s="39"/>
      <c r="O42" s="12"/>
      <c r="S42" s="39"/>
      <c r="T42" s="39"/>
      <c r="U42" s="38" t="s">
        <v>1162</v>
      </c>
      <c r="V42" s="152">
        <f>SUM(V7:V41)</f>
        <v>0</v>
      </c>
      <c r="Y42" s="12"/>
    </row>
    <row r="43" spans="2:25">
      <c r="B43" s="144" t="s">
        <v>133</v>
      </c>
      <c r="C43" s="158"/>
      <c r="D43" s="158"/>
      <c r="E43" s="495"/>
      <c r="I43" s="12"/>
      <c r="J43" s="107"/>
      <c r="K43" s="107"/>
      <c r="L43" s="107"/>
      <c r="M43" s="107"/>
      <c r="N43" s="107"/>
      <c r="O43" s="12"/>
      <c r="S43" s="107"/>
      <c r="T43" s="107"/>
      <c r="U43" s="107"/>
      <c r="Y43" s="12"/>
    </row>
    <row r="44" spans="2:25">
      <c r="B44" s="16" t="s">
        <v>1134</v>
      </c>
      <c r="C44" s="15" t="s">
        <v>1135</v>
      </c>
      <c r="D44" s="15" t="s">
        <v>1136</v>
      </c>
      <c r="E44" s="497"/>
      <c r="G44" s="19"/>
      <c r="H44" s="12"/>
      <c r="I44" s="12"/>
      <c r="J44" s="107"/>
      <c r="K44" s="107"/>
      <c r="L44" s="107"/>
      <c r="M44" s="107"/>
      <c r="N44" s="107"/>
      <c r="O44" s="12"/>
      <c r="S44" s="107"/>
      <c r="T44" s="107"/>
      <c r="U44" s="107"/>
      <c r="V44" s="12"/>
      <c r="X44" s="25"/>
      <c r="Y44" s="12"/>
    </row>
    <row r="45" spans="2:25">
      <c r="B45" s="16" t="s">
        <v>1139</v>
      </c>
      <c r="C45" s="15" t="s">
        <v>1140</v>
      </c>
      <c r="D45" s="15" t="s">
        <v>897</v>
      </c>
      <c r="E45" s="508"/>
      <c r="H45" s="12"/>
      <c r="I45" s="12"/>
      <c r="J45" s="107"/>
      <c r="K45" s="107"/>
      <c r="L45" s="107"/>
      <c r="M45" s="107"/>
      <c r="N45" s="107"/>
      <c r="O45" s="12"/>
      <c r="S45" s="107"/>
      <c r="T45" s="107"/>
      <c r="U45" s="107"/>
      <c r="V45" s="12"/>
      <c r="X45" s="25"/>
      <c r="Y45" s="12"/>
    </row>
    <row r="46" spans="2:25">
      <c r="B46" s="16"/>
      <c r="C46" s="15"/>
      <c r="D46" s="15"/>
      <c r="E46" s="508"/>
      <c r="J46" s="39"/>
      <c r="K46" s="39"/>
      <c r="L46" s="39"/>
      <c r="M46" s="39"/>
      <c r="S46" s="39"/>
      <c r="T46" s="39"/>
      <c r="U46" s="39"/>
      <c r="X46" s="25"/>
    </row>
    <row r="47" spans="2:25">
      <c r="B47" s="16"/>
      <c r="C47" s="15"/>
      <c r="D47" s="15"/>
      <c r="E47" s="503"/>
      <c r="J47" s="39"/>
      <c r="K47" s="39"/>
      <c r="L47" s="39"/>
      <c r="M47" s="39"/>
      <c r="S47" s="39"/>
      <c r="T47" s="39"/>
      <c r="U47" s="39"/>
      <c r="X47" s="25"/>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J125" s="39"/>
      <c r="K125" s="39"/>
      <c r="L125" s="39"/>
      <c r="M125" s="39"/>
      <c r="S125" s="39"/>
      <c r="T125" s="39"/>
      <c r="U125" s="39"/>
    </row>
    <row r="126" spans="5:21">
      <c r="E126" s="107"/>
      <c r="J126" s="39"/>
      <c r="K126" s="39"/>
      <c r="L126" s="39"/>
      <c r="M126" s="39"/>
      <c r="S126" s="39"/>
      <c r="T126" s="39"/>
      <c r="U126" s="39"/>
    </row>
    <row r="127" spans="5:21">
      <c r="E127" s="107"/>
      <c r="J127" s="39"/>
      <c r="K127" s="39"/>
      <c r="L127" s="39"/>
      <c r="M127" s="39"/>
      <c r="S127" s="39"/>
      <c r="T127" s="39"/>
      <c r="U127" s="39"/>
    </row>
    <row r="128" spans="5:21">
      <c r="E128" s="107"/>
      <c r="J128" s="39"/>
      <c r="K128" s="39"/>
      <c r="L128" s="39"/>
      <c r="M128" s="39"/>
      <c r="S128" s="39"/>
      <c r="T128" s="39"/>
      <c r="U128" s="39"/>
    </row>
    <row r="129" spans="5:21">
      <c r="E129" s="107"/>
      <c r="J129" s="39"/>
      <c r="K129" s="39"/>
      <c r="L129" s="39"/>
      <c r="M129" s="39"/>
      <c r="S129" s="39"/>
      <c r="T129" s="39"/>
      <c r="U129" s="39"/>
    </row>
    <row r="130" spans="5:21">
      <c r="E130" s="107"/>
      <c r="J130" s="39"/>
      <c r="K130" s="39"/>
      <c r="L130" s="39"/>
      <c r="M130" s="39"/>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E150" s="107"/>
      <c r="S150" s="39"/>
      <c r="T150" s="39"/>
      <c r="U150" s="39"/>
    </row>
    <row r="151" spans="5:21">
      <c r="E151" s="107"/>
      <c r="S151" s="39"/>
      <c r="T151" s="39"/>
      <c r="U151" s="39"/>
    </row>
    <row r="152" spans="5:21">
      <c r="E152" s="107"/>
      <c r="S152" s="39"/>
      <c r="T152" s="39"/>
      <c r="U152" s="39"/>
    </row>
    <row r="153" spans="5:21">
      <c r="E153" s="107"/>
      <c r="S153" s="39"/>
      <c r="T153" s="39"/>
      <c r="U153" s="39"/>
    </row>
    <row r="154" spans="5:21">
      <c r="E154" s="107"/>
      <c r="S154" s="39"/>
      <c r="T154" s="39"/>
      <c r="U154" s="39"/>
    </row>
    <row r="155" spans="5:21">
      <c r="E155" s="107"/>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row r="192" spans="19:21">
      <c r="S192" s="39"/>
      <c r="T192" s="39"/>
      <c r="U192" s="39"/>
    </row>
    <row r="193" spans="19:21">
      <c r="S193" s="39"/>
      <c r="T193" s="39"/>
      <c r="U193" s="39"/>
    </row>
    <row r="194" spans="19:21">
      <c r="S194" s="39"/>
      <c r="T194" s="39"/>
      <c r="U194" s="39"/>
    </row>
    <row r="195" spans="19:21">
      <c r="S195" s="39"/>
      <c r="T195" s="39"/>
      <c r="U195" s="39"/>
    </row>
    <row r="196" spans="19:21">
      <c r="S196" s="39"/>
      <c r="T196" s="39"/>
      <c r="U196" s="39"/>
    </row>
    <row r="197" spans="19:21">
      <c r="S197" s="39"/>
      <c r="T197" s="39"/>
      <c r="U197" s="39"/>
    </row>
  </sheetData>
  <customSheetViews>
    <customSheetView guid="{F03309BC-D3FA-4CF2-833B-D6D9A95FE1FB}" showGridLines="0" state="hidden">
      <pane xSplit="3" ySplit="5" topLeftCell="D6" activePane="bottomRight" state="frozen"/>
      <selection pane="bottomRight"/>
      <pageMargins left="0" right="0" top="0" bottom="0" header="0" footer="0"/>
    </customSheetView>
    <customSheetView guid="{EECBF9DF-6D77-4263-85DA-71E40216BADD}" showGridLines="0" state="hidden">
      <pane xSplit="3" ySplit="5" topLeftCell="D6" activePane="bottomRight" state="frozen"/>
      <selection pane="bottomRight"/>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E6EFD927-84B2-4D06-BB59-59D9DF522DA2}" showGridLines="0" state="hidden">
      <pane xSplit="3" ySplit="5" topLeftCell="D6" activePane="bottomRight" state="frozen"/>
      <selection pane="bottomRight"/>
      <pageMargins left="0" right="0" top="0" bottom="0" header="0" footer="0"/>
    </customSheetView>
    <customSheetView guid="{3F0A4FBA-5323-448F-A023-B3E14C54064C}" state="hidden" topLeftCell="A5">
      <pageMargins left="0" right="0" top="0" bottom="0" header="0" footer="0"/>
    </customSheetView>
    <customSheetView guid="{D97B1299-69D0-4EE0-B673-CCF74742F96B}" topLeftCell="A5">
      <pageMargins left="0" right="0" top="0" bottom="0" header="0" footer="0"/>
    </customSheetView>
    <customSheetView guid="{F468A2FD-7987-4A9D-8BAE-1AACE523607F}" state="hidden" topLeftCell="A5">
      <selection activeCell="C2" sqref="C2:E2"/>
      <pageMargins left="0" right="0" top="0" bottom="0" header="0" footer="0"/>
    </customSheetView>
    <customSheetView guid="{2D920366-22B2-4182-A65D-0EDBE614FB37}" showGridLines="0">
      <pane xSplit="3" ySplit="5" topLeftCell="D6" activePane="bottomRight" state="frozen"/>
      <selection pane="bottomRight"/>
      <pageMargins left="0" right="0" top="0" bottom="0" header="0" footer="0"/>
    </customSheetView>
  </customSheetViews>
  <mergeCells count="1">
    <mergeCell ref="I2:K2"/>
  </mergeCells>
  <phoneticPr fontId="89" type="noConversion"/>
  <dataValidations count="5">
    <dataValidation type="list" allowBlank="1" showInputMessage="1" showErrorMessage="1" sqref="D8:D17 D20:D40" xr:uid="{53500B7D-9C8C-44FD-A3B9-B459A8FEAE4F}">
      <formula1>Flow_units</formula1>
    </dataValidation>
    <dataValidation type="custom" allowBlank="1" showInputMessage="1" showErrorMessage="1" error="Please do not change this formula" prompt="Please do not change this formula" sqref="W4 N41:N1048576 V1:V4 P1:R4 Q31:R1048576 R6:R19 N1:N7 N18:N19 O4 O6:O19 S5:V5 P21:P1048576 V6:V1048576" xr:uid="{E1583090-1CBF-44E8-BBC0-9834C7C48D7F}">
      <formula1>"Please do not change this formula"</formula1>
    </dataValidation>
    <dataValidation type="custom" allowBlank="1" showInputMessage="1" showErrorMessage="1" error="Please do not change this formula" sqref="O5:R5" xr:uid="{7654ADBA-8B76-41E5-ADD3-4EF9CF04AA85}">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37:T41 S9:T35" xr:uid="{C5B6C95A-60B6-4BE5-B70D-D26523E6811A}">
      <formula1>0</formula1>
    </dataValidation>
    <dataValidation type="custom" allowBlank="1" showInputMessage="1" showErrorMessage="1" error="Please do not change" sqref="R20:R30" xr:uid="{F4F97971-42D9-4A33-BD96-15818A3328A1}">
      <formula1>"Please do not change"</formula1>
    </dataValidation>
  </dataValidations>
  <hyperlinks>
    <hyperlink ref="I2:J2" location="'NG Further Transport'!A1" display="Go to the next step of this pathway" xr:uid="{85DB6C78-2E83-439C-802B-C405B875156E}"/>
    <hyperlink ref="I2:K2" location="ROG_Processing!A1" display="Go to the next step of this pathway" xr:uid="{1F58E94C-8748-48C1-A784-99E91E31D557}"/>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63" id="{00000000-000E-0000-1F00-000001000000}">
            <xm:f>AND(OR(Path&lt;&gt;Units!$B$94,AND(Path=Units!$B$94, Initial_questions!$E$27&lt;&gt;Units!$L$88)),Master_Switch="On")</xm:f>
            <x14:dxf>
              <font>
                <color theme="0"/>
              </font>
              <fill>
                <patternFill>
                  <bgColor theme="0"/>
                </patternFill>
              </fill>
              <border>
                <left/>
                <right/>
                <top/>
                <bottom/>
                <vertical/>
                <horizontal/>
              </border>
            </x14:dxf>
          </x14:cfRule>
          <xm:sqref>A2:XFD208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3DD36-3B93-437F-969B-1D8FE41E821A}">
  <sheetPr codeName="Sheet56">
    <tabColor theme="3" tint="-0.249977111117893"/>
  </sheetPr>
  <dimension ref="A1:AC189"/>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7109375" customWidth="1"/>
    <col min="16" max="16" width="8.5703125" style="12" customWidth="1"/>
    <col min="17" max="17" width="17.140625" style="12" customWidth="1"/>
    <col min="18" max="18" width="17.5703125" style="12" customWidth="1"/>
    <col min="19" max="20" width="20.7109375" style="13" customWidth="1"/>
    <col min="21" max="21" width="22.7109375" style="13" customWidth="1"/>
    <col min="22" max="22" width="20.28515625" style="39" customWidth="1"/>
    <col min="23" max="23" width="7.140625" style="12"/>
    <col min="24" max="24" width="26" style="12" customWidth="1"/>
    <col min="26" max="16384" width="7.140625" style="12"/>
  </cols>
  <sheetData>
    <row r="1" spans="1:29" ht="31.9" customHeight="1">
      <c r="A1" s="80" t="str">
        <f>IF(AND(Path&lt;&gt;Units!$B$94, Master_Switch="On"),"User should not fill in this sheet, but switch to other non-blank GHG worksheets","")</f>
        <v>User should not fill in this sheet, but switch to other non-blank GHG worksheets</v>
      </c>
      <c r="E1" s="254"/>
    </row>
    <row r="2" spans="1:29" ht="20.45" customHeight="1">
      <c r="B2" s="80"/>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1215</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S9" s="35" t="str">
        <f t="shared" ref="S9:S17" si="1">IF(B9="", "", IF(D9="MWh/yr (LHV)", "Use column to right", "Enter data here"))</f>
        <v>Use column to right</v>
      </c>
      <c r="T9" s="298"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si="1"/>
        <v>Enter data here</v>
      </c>
      <c r="T11" s="35" t="str">
        <f t="shared" si="3"/>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1"/>
        <v>Enter data here</v>
      </c>
      <c r="T12" s="35" t="str">
        <f t="shared" si="3"/>
        <v>Use column to left</v>
      </c>
      <c r="U12" s="35" t="s">
        <v>1148</v>
      </c>
      <c r="V12" s="240"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1"/>
        <v>Enter data here</v>
      </c>
      <c r="T14" s="35" t="str">
        <f t="shared" si="3"/>
        <v>Use column to left</v>
      </c>
      <c r="U14" s="35" t="s">
        <v>1148</v>
      </c>
      <c r="V14" s="240" t="str">
        <f t="shared" si="2"/>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S15" s="35" t="str">
        <f t="shared" si="1"/>
        <v>Enter data here</v>
      </c>
      <c r="T15" s="35" t="str">
        <f t="shared" si="3"/>
        <v>Use column to left</v>
      </c>
      <c r="U15" s="35" t="s">
        <v>1148</v>
      </c>
      <c r="V15" s="240" t="str">
        <f t="shared" si="2"/>
        <v>Unfilled fields to left</v>
      </c>
      <c r="X15" s="25"/>
      <c r="Y15" s="12"/>
    </row>
    <row r="16" spans="1:29">
      <c r="B16" s="184" t="s">
        <v>1150</v>
      </c>
      <c r="C16" s="182"/>
      <c r="D16" s="177"/>
      <c r="E16" s="35"/>
      <c r="F16" s="21"/>
      <c r="G16" s="21"/>
      <c r="H16" s="20"/>
      <c r="I16" s="36"/>
      <c r="J16" s="298"/>
      <c r="K16" s="300"/>
      <c r="L16" s="300"/>
      <c r="M16" s="300"/>
      <c r="N16" s="240">
        <f t="shared" si="0"/>
        <v>0</v>
      </c>
      <c r="O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1222</v>
      </c>
      <c r="D20" s="177" t="s">
        <v>425</v>
      </c>
      <c r="E20" s="35"/>
      <c r="F20" s="21"/>
      <c r="G20" s="21"/>
      <c r="H20" s="21"/>
      <c r="I20" s="21"/>
      <c r="J20" s="298"/>
      <c r="K20" s="304"/>
      <c r="L20" s="304"/>
      <c r="M20" s="304"/>
      <c r="N20" s="240">
        <f t="shared" ref="N20:N32"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1157</v>
      </c>
      <c r="D27" s="177" t="s">
        <v>425</v>
      </c>
      <c r="E27" s="35"/>
      <c r="F27" s="34"/>
      <c r="G27" s="21"/>
      <c r="H27" s="20"/>
      <c r="I27" s="36"/>
      <c r="J27" s="298"/>
      <c r="K27" s="300"/>
      <c r="L27" s="300"/>
      <c r="M27" s="300"/>
      <c r="N27" s="240">
        <f t="shared" si="4"/>
        <v>0</v>
      </c>
      <c r="O27" s="12"/>
      <c r="P27" s="12"/>
      <c r="Q27" s="12"/>
      <c r="R27" s="12"/>
      <c r="S27" s="298">
        <v>1000</v>
      </c>
      <c r="T27" s="473"/>
      <c r="U27" s="35" t="s">
        <v>1158</v>
      </c>
      <c r="V27" s="240" t="str">
        <f t="shared" ref="V27:V32" si="6">IFERROR(IF(D27="tonnes/yr", $S27*$E27/($N$20*3.6), $T27*$E27*3.6/($N$20*3.6)), "Unfilled fields to left")</f>
        <v>Unfilled fields to left</v>
      </c>
      <c r="X27" s="21"/>
    </row>
    <row r="28" spans="2:29" s="14" customFormat="1">
      <c r="B28" s="184" t="s">
        <v>1118</v>
      </c>
      <c r="C28" s="182" t="s">
        <v>1159</v>
      </c>
      <c r="D28" s="177" t="s">
        <v>425</v>
      </c>
      <c r="E28" s="35">
        <f>E27*E37</f>
        <v>0</v>
      </c>
      <c r="F28" s="34"/>
      <c r="G28" s="21"/>
      <c r="H28" s="20"/>
      <c r="I28" s="36"/>
      <c r="J28" s="298"/>
      <c r="K28" s="300"/>
      <c r="L28" s="300"/>
      <c r="M28" s="300"/>
      <c r="N28" s="240">
        <f t="shared" si="4"/>
        <v>0</v>
      </c>
      <c r="O28" s="12"/>
      <c r="P28" s="12"/>
      <c r="Q28" s="12"/>
      <c r="R28" s="12"/>
      <c r="S28" s="298">
        <v>-1000</v>
      </c>
      <c r="T28" s="473"/>
      <c r="U28" s="35" t="s">
        <v>1160</v>
      </c>
      <c r="V28" s="240" t="str">
        <f t="shared" si="6"/>
        <v>Unfilled fields to left</v>
      </c>
      <c r="X28" s="21"/>
    </row>
    <row r="29" spans="2:29" s="14" customFormat="1">
      <c r="B29" s="184" t="s">
        <v>1161</v>
      </c>
      <c r="C29" s="182" t="s">
        <v>1121</v>
      </c>
      <c r="D29" s="177" t="s">
        <v>425</v>
      </c>
      <c r="E29" s="35"/>
      <c r="F29" s="34"/>
      <c r="G29" s="21"/>
      <c r="H29" s="20"/>
      <c r="I29" s="36"/>
      <c r="J29" s="298"/>
      <c r="K29" s="300"/>
      <c r="L29" s="300"/>
      <c r="M29" s="300"/>
      <c r="N29" s="240">
        <f t="shared" si="4"/>
        <v>0</v>
      </c>
      <c r="O29" s="12"/>
      <c r="P29" s="12"/>
      <c r="Q29" s="12"/>
      <c r="R29" s="12"/>
      <c r="S29" s="298">
        <f>28*1000</f>
        <v>28000</v>
      </c>
      <c r="T29" s="473"/>
      <c r="U29" s="35" t="s">
        <v>1107</v>
      </c>
      <c r="V29" s="240" t="str">
        <f t="shared" si="6"/>
        <v>Unfilled fields to left</v>
      </c>
      <c r="X29" s="21"/>
    </row>
    <row r="30" spans="2:29" s="14" customFormat="1">
      <c r="B30" s="184" t="s">
        <v>1161</v>
      </c>
      <c r="C30" s="182" t="s">
        <v>1123</v>
      </c>
      <c r="D30" s="177" t="s">
        <v>425</v>
      </c>
      <c r="E30" s="35"/>
      <c r="F30" s="21"/>
      <c r="G30" s="21"/>
      <c r="H30" s="20"/>
      <c r="I30" s="36"/>
      <c r="J30" s="298"/>
      <c r="K30" s="300"/>
      <c r="L30" s="300"/>
      <c r="M30" s="300"/>
      <c r="N30" s="240">
        <f t="shared" si="4"/>
        <v>0</v>
      </c>
      <c r="O30" s="12"/>
      <c r="P30" s="12"/>
      <c r="Q30" s="12"/>
      <c r="R30" s="12"/>
      <c r="S30" s="35">
        <v>265000</v>
      </c>
      <c r="T30" s="514"/>
      <c r="U30" s="35" t="s">
        <v>1107</v>
      </c>
      <c r="V30" s="240" t="str">
        <f t="shared" si="6"/>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 t="shared" si="6"/>
        <v>Unfilled fields to left</v>
      </c>
      <c r="X31" s="21"/>
    </row>
    <row r="32" spans="2:29" s="14" customFormat="1">
      <c r="B32" s="16"/>
      <c r="C32" s="15"/>
      <c r="D32" s="177"/>
      <c r="E32" s="35"/>
      <c r="F32" s="21"/>
      <c r="G32" s="21"/>
      <c r="H32" s="20"/>
      <c r="I32" s="36"/>
      <c r="J32" s="298"/>
      <c r="K32" s="300"/>
      <c r="L32" s="300"/>
      <c r="M32" s="300"/>
      <c r="N32" s="240">
        <f t="shared" si="4"/>
        <v>0</v>
      </c>
      <c r="O32" s="12"/>
      <c r="P32" s="12"/>
      <c r="Q32" s="12"/>
      <c r="R32" s="12"/>
      <c r="S32" s="298"/>
      <c r="T32" s="473"/>
      <c r="U32" s="300"/>
      <c r="V32" s="240" t="str">
        <f t="shared" si="6"/>
        <v>Unfilled fields to left</v>
      </c>
      <c r="X32" s="21"/>
    </row>
    <row r="33" spans="2:25">
      <c r="C33" s="17"/>
      <c r="D33" s="17"/>
      <c r="E33" s="139"/>
      <c r="F33" s="17"/>
      <c r="H33" s="18"/>
      <c r="I33" s="18"/>
      <c r="J33" s="40"/>
      <c r="K33" s="40"/>
      <c r="L33" s="40"/>
      <c r="M33" s="40"/>
      <c r="N33" s="40"/>
      <c r="O33" s="12"/>
      <c r="S33" s="40"/>
      <c r="T33" s="40"/>
      <c r="U33" s="40"/>
      <c r="V33" s="40"/>
      <c r="Y33" s="12"/>
    </row>
    <row r="34" spans="2:25">
      <c r="D34" s="17"/>
      <c r="E34" s="139"/>
      <c r="J34" s="39"/>
      <c r="K34" s="39"/>
      <c r="L34" s="39"/>
      <c r="M34" s="39"/>
      <c r="O34" s="12"/>
      <c r="S34" s="39"/>
      <c r="T34" s="39"/>
      <c r="U34" s="38" t="s">
        <v>1162</v>
      </c>
      <c r="V34" s="152">
        <f>SUM(V7:V33)</f>
        <v>0</v>
      </c>
      <c r="Y34" s="12"/>
    </row>
    <row r="35" spans="2:25">
      <c r="B35" s="144" t="s">
        <v>133</v>
      </c>
      <c r="C35" s="158"/>
      <c r="D35" s="158"/>
      <c r="E35" s="495"/>
      <c r="I35" s="12"/>
      <c r="J35" s="107"/>
      <c r="K35" s="107"/>
      <c r="L35" s="107"/>
      <c r="M35" s="107"/>
      <c r="N35" s="107"/>
      <c r="O35" s="12"/>
      <c r="S35" s="107"/>
      <c r="T35" s="107"/>
      <c r="U35" s="107"/>
      <c r="Y35" s="12"/>
    </row>
    <row r="36" spans="2:25">
      <c r="B36" s="16" t="s">
        <v>1134</v>
      </c>
      <c r="C36" s="15" t="s">
        <v>1135</v>
      </c>
      <c r="D36" s="15" t="s">
        <v>1136</v>
      </c>
      <c r="E36" s="497"/>
      <c r="G36" s="19"/>
      <c r="H36" s="12"/>
      <c r="I36" s="12"/>
      <c r="J36" s="107"/>
      <c r="K36" s="107"/>
      <c r="L36" s="107"/>
      <c r="M36" s="107"/>
      <c r="N36" s="107"/>
      <c r="O36" s="12"/>
      <c r="S36" s="107"/>
      <c r="T36" s="107"/>
      <c r="U36" s="107"/>
      <c r="V36" s="12"/>
      <c r="X36" s="25"/>
      <c r="Y36" s="12"/>
    </row>
    <row r="37" spans="2:25">
      <c r="B37" s="16" t="s">
        <v>1139</v>
      </c>
      <c r="C37" s="15" t="s">
        <v>1140</v>
      </c>
      <c r="D37" s="15" t="s">
        <v>897</v>
      </c>
      <c r="E37" s="508"/>
      <c r="H37" s="12"/>
      <c r="I37" s="12"/>
      <c r="J37" s="107"/>
      <c r="K37" s="107"/>
      <c r="L37" s="107"/>
      <c r="M37" s="107"/>
      <c r="N37" s="107"/>
      <c r="O37" s="12"/>
      <c r="S37" s="107"/>
      <c r="T37" s="107"/>
      <c r="U37" s="107"/>
      <c r="V37" s="12"/>
      <c r="X37" s="25"/>
      <c r="Y37" s="12"/>
    </row>
    <row r="38" spans="2:25">
      <c r="B38" s="16"/>
      <c r="C38" s="15"/>
      <c r="D38" s="15"/>
      <c r="E38" s="508"/>
      <c r="J38" s="39"/>
      <c r="K38" s="39"/>
      <c r="L38" s="39"/>
      <c r="M38" s="39"/>
      <c r="S38" s="39"/>
      <c r="T38" s="39"/>
      <c r="U38" s="39"/>
      <c r="X38" s="25"/>
    </row>
    <row r="39" spans="2:25">
      <c r="B39" s="16"/>
      <c r="C39" s="15"/>
      <c r="D39" s="15"/>
      <c r="E39" s="503"/>
      <c r="J39" s="39"/>
      <c r="K39" s="39"/>
      <c r="L39" s="39"/>
      <c r="M39" s="39"/>
      <c r="S39" s="39"/>
      <c r="T39" s="39"/>
      <c r="U39" s="39"/>
      <c r="X39" s="25"/>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sheetData>
  <customSheetViews>
    <customSheetView guid="{F03309BC-D3FA-4CF2-833B-D6D9A95FE1FB}" state="hidden">
      <selection activeCell="D2" sqref="D2"/>
      <pageMargins left="0" right="0" top="0" bottom="0" header="0" footer="0"/>
    </customSheetView>
    <customSheetView guid="{EECBF9DF-6D77-4263-85DA-71E40216BADD}" state="hidden">
      <selection activeCell="C2" sqref="C2:E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E6EFD927-84B2-4D06-BB59-59D9DF522DA2}" state="hidden" topLeftCell="A2">
      <selection activeCell="C2" sqref="C2:E2"/>
      <pageMargins left="0" right="0" top="0" bottom="0" header="0" footer="0"/>
    </customSheetView>
    <customSheetView guid="{3F0A4FBA-5323-448F-A023-B3E14C54064C}" state="hidden">
      <selection activeCell="C2" sqref="C2:E2"/>
      <pageMargins left="0" right="0" top="0" bottom="0" header="0" footer="0"/>
    </customSheetView>
    <customSheetView guid="{D97B1299-69D0-4EE0-B673-CCF74742F96B}">
      <selection activeCell="I2" sqref="I2:K2"/>
      <pageMargins left="0" right="0" top="0" bottom="0" header="0" footer="0"/>
    </customSheetView>
    <customSheetView guid="{F468A2FD-7987-4A9D-8BAE-1AACE523607F}" state="hidden">
      <selection activeCell="D2" sqref="D2"/>
      <pageMargins left="0" right="0" top="0" bottom="0" header="0" footer="0"/>
    </customSheetView>
    <customSheetView guid="{2D920366-22B2-4182-A65D-0EDBE614FB37}" showGridLines="0">
      <pane xSplit="3" ySplit="5" topLeftCell="D6" activePane="bottomRight" state="frozen"/>
      <selection pane="bottomRight"/>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29:T33 S9:T27" xr:uid="{27C8F55C-79E8-472E-80E5-26153D42DB6D}">
      <formula1>0</formula1>
    </dataValidation>
    <dataValidation type="custom" allowBlank="1" showInputMessage="1" showErrorMessage="1" error="Please do not change" sqref="R20:R22" xr:uid="{47C20841-2684-428D-8F7E-8A0E3D63CF46}">
      <formula1>"Please do not change"</formula1>
    </dataValidation>
    <dataValidation type="custom" allowBlank="1" showInputMessage="1" showErrorMessage="1" error="Please do not change this formula" sqref="O5:R5" xr:uid="{80F39EC1-4230-4B75-A1C8-FC94399A15C7}">
      <formula1>"Please do not change this formula"</formula1>
    </dataValidation>
    <dataValidation type="custom" allowBlank="1" showInputMessage="1" showErrorMessage="1" error="Please do not change this formula" prompt="Please do not change this formula" sqref="W4 V6:V1048576 N33:N1048576 V1:V4 P1:R4 Q23:R1048576 R6:R19 N1:N7 N18:N19 P21:P1048576 O4 O6:O19 S5:V5" xr:uid="{F56DF6F8-1A55-448D-9B22-3BEA88B5CE57}">
      <formula1>"Please do not change this formula"</formula1>
    </dataValidation>
    <dataValidation type="list" allowBlank="1" showInputMessage="1" showErrorMessage="1" sqref="D8:D17 D20:D32" xr:uid="{7ADF8C58-44F6-4ECB-8806-07639E6C203E}">
      <formula1>Flow_units</formula1>
    </dataValidation>
  </dataValidations>
  <hyperlinks>
    <hyperlink ref="I2:J2" location="'NG Further Transport'!A1" display="Go to the next step of this pathway" xr:uid="{C927E657-03B6-4C1D-8CFD-EAA3D2ABD6FC}"/>
    <hyperlink ref="I2:K2" location="ROG_Transport!A1" display="Go to the next step of this pathway" xr:uid="{5BEC4DD3-D679-49CB-9FAC-2094D5EE9478}"/>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5" id="{00000000-000E-0000-2000-000004000000}">
            <xm:f>AND(Path&lt;&gt;Units!$B$94, Master_Switch="On")</xm:f>
            <x14:dxf>
              <font>
                <color theme="0"/>
              </font>
              <fill>
                <patternFill>
                  <bgColor theme="0"/>
                </patternFill>
              </fill>
              <border>
                <left/>
                <right/>
                <top/>
                <bottom/>
                <vertical/>
                <horizontal/>
              </border>
            </x14:dxf>
          </x14:cfRule>
          <xm:sqref>A2:H2 L2:XFD2 A3:XFD200</xm:sqref>
        </x14:conditionalFormatting>
        <x14:conditionalFormatting xmlns:xm="http://schemas.microsoft.com/office/excel/2006/main">
          <x14:cfRule type="expression" priority="1" id="{0D874B9F-A745-43EF-A0DA-0AE22037F9F3}">
            <xm:f>AND(Path&lt;&gt;Units!$B$94, Master_Switch="On")</xm:f>
            <x14:dxf>
              <font>
                <color theme="0"/>
              </font>
              <fill>
                <patternFill>
                  <fgColor theme="0"/>
                  <bgColor theme="0"/>
                </patternFill>
              </fill>
              <border>
                <left/>
                <right/>
                <top/>
                <bottom/>
                <vertical/>
                <horizontal/>
              </border>
            </x14:dxf>
          </x14:cfRule>
          <xm:sqref>I2:K2</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F650E-216F-4B98-A2E8-DDBB285B13A4}">
  <sheetPr codeName="Sheet57">
    <tabColor theme="3" tint="-0.249977111117893"/>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ol min="24" max="24" width="26" style="12" customWidth="1"/>
    <col min="26" max="16384" width="7.140625" style="12"/>
  </cols>
  <sheetData>
    <row r="1" spans="1:29" ht="31.9" customHeight="1">
      <c r="A1" s="80" t="str">
        <f>IF(AND(Path&lt;&gt;Units!$B$94, Master_Switch="On"),"User should not fill in this sheet, but switch to other non-blank GHG worksheets","")</f>
        <v>User should not fill in this sheet, but switch to other non-blank GHG worksheets</v>
      </c>
      <c r="E1" s="254"/>
    </row>
    <row r="2" spans="1:29" s="19" customFormat="1" ht="20.45" customHeight="1">
      <c r="B2" s="80"/>
      <c r="E2" s="254"/>
      <c r="H2" s="126"/>
      <c r="I2" s="735" t="s">
        <v>1141</v>
      </c>
      <c r="J2" s="737"/>
      <c r="K2" s="738"/>
      <c r="L2" s="39"/>
      <c r="M2" s="39"/>
      <c r="N2" s="39"/>
      <c r="O2"/>
      <c r="P2"/>
      <c r="Q2" s="12"/>
      <c r="R2" s="12"/>
      <c r="S2" s="126"/>
      <c r="T2" s="126"/>
      <c r="U2" s="126"/>
      <c r="V2" s="125"/>
      <c r="Y2"/>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1223</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1164</v>
      </c>
      <c r="D9" s="177" t="s">
        <v>447</v>
      </c>
      <c r="E9" s="35"/>
      <c r="F9" s="21"/>
      <c r="G9" s="21"/>
      <c r="H9" s="20"/>
      <c r="I9" s="36"/>
      <c r="J9" s="298"/>
      <c r="K9" s="300"/>
      <c r="L9" s="300"/>
      <c r="M9" s="300"/>
      <c r="N9" s="240">
        <f t="shared" si="0"/>
        <v>0</v>
      </c>
      <c r="O9" s="12"/>
      <c r="P9" s="12"/>
      <c r="S9" s="35" t="str">
        <f>IF(B9="", "", IF(D9="MWh/yr (LHV)", "Use column to right", "Enter data here"))</f>
        <v>Use column to right</v>
      </c>
      <c r="T9" s="298"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IF(B10="", "", IF(D10="MWh/yr (LHV)", "Use column to right", "Enter data here"))</f>
        <v>Enter data here</v>
      </c>
      <c r="T10" s="35" t="str">
        <f t="shared" ref="T10:T17"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ref="S11:S17" si="3">IF(B11="", "", IF(D11="MWh/yr (LHV)", "Use column to right", "Enter data here"))</f>
        <v>Enter data here</v>
      </c>
      <c r="T11" s="35" t="str">
        <f t="shared" si="2"/>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3"/>
        <v>Enter data here</v>
      </c>
      <c r="T12" s="35" t="str">
        <f t="shared" si="2"/>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3"/>
        <v>Enter data here</v>
      </c>
      <c r="T13" s="35" t="str">
        <f t="shared" si="2"/>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3"/>
        <v>Enter data here</v>
      </c>
      <c r="T14" s="35" t="str">
        <f t="shared" si="2"/>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P15" s="12"/>
      <c r="S15" s="35" t="str">
        <f t="shared" si="3"/>
        <v>Enter data here</v>
      </c>
      <c r="T15" s="35" t="str">
        <f t="shared" si="2"/>
        <v>Use column to left</v>
      </c>
      <c r="U15" s="35" t="s">
        <v>1148</v>
      </c>
      <c r="V15" s="240" t="str">
        <f t="shared" si="1"/>
        <v>Unfilled fields to left</v>
      </c>
      <c r="X15" s="25"/>
      <c r="Y15" s="12"/>
    </row>
    <row r="16" spans="1:29">
      <c r="B16" s="184" t="s">
        <v>1150</v>
      </c>
      <c r="C16" s="182"/>
      <c r="D16" s="177"/>
      <c r="E16" s="35"/>
      <c r="F16" s="21"/>
      <c r="G16" s="21"/>
      <c r="H16" s="20"/>
      <c r="I16" s="36"/>
      <c r="J16" s="298"/>
      <c r="K16" s="300"/>
      <c r="L16" s="300"/>
      <c r="M16" s="300"/>
      <c r="N16" s="240">
        <f t="shared" si="0"/>
        <v>0</v>
      </c>
      <c r="O16" s="12"/>
      <c r="P16" s="12"/>
      <c r="S16" s="35" t="str">
        <f t="shared" si="3"/>
        <v>Enter data here</v>
      </c>
      <c r="T16" s="35" t="str">
        <f t="shared" si="2"/>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3"/>
        <v/>
      </c>
      <c r="T17" s="35" t="str">
        <f t="shared" si="2"/>
        <v/>
      </c>
      <c r="U17" s="35"/>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1223</v>
      </c>
      <c r="D20" s="177" t="s">
        <v>425</v>
      </c>
      <c r="E20" s="35"/>
      <c r="F20" s="21"/>
      <c r="G20" s="21"/>
      <c r="H20" s="21"/>
      <c r="I20" s="21"/>
      <c r="J20" s="298"/>
      <c r="K20" s="304"/>
      <c r="L20" s="304"/>
      <c r="M20" s="304"/>
      <c r="N20" s="240">
        <f t="shared" ref="N20:N31"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1165</v>
      </c>
      <c r="D27" s="177" t="s">
        <v>425</v>
      </c>
      <c r="E27" s="35"/>
      <c r="F27" s="34"/>
      <c r="G27" s="21"/>
      <c r="H27" s="20"/>
      <c r="I27" s="36"/>
      <c r="J27" s="298"/>
      <c r="K27" s="300"/>
      <c r="L27" s="300"/>
      <c r="M27" s="300"/>
      <c r="N27" s="240">
        <f t="shared" si="4"/>
        <v>0</v>
      </c>
      <c r="O27" s="12"/>
      <c r="P27" s="12"/>
      <c r="Q27" s="12"/>
      <c r="R27" s="12"/>
      <c r="S27" s="298">
        <f>1*1000</f>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tate="hidden">
      <selection activeCell="D2" sqref="D2"/>
      <pageMargins left="0" right="0" top="0" bottom="0" header="0" footer="0"/>
    </customSheetView>
    <customSheetView guid="{EECBF9DF-6D77-4263-85DA-71E40216BADD}" state="hidden">
      <selection activeCell="C2" sqref="C2:E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E6EFD927-84B2-4D06-BB59-59D9DF522DA2}" state="hidden">
      <selection activeCell="C2" sqref="C2:E2"/>
      <pageMargins left="0" right="0" top="0" bottom="0" header="0" footer="0"/>
    </customSheetView>
    <customSheetView guid="{3F0A4FBA-5323-448F-A023-B3E14C54064C}" state="hidden">
      <selection activeCell="C2" sqref="C2:E2"/>
      <pageMargins left="0" right="0" top="0" bottom="0" header="0" footer="0"/>
    </customSheetView>
    <customSheetView guid="{D97B1299-69D0-4EE0-B673-CCF74742F96B}">
      <selection activeCell="I2" sqref="I2:K2"/>
      <pageMargins left="0" right="0" top="0" bottom="0" header="0" footer="0"/>
    </customSheetView>
    <customSheetView guid="{F468A2FD-7987-4A9D-8BAE-1AACE523607F}" state="hidden">
      <selection activeCell="D2" sqref="D2"/>
      <pageMargins left="0" right="0" top="0" bottom="0" header="0" footer="0"/>
    </customSheetView>
    <customSheetView guid="{2D920366-22B2-4182-A65D-0EDBE614FB37}" showGridLines="0">
      <pane xSplit="3" ySplit="5" topLeftCell="D6" activePane="bottomRight" state="frozen"/>
      <selection pane="bottomRight"/>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9:T32" xr:uid="{B1C51395-A8B9-4603-92EF-D003C6F68C14}">
      <formula1>0</formula1>
    </dataValidation>
    <dataValidation type="custom" allowBlank="1" showInputMessage="1" showErrorMessage="1" error="Please do not change" sqref="R20:R22" xr:uid="{688D4A31-B6C5-4E52-81F0-CAE0C803164A}">
      <formula1>"Please do not change"</formula1>
    </dataValidation>
    <dataValidation type="custom" allowBlank="1" showInputMessage="1" showErrorMessage="1" error="Please do not change this formula" sqref="R23:R1048576 R1:R19 N1:Q1048576" xr:uid="{97F7481D-C57A-4DBE-BE8F-86D9C184D6A4}">
      <formula1>"Please do not change this formula"</formula1>
    </dataValidation>
    <dataValidation type="custom" allowBlank="1" showInputMessage="1" showErrorMessage="1" error="Please do not change this formula" prompt="Please do not change this formula" sqref="V6:V1048576 W4 V1:V4 S5:V5" xr:uid="{E618A366-88FF-4D3A-A777-FEFD859F3F5C}">
      <formula1>"Please do not change this formula"</formula1>
    </dataValidation>
    <dataValidation type="list" allowBlank="1" showInputMessage="1" showErrorMessage="1" sqref="D8:D17 D20:D31" xr:uid="{F3E76244-7227-4F64-B19B-6490D7416BC1}">
      <formula1>Flow_units</formula1>
    </dataValidation>
  </dataValidations>
  <hyperlinks>
    <hyperlink ref="I2:J2" location="'NG Processing'!A1" display="Go to the next step of this pathway" xr:uid="{1C86E98E-FEF0-47BF-824A-09D8D3781BB3}"/>
    <hyperlink ref="I2:K2" location="ROG_Reforming_CCS!A1" display="Go to the next step of this pathway" xr:uid="{8B304197-23AB-48F6-96E2-DB2C75E2E770}"/>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00000000-000E-0000-2100-000003000000}">
            <xm:f>AND(Path&lt;&gt;Units!$B$94, Master_Switch="On")</xm:f>
            <x14:dxf>
              <font>
                <color theme="0"/>
              </font>
              <fill>
                <patternFill>
                  <fgColor theme="0"/>
                  <bgColor theme="0"/>
                </patternFill>
              </fill>
              <border>
                <left/>
                <right/>
                <top/>
                <bottom/>
                <vertical/>
                <horizontal/>
              </border>
            </x14:dxf>
          </x14:cfRule>
          <xm:sqref>A2:XFD200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01ECB-E5BC-42E2-BF38-C11C317F22FC}">
  <sheetPr codeName="Sheet58">
    <tabColor theme="3" tint="-0.249977111117893"/>
  </sheetPr>
  <dimension ref="A1:AB246"/>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9" customWidth="1"/>
    <col min="2" max="2" width="23.28515625" style="19" customWidth="1"/>
    <col min="3" max="3" width="37.140625" style="19" customWidth="1"/>
    <col min="4" max="4" width="13.28515625" style="19" customWidth="1"/>
    <col min="5" max="5" width="16.42578125" style="455" customWidth="1"/>
    <col min="6" max="6" width="22" style="19" customWidth="1"/>
    <col min="7" max="7" width="18.7109375" style="19" customWidth="1"/>
    <col min="8" max="8" width="13.42578125" style="126" customWidth="1"/>
    <col min="9" max="9" width="14.140625" style="126" customWidth="1"/>
    <col min="10" max="10" width="14" style="126" customWidth="1"/>
    <col min="11" max="11" width="13.85546875" style="126" customWidth="1"/>
    <col min="12" max="13" width="13.85546875" style="13" customWidth="1"/>
    <col min="14" max="14" width="14.28515625" style="39" customWidth="1"/>
    <col min="15" max="15" width="18" customWidth="1"/>
    <col min="16" max="16" width="10.140625" style="12" customWidth="1"/>
    <col min="17" max="17" width="18.85546875" style="12" customWidth="1"/>
    <col min="18" max="18" width="17.5703125" style="12" customWidth="1"/>
    <col min="19" max="20" width="20.7109375" style="126" customWidth="1"/>
    <col min="21" max="21" width="22.7109375" style="126" customWidth="1"/>
    <col min="22" max="22" width="20.28515625" style="125" customWidth="1"/>
    <col min="23" max="23" width="16.5703125" style="19" customWidth="1"/>
    <col min="24" max="24" width="26" style="19" customWidth="1"/>
    <col min="26" max="16384" width="7.140625" style="19"/>
  </cols>
  <sheetData>
    <row r="1" spans="1:28" ht="31.9" customHeight="1">
      <c r="A1" s="80" t="str">
        <f>IF(AND(Path&lt;&gt;Units!$B$94,Master_Switch="On"),"User should not fill in this sheet, but switch to other non-blank GHG worksheets","")</f>
        <v>User should not fill in this sheet, but switch to other non-blank GHG worksheets</v>
      </c>
      <c r="E1" s="254"/>
    </row>
    <row r="2" spans="1:28" ht="20.45" customHeight="1">
      <c r="B2" s="80"/>
      <c r="E2" s="254"/>
      <c r="I2" s="735" t="s">
        <v>1031</v>
      </c>
      <c r="J2" s="737"/>
      <c r="K2" s="738"/>
      <c r="L2" s="39"/>
      <c r="M2" s="39"/>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O6" s="12"/>
      <c r="Q6" s="39"/>
    </row>
    <row r="7" spans="1:28">
      <c r="B7" s="144" t="s">
        <v>1051</v>
      </c>
      <c r="C7" s="144"/>
      <c r="D7" s="144"/>
      <c r="E7" s="322"/>
      <c r="F7" s="144"/>
      <c r="G7" s="144"/>
      <c r="H7" s="144"/>
      <c r="I7" s="144"/>
      <c r="J7" s="144"/>
      <c r="K7" s="322"/>
      <c r="L7" s="144"/>
      <c r="M7" s="144"/>
      <c r="N7" s="299"/>
      <c r="O7" s="12"/>
      <c r="Q7" s="551"/>
      <c r="S7" s="18"/>
      <c r="T7" s="18"/>
      <c r="U7" s="18"/>
      <c r="V7" s="40"/>
      <c r="Y7" s="19"/>
    </row>
    <row r="8" spans="1:28">
      <c r="B8" s="16" t="s">
        <v>1052</v>
      </c>
      <c r="C8" s="182" t="s">
        <v>1223</v>
      </c>
      <c r="D8" s="177" t="s">
        <v>425</v>
      </c>
      <c r="E8" s="35"/>
      <c r="F8" s="24"/>
      <c r="G8" s="24"/>
      <c r="H8" s="24"/>
      <c r="I8" s="24"/>
      <c r="J8" s="35"/>
      <c r="K8" s="35"/>
      <c r="L8" s="304"/>
      <c r="M8" s="304"/>
      <c r="N8" s="240">
        <f t="shared" ref="N8:N17" si="0">IF($D8="MWh/yr (LHV)",$E8,$J8*$E8*(1-$L8)/Conversion_kWh_to_MJ)</f>
        <v>0</v>
      </c>
      <c r="O8" s="12"/>
      <c r="Q8" s="550"/>
      <c r="S8" s="40"/>
      <c r="T8" s="40"/>
      <c r="U8" s="40"/>
      <c r="V8" s="40"/>
      <c r="X8" s="21"/>
      <c r="Y8" s="19"/>
    </row>
    <row r="9" spans="1:28">
      <c r="B9" s="16" t="s">
        <v>1054</v>
      </c>
      <c r="C9" s="15" t="s">
        <v>1169</v>
      </c>
      <c r="D9" s="15" t="s">
        <v>425</v>
      </c>
      <c r="E9" s="35">
        <f>Hydrogen_flow</f>
        <v>0</v>
      </c>
      <c r="F9" s="24"/>
      <c r="G9" s="24"/>
      <c r="H9" s="24"/>
      <c r="I9" s="24"/>
      <c r="J9" s="35">
        <v>120</v>
      </c>
      <c r="K9" s="35"/>
      <c r="L9" s="547">
        <v>0</v>
      </c>
      <c r="M9" s="304"/>
      <c r="N9" s="240">
        <f t="shared" si="0"/>
        <v>0</v>
      </c>
      <c r="O9" s="88" t="str">
        <f>IFERROR(N9/N8,"")</f>
        <v/>
      </c>
      <c r="Q9" s="511">
        <f t="shared" ref="Q9:Q13" si="1">IF($D9="MWh/yr (LHV)",$E9,$E9*MAX(0, $J9*(1-$L9)-2.441*$L9)/Conversion_kWh_to_MJ)</f>
        <v>0</v>
      </c>
      <c r="R9" s="43" t="str">
        <f>IFERROR(Q9/(SUM($Q$9:$Q$13)),"")</f>
        <v/>
      </c>
      <c r="S9" s="42"/>
      <c r="T9" s="42"/>
      <c r="U9" s="42"/>
      <c r="V9" s="19"/>
      <c r="X9" s="21"/>
      <c r="Y9" s="19"/>
    </row>
    <row r="10" spans="1:28">
      <c r="B10" s="184" t="s">
        <v>1056</v>
      </c>
      <c r="C10" s="182" t="s">
        <v>1057</v>
      </c>
      <c r="D10" s="177" t="s">
        <v>425</v>
      </c>
      <c r="E10" s="35"/>
      <c r="F10" s="21"/>
      <c r="G10" s="21"/>
      <c r="H10" s="20"/>
      <c r="I10" s="33"/>
      <c r="J10" s="298"/>
      <c r="K10" s="300"/>
      <c r="L10" s="300"/>
      <c r="M10" s="300"/>
      <c r="N10" s="240">
        <f t="shared" si="0"/>
        <v>0</v>
      </c>
      <c r="O10" s="12"/>
      <c r="Q10" s="511">
        <f t="shared" si="1"/>
        <v>0</v>
      </c>
      <c r="R10" s="43" t="str">
        <f>IFERROR(Q10/(SUM($Q$9:$Q$13)),"")</f>
        <v/>
      </c>
      <c r="S10" s="42"/>
      <c r="T10" s="42"/>
      <c r="U10" s="42"/>
      <c r="V10" s="19"/>
      <c r="W10" s="23"/>
      <c r="X10" s="21"/>
      <c r="Y10" s="19"/>
    </row>
    <row r="11" spans="1:28">
      <c r="B11" s="184" t="s">
        <v>1056</v>
      </c>
      <c r="C11" s="182" t="s">
        <v>1170</v>
      </c>
      <c r="D11" s="177" t="s">
        <v>425</v>
      </c>
      <c r="E11" s="35"/>
      <c r="F11" s="21"/>
      <c r="G11" s="21"/>
      <c r="H11" s="20"/>
      <c r="I11" s="20"/>
      <c r="J11" s="300"/>
      <c r="K11" s="300"/>
      <c r="L11" s="300"/>
      <c r="M11" s="300"/>
      <c r="N11" s="240">
        <f t="shared" si="0"/>
        <v>0</v>
      </c>
      <c r="O11" s="12"/>
      <c r="Q11" s="511">
        <f t="shared" si="1"/>
        <v>0</v>
      </c>
      <c r="R11" s="43" t="str">
        <f>IFERROR(Q11/(SUM($Q$9:$Q$13)),"")</f>
        <v/>
      </c>
      <c r="S11" s="42"/>
      <c r="T11" s="42"/>
      <c r="U11" s="42"/>
      <c r="V11" s="14"/>
      <c r="W11" s="23"/>
      <c r="X11" s="21"/>
      <c r="Y11" s="19"/>
    </row>
    <row r="12" spans="1:28">
      <c r="B12" s="184" t="s">
        <v>1056</v>
      </c>
      <c r="C12" s="182" t="s">
        <v>1059</v>
      </c>
      <c r="D12" s="177" t="s">
        <v>425</v>
      </c>
      <c r="E12" s="35"/>
      <c r="F12" s="21"/>
      <c r="G12" s="21"/>
      <c r="H12" s="20"/>
      <c r="I12" s="20"/>
      <c r="J12" s="300"/>
      <c r="K12" s="300"/>
      <c r="L12" s="300"/>
      <c r="M12" s="300"/>
      <c r="N12" s="240">
        <f t="shared" si="0"/>
        <v>0</v>
      </c>
      <c r="O12" s="12"/>
      <c r="Q12" s="511">
        <f t="shared" si="1"/>
        <v>0</v>
      </c>
      <c r="R12" s="43" t="str">
        <f>IFERROR(Q12/(SUM($Q$9:$Q$13)),"")</f>
        <v/>
      </c>
      <c r="S12" s="40"/>
      <c r="T12" s="40"/>
      <c r="U12" s="40"/>
      <c r="V12" s="40"/>
      <c r="X12" s="21"/>
      <c r="Y12" s="19"/>
    </row>
    <row r="13" spans="1:28">
      <c r="B13" s="184" t="s">
        <v>1056</v>
      </c>
      <c r="C13" s="182" t="s">
        <v>1060</v>
      </c>
      <c r="D13" s="177" t="s">
        <v>425</v>
      </c>
      <c r="E13" s="35"/>
      <c r="F13" s="21"/>
      <c r="G13" s="21"/>
      <c r="H13" s="20"/>
      <c r="I13" s="20"/>
      <c r="J13" s="300"/>
      <c r="K13" s="300"/>
      <c r="L13" s="300"/>
      <c r="M13" s="300"/>
      <c r="N13" s="240">
        <f t="shared" si="0"/>
        <v>0</v>
      </c>
      <c r="O13" s="12"/>
      <c r="Q13" s="511">
        <f t="shared" si="1"/>
        <v>0</v>
      </c>
      <c r="R13" s="43" t="str">
        <f>IFERROR(Q13/(SUM($Q$9:$Q$13)),"")</f>
        <v/>
      </c>
      <c r="S13" s="40"/>
      <c r="T13" s="40"/>
      <c r="U13" s="40"/>
      <c r="V13" s="40"/>
      <c r="X13" s="21"/>
      <c r="Y13" s="19"/>
    </row>
    <row r="14" spans="1:28" s="14" customFormat="1">
      <c r="B14" s="184" t="s">
        <v>1061</v>
      </c>
      <c r="C14" s="182" t="s">
        <v>1156</v>
      </c>
      <c r="D14" s="177" t="s">
        <v>425</v>
      </c>
      <c r="E14" s="35"/>
      <c r="F14" s="21"/>
      <c r="G14" s="21"/>
      <c r="H14" s="20"/>
      <c r="I14" s="20"/>
      <c r="J14" s="300"/>
      <c r="K14" s="300"/>
      <c r="L14" s="300"/>
      <c r="M14" s="300"/>
      <c r="N14" s="240">
        <f t="shared" si="0"/>
        <v>0</v>
      </c>
      <c r="O14" s="12"/>
      <c r="P14" s="12"/>
      <c r="Q14" s="12"/>
      <c r="R14" s="12"/>
      <c r="S14" s="113"/>
      <c r="T14" s="113"/>
      <c r="U14" s="113"/>
      <c r="V14" s="19"/>
      <c r="W14" s="23"/>
      <c r="X14" s="21"/>
      <c r="Y14" s="23"/>
      <c r="Z14" s="42"/>
      <c r="AB14" s="19"/>
    </row>
    <row r="15" spans="1:28" s="14" customFormat="1">
      <c r="B15" s="184" t="s">
        <v>1061</v>
      </c>
      <c r="C15" s="182" t="s">
        <v>1063</v>
      </c>
      <c r="D15" s="177" t="s">
        <v>425</v>
      </c>
      <c r="E15" s="35"/>
      <c r="F15" s="21"/>
      <c r="G15" s="21"/>
      <c r="H15" s="20"/>
      <c r="I15" s="20"/>
      <c r="J15" s="300"/>
      <c r="K15" s="300"/>
      <c r="L15" s="300"/>
      <c r="M15" s="300"/>
      <c r="N15" s="240">
        <f t="shared" si="0"/>
        <v>0</v>
      </c>
      <c r="O15" s="12"/>
      <c r="P15" s="12"/>
      <c r="Q15" s="12"/>
      <c r="R15" s="12"/>
      <c r="S15" s="113"/>
      <c r="T15" s="113"/>
      <c r="U15" s="113"/>
      <c r="V15" s="19"/>
      <c r="W15" s="23"/>
      <c r="X15" s="21"/>
      <c r="Y15" s="23"/>
      <c r="Z15" s="42"/>
      <c r="AB15" s="19"/>
    </row>
    <row r="16" spans="1:28" s="14" customFormat="1">
      <c r="B16" s="184" t="s">
        <v>1064</v>
      </c>
      <c r="C16" s="182" t="s">
        <v>1065</v>
      </c>
      <c r="D16" s="177" t="s">
        <v>425</v>
      </c>
      <c r="E16" s="35"/>
      <c r="F16" s="21"/>
      <c r="G16" s="21"/>
      <c r="H16" s="20"/>
      <c r="I16" s="36"/>
      <c r="J16" s="298"/>
      <c r="K16" s="300"/>
      <c r="L16" s="300"/>
      <c r="M16" s="300"/>
      <c r="N16" s="240">
        <f t="shared" si="0"/>
        <v>0</v>
      </c>
      <c r="O16" s="12"/>
      <c r="P16" s="12"/>
      <c r="Q16" s="12"/>
      <c r="R16" s="12"/>
      <c r="S16" s="113"/>
      <c r="T16" s="113"/>
      <c r="U16" s="113"/>
      <c r="V16" s="19"/>
      <c r="X16" s="21"/>
    </row>
    <row r="17" spans="2:25" s="14" customFormat="1">
      <c r="B17" s="184" t="s">
        <v>1064</v>
      </c>
      <c r="C17" s="182" t="s">
        <v>1066</v>
      </c>
      <c r="D17" s="177" t="s">
        <v>425</v>
      </c>
      <c r="E17" s="35"/>
      <c r="F17" s="21"/>
      <c r="G17" s="21"/>
      <c r="H17" s="20"/>
      <c r="I17" s="36"/>
      <c r="J17" s="298"/>
      <c r="K17" s="300"/>
      <c r="L17" s="300"/>
      <c r="M17" s="300"/>
      <c r="N17" s="240">
        <f t="shared" si="0"/>
        <v>0</v>
      </c>
      <c r="O17" s="12"/>
      <c r="P17" s="12"/>
      <c r="Q17" s="12"/>
      <c r="R17" s="12"/>
      <c r="S17" s="113"/>
      <c r="T17" s="113"/>
      <c r="U17" s="113"/>
      <c r="V17" s="19"/>
      <c r="X17" s="21"/>
    </row>
    <row r="18" spans="2:25">
      <c r="B18" s="78"/>
      <c r="C18" s="260"/>
      <c r="D18" s="78"/>
      <c r="E18" s="478"/>
      <c r="F18" s="259"/>
      <c r="G18" s="79"/>
      <c r="H18" s="258"/>
      <c r="I18" s="258"/>
      <c r="J18" s="478"/>
      <c r="K18" s="252"/>
      <c r="L18" s="73"/>
      <c r="M18" s="73"/>
      <c r="N18" s="73"/>
      <c r="O18" s="12"/>
      <c r="S18" s="40"/>
      <c r="T18" s="40"/>
      <c r="U18" s="40"/>
      <c r="V18" s="40"/>
      <c r="X18" s="259"/>
      <c r="Y18" s="19"/>
    </row>
    <row r="19" spans="2:25" ht="30.95">
      <c r="B19" s="80" t="str">
        <f>IF(AND(GHG_ROG_REFORM_CCS!$D$9="Default",Master_Switch="On"),"Default data selected for the emissions category below, move to the next emissions category within this step","")</f>
        <v/>
      </c>
      <c r="C19" s="260"/>
      <c r="D19" s="78"/>
      <c r="E19" s="478"/>
      <c r="F19" s="259"/>
      <c r="G19" s="79"/>
      <c r="H19" s="258"/>
      <c r="I19" s="258"/>
      <c r="J19" s="478"/>
      <c r="K19" s="252"/>
      <c r="L19" s="73"/>
      <c r="M19" s="73"/>
      <c r="N19" s="73"/>
      <c r="O19" s="12"/>
      <c r="S19" s="40"/>
      <c r="T19" s="40"/>
      <c r="U19" s="40"/>
      <c r="V19" s="40"/>
      <c r="X19" s="259"/>
      <c r="Y19" s="19"/>
    </row>
    <row r="20" spans="2:25">
      <c r="B20" s="144" t="s">
        <v>1171</v>
      </c>
      <c r="C20" s="257"/>
      <c r="D20" s="257"/>
      <c r="E20" s="490"/>
      <c r="F20" s="256"/>
      <c r="G20" s="255"/>
      <c r="H20" s="150"/>
      <c r="I20" s="150"/>
      <c r="J20" s="490"/>
      <c r="K20" s="487"/>
      <c r="L20" s="488"/>
      <c r="M20" s="488"/>
      <c r="N20" s="487"/>
      <c r="O20" s="150"/>
      <c r="P20" s="151"/>
      <c r="Q20" s="151"/>
      <c r="R20" s="151"/>
      <c r="S20" s="476"/>
      <c r="T20" s="482"/>
      <c r="U20" s="476"/>
      <c r="V20" s="152">
        <f>SUM(V21:V30)</f>
        <v>0</v>
      </c>
      <c r="Y20" s="19"/>
    </row>
    <row r="21" spans="2:25">
      <c r="B21" s="184" t="s">
        <v>1069</v>
      </c>
      <c r="C21" s="182" t="s">
        <v>1172</v>
      </c>
      <c r="D21" s="177" t="s">
        <v>447</v>
      </c>
      <c r="E21" s="35"/>
      <c r="F21" s="24"/>
      <c r="G21" s="24"/>
      <c r="H21" s="24"/>
      <c r="I21" s="24"/>
      <c r="J21" s="301"/>
      <c r="K21" s="35"/>
      <c r="L21" s="304"/>
      <c r="M21" s="304"/>
      <c r="N21" s="240">
        <f t="shared" ref="N21:N30" si="2">IF($D21="MWh/yr (LHV)",$E21,$J21*$E21*(1-$L21)/Conversion_kWh_to_MJ)</f>
        <v>0</v>
      </c>
      <c r="O21" s="12"/>
      <c r="S21" s="35" t="str">
        <f t="shared" ref="S21:S30" si="3">IF(B21="", "", IF(D21="MWh/yr (LHV)", "Use column to right", "Enter data here"))</f>
        <v>Use column to right</v>
      </c>
      <c r="T21" s="298" t="e">
        <f>Initial_questions!$E$43*1/Conversion_kWh_to_MJ</f>
        <v>#VALUE!</v>
      </c>
      <c r="U21" s="298" t="s">
        <v>1110</v>
      </c>
      <c r="V21" s="241" t="str">
        <f t="shared" ref="V21:V30" si="4">IFERROR(IF(D21="tonnes/yr", $S21*$E21/($N$9*3.6), $T21*$E21*3.6/($N$9*3.6)), "Unfilled fields to left")</f>
        <v>Unfilled fields to left</v>
      </c>
      <c r="X21" s="21"/>
      <c r="Y21" s="19"/>
    </row>
    <row r="22" spans="2:25">
      <c r="B22" s="184" t="s">
        <v>1069</v>
      </c>
      <c r="C22" s="182" t="s">
        <v>1173</v>
      </c>
      <c r="D22" s="177" t="s">
        <v>447</v>
      </c>
      <c r="E22" s="35"/>
      <c r="F22" s="24"/>
      <c r="G22" s="24"/>
      <c r="H22" s="24"/>
      <c r="I22" s="24"/>
      <c r="J22" s="298"/>
      <c r="K22" s="298"/>
      <c r="L22" s="300"/>
      <c r="M22" s="300"/>
      <c r="N22" s="240">
        <f t="shared" si="2"/>
        <v>0</v>
      </c>
      <c r="O22" s="12"/>
      <c r="S22" s="35" t="str">
        <f t="shared" si="3"/>
        <v>Use column to right</v>
      </c>
      <c r="T22" s="298" t="e">
        <f>Initial_questions!$E$43*1/Conversion_kWh_to_MJ</f>
        <v>#VALUE!</v>
      </c>
      <c r="U22" s="298" t="s">
        <v>1110</v>
      </c>
      <c r="V22" s="355" t="str">
        <f t="shared" si="4"/>
        <v>Unfilled fields to left</v>
      </c>
      <c r="X22" s="25"/>
      <c r="Y22" s="19"/>
    </row>
    <row r="23" spans="2:25">
      <c r="B23" s="184" t="s">
        <v>1069</v>
      </c>
      <c r="C23" s="182" t="s">
        <v>1174</v>
      </c>
      <c r="D23" s="177" t="s">
        <v>447</v>
      </c>
      <c r="E23" s="35"/>
      <c r="F23" s="24"/>
      <c r="G23" s="24"/>
      <c r="H23" s="24"/>
      <c r="I23" s="24"/>
      <c r="J23" s="298"/>
      <c r="K23" s="298"/>
      <c r="L23" s="300"/>
      <c r="M23" s="300"/>
      <c r="N23" s="240">
        <f t="shared" si="2"/>
        <v>0</v>
      </c>
      <c r="O23" s="55"/>
      <c r="S23" s="35" t="str">
        <f t="shared" si="3"/>
        <v>Use column to right</v>
      </c>
      <c r="T23" s="298" t="e">
        <f>Initial_questions!$E$43*1/Conversion_kWh_to_MJ</f>
        <v>#VALUE!</v>
      </c>
      <c r="U23" s="298" t="s">
        <v>1110</v>
      </c>
      <c r="V23" s="355" t="str">
        <f t="shared" si="4"/>
        <v>Unfilled fields to left</v>
      </c>
      <c r="X23" s="25"/>
      <c r="Y23" s="19"/>
    </row>
    <row r="24" spans="2:25">
      <c r="B24" s="184" t="s">
        <v>1069</v>
      </c>
      <c r="C24" s="182" t="s">
        <v>1087</v>
      </c>
      <c r="D24" s="177" t="s">
        <v>447</v>
      </c>
      <c r="E24" s="35"/>
      <c r="F24" s="82"/>
      <c r="G24" s="21"/>
      <c r="H24" s="20"/>
      <c r="I24" s="36"/>
      <c r="J24" s="298"/>
      <c r="K24" s="300"/>
      <c r="L24" s="304"/>
      <c r="M24" s="304"/>
      <c r="N24" s="240">
        <f t="shared" si="2"/>
        <v>0</v>
      </c>
      <c r="O24" s="19"/>
      <c r="P24" s="19"/>
      <c r="Q24" s="19"/>
      <c r="R24" s="19"/>
      <c r="S24" s="35" t="str">
        <f t="shared" si="3"/>
        <v>Use column to right</v>
      </c>
      <c r="T24" s="35" t="str">
        <f t="shared" ref="T24:T30" si="5">IF(B24="", "", IF(D24="MWh/yr (LHV)", "Enter data here", "Use column to left"))</f>
        <v>Enter data here</v>
      </c>
      <c r="U24" s="35" t="s">
        <v>1088</v>
      </c>
      <c r="V24" s="355" t="str">
        <f t="shared" si="4"/>
        <v>Unfilled fields to left</v>
      </c>
      <c r="X24" s="25"/>
      <c r="Y24" s="19"/>
    </row>
    <row r="25" spans="2:25">
      <c r="B25" s="184" t="s">
        <v>1069</v>
      </c>
      <c r="C25" s="182" t="s">
        <v>1089</v>
      </c>
      <c r="D25" s="177" t="s">
        <v>447</v>
      </c>
      <c r="E25" s="35"/>
      <c r="F25" s="21"/>
      <c r="G25" s="21"/>
      <c r="H25" s="20"/>
      <c r="I25" s="36"/>
      <c r="J25" s="298"/>
      <c r="K25" s="300"/>
      <c r="L25" s="304"/>
      <c r="M25" s="304"/>
      <c r="N25" s="240">
        <f t="shared" si="2"/>
        <v>0</v>
      </c>
      <c r="O25" s="19"/>
      <c r="P25" s="19"/>
      <c r="Q25" s="19"/>
      <c r="R25" s="19"/>
      <c r="S25" s="35" t="str">
        <f t="shared" si="3"/>
        <v>Use column to right</v>
      </c>
      <c r="T25" s="35" t="str">
        <f t="shared" si="5"/>
        <v>Enter data here</v>
      </c>
      <c r="U25" s="35" t="s">
        <v>1088</v>
      </c>
      <c r="V25" s="355" t="str">
        <f t="shared" si="4"/>
        <v>Unfilled fields to left</v>
      </c>
      <c r="X25" s="25"/>
      <c r="Y25" s="19"/>
    </row>
    <row r="26" spans="2:25">
      <c r="B26" s="184" t="s">
        <v>1090</v>
      </c>
      <c r="C26" s="182" t="s">
        <v>1091</v>
      </c>
      <c r="D26" s="177" t="s">
        <v>425</v>
      </c>
      <c r="E26" s="35"/>
      <c r="F26" s="21"/>
      <c r="G26" s="21"/>
      <c r="H26" s="21"/>
      <c r="I26" s="21"/>
      <c r="J26" s="304"/>
      <c r="K26" s="304"/>
      <c r="L26" s="300"/>
      <c r="M26" s="300"/>
      <c r="N26" s="240">
        <f t="shared" si="2"/>
        <v>0</v>
      </c>
      <c r="O26" s="19"/>
      <c r="P26" s="19"/>
      <c r="Q26" s="19"/>
      <c r="R26" s="19"/>
      <c r="S26" s="35" t="str">
        <f t="shared" si="3"/>
        <v>Enter data here</v>
      </c>
      <c r="T26" s="35" t="str">
        <f t="shared" si="5"/>
        <v>Use column to left</v>
      </c>
      <c r="U26" s="35" t="s">
        <v>1092</v>
      </c>
      <c r="V26" s="355" t="str">
        <f t="shared" si="4"/>
        <v>Unfilled fields to left</v>
      </c>
      <c r="X26" s="21"/>
      <c r="Y26" s="19"/>
    </row>
    <row r="27" spans="2:25">
      <c r="B27" s="184" t="s">
        <v>1090</v>
      </c>
      <c r="C27" s="182" t="s">
        <v>1093</v>
      </c>
      <c r="D27" s="177" t="s">
        <v>425</v>
      </c>
      <c r="E27" s="35"/>
      <c r="F27" s="21"/>
      <c r="G27" s="21"/>
      <c r="H27" s="21"/>
      <c r="I27" s="21"/>
      <c r="J27" s="304"/>
      <c r="K27" s="304"/>
      <c r="L27" s="300"/>
      <c r="M27" s="300"/>
      <c r="N27" s="240">
        <f t="shared" si="2"/>
        <v>0</v>
      </c>
      <c r="O27" s="19"/>
      <c r="P27" s="19"/>
      <c r="Q27" s="19"/>
      <c r="R27" s="19"/>
      <c r="S27" s="35" t="str">
        <f t="shared" si="3"/>
        <v>Enter data here</v>
      </c>
      <c r="T27" s="35" t="str">
        <f t="shared" si="5"/>
        <v>Use column to left</v>
      </c>
      <c r="U27" s="35" t="s">
        <v>1092</v>
      </c>
      <c r="V27" s="355" t="str">
        <f t="shared" si="4"/>
        <v>Unfilled fields to left</v>
      </c>
      <c r="X27" s="21"/>
      <c r="Y27" s="19"/>
    </row>
    <row r="28" spans="2:25">
      <c r="B28" s="184" t="s">
        <v>1090</v>
      </c>
      <c r="C28" s="182" t="s">
        <v>1094</v>
      </c>
      <c r="D28" s="177" t="s">
        <v>425</v>
      </c>
      <c r="E28" s="35"/>
      <c r="F28" s="21"/>
      <c r="G28" s="21"/>
      <c r="H28" s="21"/>
      <c r="I28" s="21"/>
      <c r="J28" s="304"/>
      <c r="K28" s="304"/>
      <c r="L28" s="300"/>
      <c r="M28" s="300"/>
      <c r="N28" s="240">
        <f t="shared" si="2"/>
        <v>0</v>
      </c>
      <c r="O28" s="19"/>
      <c r="P28" s="19"/>
      <c r="Q28" s="19"/>
      <c r="R28" s="19"/>
      <c r="S28" s="35" t="str">
        <f t="shared" si="3"/>
        <v>Enter data here</v>
      </c>
      <c r="T28" s="35" t="str">
        <f t="shared" si="5"/>
        <v>Use column to left</v>
      </c>
      <c r="U28" s="35" t="s">
        <v>1092</v>
      </c>
      <c r="V28" s="355" t="str">
        <f t="shared" si="4"/>
        <v>Unfilled fields to left</v>
      </c>
      <c r="X28" s="21"/>
      <c r="Y28" s="19"/>
    </row>
    <row r="29" spans="2:25">
      <c r="B29" s="16"/>
      <c r="C29" s="15"/>
      <c r="D29" s="177"/>
      <c r="E29" s="35"/>
      <c r="F29" s="21"/>
      <c r="G29" s="21"/>
      <c r="H29" s="20"/>
      <c r="I29" s="36"/>
      <c r="J29" s="298"/>
      <c r="K29" s="300"/>
      <c r="L29" s="300"/>
      <c r="M29" s="300"/>
      <c r="N29" s="240">
        <f t="shared" si="2"/>
        <v>0</v>
      </c>
      <c r="O29" s="19"/>
      <c r="P29" s="19"/>
      <c r="Q29" s="19"/>
      <c r="R29" s="19"/>
      <c r="S29" s="35" t="str">
        <f t="shared" si="3"/>
        <v/>
      </c>
      <c r="T29" s="35" t="str">
        <f t="shared" si="5"/>
        <v/>
      </c>
      <c r="U29" s="35"/>
      <c r="V29" s="355" t="str">
        <f t="shared" si="4"/>
        <v>Unfilled fields to left</v>
      </c>
      <c r="X29" s="25"/>
      <c r="Y29" s="19"/>
    </row>
    <row r="30" spans="2:25">
      <c r="B30" s="16"/>
      <c r="C30" s="15"/>
      <c r="D30" s="177"/>
      <c r="E30" s="35"/>
      <c r="F30" s="21"/>
      <c r="G30" s="21"/>
      <c r="H30" s="20"/>
      <c r="I30" s="36"/>
      <c r="J30" s="298"/>
      <c r="K30" s="300"/>
      <c r="L30" s="300"/>
      <c r="M30" s="300"/>
      <c r="N30" s="240">
        <f t="shared" si="2"/>
        <v>0</v>
      </c>
      <c r="O30" s="19"/>
      <c r="P30" s="19"/>
      <c r="Q30" s="19"/>
      <c r="R30" s="19"/>
      <c r="S30" s="35" t="str">
        <f t="shared" si="3"/>
        <v/>
      </c>
      <c r="T30" s="35" t="str">
        <f t="shared" si="5"/>
        <v/>
      </c>
      <c r="U30" s="35"/>
      <c r="V30" s="355" t="str">
        <f t="shared" si="4"/>
        <v>Unfilled fields to left</v>
      </c>
      <c r="X30" s="25"/>
      <c r="Y30" s="19"/>
    </row>
    <row r="31" spans="2:25">
      <c r="C31" s="260"/>
      <c r="D31" s="260"/>
      <c r="E31" s="505"/>
      <c r="F31" s="79"/>
      <c r="G31" s="79"/>
      <c r="H31" s="258"/>
      <c r="I31" s="253"/>
      <c r="J31" s="478"/>
      <c r="K31" s="252"/>
      <c r="L31" s="73"/>
      <c r="M31" s="73"/>
      <c r="N31" s="73"/>
      <c r="O31" s="12"/>
      <c r="S31" s="478"/>
      <c r="T31" s="252"/>
      <c r="U31" s="252"/>
      <c r="V31" s="252"/>
      <c r="X31" s="251"/>
      <c r="Y31" s="19"/>
    </row>
    <row r="32" spans="2:25" ht="30.95">
      <c r="B32" s="80" t="str">
        <f>IF(AND(GHG_ROG_REFORM_CCS!$D$10="Default",Master_Switch="On"),"Default data selected for the emissions category below, move to the next emissions category within this step","")</f>
        <v/>
      </c>
      <c r="C32" s="260"/>
      <c r="D32" s="260"/>
      <c r="E32" s="505"/>
      <c r="F32" s="79"/>
      <c r="G32" s="79"/>
      <c r="H32" s="258"/>
      <c r="I32" s="253"/>
      <c r="J32" s="478"/>
      <c r="K32" s="252"/>
      <c r="L32" s="73"/>
      <c r="M32" s="73"/>
      <c r="N32" s="73"/>
      <c r="O32" s="12"/>
      <c r="S32" s="478"/>
      <c r="T32" s="252"/>
      <c r="U32" s="252"/>
      <c r="V32" s="252"/>
      <c r="X32" s="251"/>
      <c r="Y32" s="19"/>
    </row>
    <row r="33" spans="2:25" ht="16.5">
      <c r="B33" s="144" t="s">
        <v>1175</v>
      </c>
      <c r="C33" s="250"/>
      <c r="D33" s="250"/>
      <c r="E33" s="506"/>
      <c r="F33" s="249"/>
      <c r="G33" s="249"/>
      <c r="H33" s="248"/>
      <c r="I33" s="247"/>
      <c r="J33" s="483"/>
      <c r="K33" s="484"/>
      <c r="L33" s="472"/>
      <c r="M33" s="472"/>
      <c r="N33" s="472"/>
      <c r="O33" s="157"/>
      <c r="P33" s="157"/>
      <c r="Q33" s="157"/>
      <c r="R33" s="157"/>
      <c r="S33" s="483"/>
      <c r="T33" s="484"/>
      <c r="U33" s="484"/>
      <c r="V33" s="152">
        <f>SUM(V34:V43)</f>
        <v>0</v>
      </c>
      <c r="X33" s="251"/>
      <c r="Y33" s="19"/>
    </row>
    <row r="34" spans="2:25">
      <c r="B34" s="184" t="s">
        <v>1096</v>
      </c>
      <c r="C34" s="182" t="s">
        <v>1176</v>
      </c>
      <c r="D34" s="177" t="s">
        <v>425</v>
      </c>
      <c r="E34" s="35"/>
      <c r="F34" s="21"/>
      <c r="G34" s="21"/>
      <c r="H34" s="21"/>
      <c r="I34" s="21"/>
      <c r="J34" s="304"/>
      <c r="K34" s="304"/>
      <c r="L34" s="304"/>
      <c r="M34" s="304"/>
      <c r="N34" s="240">
        <f t="shared" ref="N34:N43" si="6">IF($D34="MWh/yr (LHV)",$E34,$J34*$E34*(1-$L34)/Conversion_kWh_to_MJ)</f>
        <v>0</v>
      </c>
      <c r="O34" s="12"/>
      <c r="S34" s="35" t="s">
        <v>1177</v>
      </c>
      <c r="T34" s="35" t="s">
        <v>1178</v>
      </c>
      <c r="U34" s="35" t="s">
        <v>1098</v>
      </c>
      <c r="V34" s="240" t="str">
        <f t="shared" ref="V34:V43" si="7">IFERROR(IF(D34="tonnes/yr", $S34*$E34/($N$9*3.6), $T34*$E34*3.6/($N$9*3.6)), "Unfilled fields to left")</f>
        <v>Unfilled fields to left</v>
      </c>
      <c r="X34" s="21"/>
      <c r="Y34" s="19"/>
    </row>
    <row r="35" spans="2:25">
      <c r="B35" s="184" t="s">
        <v>1099</v>
      </c>
      <c r="C35" s="182" t="s">
        <v>1058</v>
      </c>
      <c r="D35" s="177" t="s">
        <v>425</v>
      </c>
      <c r="E35" s="35"/>
      <c r="F35" s="21"/>
      <c r="G35" s="21"/>
      <c r="H35" s="20"/>
      <c r="I35" s="36"/>
      <c r="J35" s="298"/>
      <c r="K35" s="300"/>
      <c r="L35" s="300"/>
      <c r="M35" s="300"/>
      <c r="N35" s="240">
        <f t="shared" si="6"/>
        <v>0</v>
      </c>
      <c r="O35" s="12"/>
      <c r="S35" s="35" t="s">
        <v>1177</v>
      </c>
      <c r="T35" s="35" t="s">
        <v>1178</v>
      </c>
      <c r="U35" s="35" t="s">
        <v>1098</v>
      </c>
      <c r="V35" s="240" t="str">
        <f t="shared" si="7"/>
        <v>Unfilled fields to left</v>
      </c>
      <c r="X35" s="25"/>
      <c r="Y35" s="19"/>
    </row>
    <row r="36" spans="2:25">
      <c r="B36" s="184" t="s">
        <v>1099</v>
      </c>
      <c r="C36" s="182" t="s">
        <v>1101</v>
      </c>
      <c r="D36" s="177" t="s">
        <v>425</v>
      </c>
      <c r="E36" s="35"/>
      <c r="F36" s="21"/>
      <c r="G36" s="21"/>
      <c r="H36" s="20"/>
      <c r="I36" s="36"/>
      <c r="J36" s="298"/>
      <c r="K36" s="300"/>
      <c r="L36" s="300"/>
      <c r="M36" s="300"/>
      <c r="N36" s="240">
        <f t="shared" si="6"/>
        <v>0</v>
      </c>
      <c r="O36" s="12"/>
      <c r="S36" s="35" t="s">
        <v>1177</v>
      </c>
      <c r="T36" s="35" t="s">
        <v>1178</v>
      </c>
      <c r="U36" s="35" t="s">
        <v>1098</v>
      </c>
      <c r="V36" s="240" t="str">
        <f t="shared" si="7"/>
        <v>Unfilled fields to left</v>
      </c>
      <c r="X36" s="25"/>
      <c r="Y36" s="19"/>
    </row>
    <row r="37" spans="2:25">
      <c r="B37" s="184" t="s">
        <v>1099</v>
      </c>
      <c r="C37" s="182"/>
      <c r="D37" s="177"/>
      <c r="E37" s="35"/>
      <c r="F37" s="21"/>
      <c r="G37" s="21"/>
      <c r="H37" s="20"/>
      <c r="I37" s="36"/>
      <c r="J37" s="298"/>
      <c r="K37" s="300"/>
      <c r="L37" s="300"/>
      <c r="M37" s="300"/>
      <c r="N37" s="240">
        <f t="shared" si="6"/>
        <v>0</v>
      </c>
      <c r="O37" s="12"/>
      <c r="S37" s="35" t="s">
        <v>1177</v>
      </c>
      <c r="T37" s="35" t="s">
        <v>1178</v>
      </c>
      <c r="U37" s="35" t="s">
        <v>1098</v>
      </c>
      <c r="V37" s="240" t="str">
        <f t="shared" si="7"/>
        <v>Unfilled fields to left</v>
      </c>
      <c r="X37" s="25"/>
      <c r="Y37" s="19"/>
    </row>
    <row r="38" spans="2:25">
      <c r="B38" s="184" t="s">
        <v>1102</v>
      </c>
      <c r="C38" s="182" t="s">
        <v>1103</v>
      </c>
      <c r="D38" s="177" t="s">
        <v>425</v>
      </c>
      <c r="E38" s="35"/>
      <c r="F38" s="21"/>
      <c r="G38" s="21"/>
      <c r="H38" s="20"/>
      <c r="I38" s="36"/>
      <c r="J38" s="298"/>
      <c r="K38" s="300"/>
      <c r="L38" s="300"/>
      <c r="M38" s="300"/>
      <c r="N38" s="240">
        <f t="shared" si="6"/>
        <v>0</v>
      </c>
      <c r="O38" s="12"/>
      <c r="S38" s="35" t="s">
        <v>1177</v>
      </c>
      <c r="T38" s="35" t="s">
        <v>1178</v>
      </c>
      <c r="U38" s="35" t="s">
        <v>1098</v>
      </c>
      <c r="V38" s="240" t="str">
        <f t="shared" si="7"/>
        <v>Unfilled fields to left</v>
      </c>
      <c r="X38" s="25"/>
      <c r="Y38" s="19"/>
    </row>
    <row r="39" spans="2:25">
      <c r="B39" s="184" t="s">
        <v>1102</v>
      </c>
      <c r="C39" s="182"/>
      <c r="D39" s="177"/>
      <c r="E39" s="35"/>
      <c r="F39" s="21"/>
      <c r="G39" s="21"/>
      <c r="H39" s="20"/>
      <c r="I39" s="36"/>
      <c r="J39" s="298"/>
      <c r="K39" s="300"/>
      <c r="L39" s="300"/>
      <c r="M39" s="300"/>
      <c r="N39" s="240">
        <f t="shared" si="6"/>
        <v>0</v>
      </c>
      <c r="O39" s="12"/>
      <c r="S39" s="35" t="s">
        <v>1177</v>
      </c>
      <c r="T39" s="35" t="s">
        <v>1178</v>
      </c>
      <c r="U39" s="35" t="s">
        <v>1098</v>
      </c>
      <c r="V39" s="240" t="str">
        <f t="shared" si="7"/>
        <v>Unfilled fields to left</v>
      </c>
      <c r="X39" s="25"/>
      <c r="Y39" s="19"/>
    </row>
    <row r="40" spans="2:25">
      <c r="B40" s="16"/>
      <c r="C40" s="15"/>
      <c r="D40" s="177"/>
      <c r="E40" s="35"/>
      <c r="F40" s="21"/>
      <c r="G40" s="21"/>
      <c r="H40" s="20"/>
      <c r="I40" s="36"/>
      <c r="J40" s="298"/>
      <c r="K40" s="300"/>
      <c r="L40" s="300"/>
      <c r="M40" s="300"/>
      <c r="N40" s="240">
        <f t="shared" si="6"/>
        <v>0</v>
      </c>
      <c r="O40" s="12"/>
      <c r="S40" s="298"/>
      <c r="T40" s="300"/>
      <c r="U40" s="300"/>
      <c r="V40" s="240" t="str">
        <f t="shared" si="7"/>
        <v>Unfilled fields to left</v>
      </c>
      <c r="X40" s="25"/>
      <c r="Y40" s="19"/>
    </row>
    <row r="41" spans="2:25">
      <c r="B41" s="16"/>
      <c r="C41" s="15"/>
      <c r="D41" s="177"/>
      <c r="E41" s="35"/>
      <c r="F41" s="21"/>
      <c r="G41" s="21"/>
      <c r="H41" s="20"/>
      <c r="I41" s="36"/>
      <c r="J41" s="298"/>
      <c r="K41" s="300"/>
      <c r="L41" s="300"/>
      <c r="M41" s="300"/>
      <c r="N41" s="240">
        <f t="shared" si="6"/>
        <v>0</v>
      </c>
      <c r="O41" s="12"/>
      <c r="S41" s="298"/>
      <c r="T41" s="300"/>
      <c r="U41" s="300"/>
      <c r="V41" s="240" t="str">
        <f t="shared" si="7"/>
        <v>Unfilled fields to left</v>
      </c>
      <c r="X41" s="25"/>
      <c r="Y41" s="19"/>
    </row>
    <row r="42" spans="2:25">
      <c r="B42" s="16"/>
      <c r="C42" s="15"/>
      <c r="D42" s="177"/>
      <c r="E42" s="35"/>
      <c r="F42" s="21"/>
      <c r="G42" s="21"/>
      <c r="H42" s="20"/>
      <c r="I42" s="36"/>
      <c r="J42" s="298"/>
      <c r="K42" s="300"/>
      <c r="L42" s="300"/>
      <c r="M42" s="300"/>
      <c r="N42" s="240">
        <f t="shared" si="6"/>
        <v>0</v>
      </c>
      <c r="O42" s="12"/>
      <c r="S42" s="298"/>
      <c r="T42" s="300"/>
      <c r="U42" s="300"/>
      <c r="V42" s="240" t="str">
        <f t="shared" si="7"/>
        <v>Unfilled fields to left</v>
      </c>
      <c r="X42" s="25"/>
      <c r="Y42" s="19"/>
    </row>
    <row r="43" spans="2:25">
      <c r="B43" s="16"/>
      <c r="C43" s="15"/>
      <c r="D43" s="177"/>
      <c r="E43" s="35"/>
      <c r="F43" s="21"/>
      <c r="G43" s="21"/>
      <c r="H43" s="20"/>
      <c r="I43" s="36"/>
      <c r="J43" s="298"/>
      <c r="K43" s="300"/>
      <c r="L43" s="300"/>
      <c r="M43" s="300"/>
      <c r="N43" s="240">
        <f t="shared" si="6"/>
        <v>0</v>
      </c>
      <c r="O43" s="12"/>
      <c r="S43" s="298"/>
      <c r="T43" s="300"/>
      <c r="U43" s="300"/>
      <c r="V43" s="240" t="str">
        <f t="shared" si="7"/>
        <v>Unfilled fields to left</v>
      </c>
      <c r="X43" s="25"/>
      <c r="Y43" s="19"/>
    </row>
    <row r="44" spans="2:25">
      <c r="B44" s="14"/>
      <c r="C44" s="83"/>
      <c r="D44" s="83"/>
      <c r="E44" s="494"/>
      <c r="F44" s="84"/>
      <c r="G44" s="85"/>
      <c r="H44" s="86"/>
      <c r="I44" s="86"/>
      <c r="J44" s="87"/>
      <c r="K44" s="87"/>
      <c r="L44" s="87"/>
      <c r="M44" s="87"/>
      <c r="N44" s="87"/>
      <c r="O44" s="28"/>
      <c r="P44" s="14"/>
      <c r="Q44" s="14"/>
      <c r="R44" s="14"/>
      <c r="S44" s="87"/>
      <c r="T44" s="87"/>
      <c r="U44" s="87"/>
      <c r="V44" s="87"/>
      <c r="X44" s="246"/>
      <c r="Y44" s="19"/>
    </row>
    <row r="45" spans="2:25" s="14" customFormat="1" ht="16.5">
      <c r="B45" s="144" t="s">
        <v>1179</v>
      </c>
      <c r="C45" s="158"/>
      <c r="D45" s="158"/>
      <c r="E45" s="495"/>
      <c r="F45" s="159"/>
      <c r="G45" s="160"/>
      <c r="H45" s="159"/>
      <c r="I45" s="159"/>
      <c r="J45" s="305"/>
      <c r="K45" s="305"/>
      <c r="L45" s="472"/>
      <c r="M45" s="472"/>
      <c r="N45" s="472"/>
      <c r="O45" s="157"/>
      <c r="P45" s="157"/>
      <c r="Q45" s="157"/>
      <c r="R45" s="157"/>
      <c r="S45" s="305"/>
      <c r="T45" s="305"/>
      <c r="U45" s="305"/>
      <c r="V45" s="152">
        <f>SUM(V46:V50)</f>
        <v>0</v>
      </c>
      <c r="X45" s="79"/>
    </row>
    <row r="46" spans="2:25" s="14" customFormat="1">
      <c r="B46" s="16" t="s">
        <v>1105</v>
      </c>
      <c r="C46" s="182" t="s">
        <v>1180</v>
      </c>
      <c r="D46" s="177" t="s">
        <v>425</v>
      </c>
      <c r="E46" s="35"/>
      <c r="F46" s="24"/>
      <c r="G46" s="24"/>
      <c r="H46" s="24"/>
      <c r="I46" s="24"/>
      <c r="J46" s="35"/>
      <c r="K46" s="35"/>
      <c r="L46" s="304"/>
      <c r="M46" s="304"/>
      <c r="N46" s="240">
        <f>IF($D46="MWh/yr (LHV)",$E46,$J46*$E46*(1-$L46)/Conversion_kWh_to_MJ)</f>
        <v>0</v>
      </c>
      <c r="O46" s="12"/>
      <c r="P46" s="12"/>
      <c r="Q46" s="12"/>
      <c r="R46" s="12"/>
      <c r="S46" s="298">
        <v>1000</v>
      </c>
      <c r="T46" s="473"/>
      <c r="U46" s="35" t="s">
        <v>1158</v>
      </c>
      <c r="V46" s="240" t="str">
        <f>IFERROR(IF(D46="tonnes/yr", $S46*$E46/($N$9*3.6), $T46*$E46*3.6/($N$9*3.6)), "Unfilled fields to left")</f>
        <v>Unfilled fields to left</v>
      </c>
      <c r="W46" s="112"/>
      <c r="X46" s="21"/>
    </row>
    <row r="47" spans="2:25" s="14" customFormat="1">
      <c r="B47" s="16" t="s">
        <v>1105</v>
      </c>
      <c r="C47" s="15"/>
      <c r="D47" s="177"/>
      <c r="E47" s="35"/>
      <c r="F47" s="63"/>
      <c r="G47" s="63"/>
      <c r="H47" s="63"/>
      <c r="I47" s="63"/>
      <c r="J47" s="302"/>
      <c r="K47" s="304"/>
      <c r="L47" s="304"/>
      <c r="M47" s="304"/>
      <c r="N47" s="240">
        <f>IF($D47="MWh/yr (LHV)",$E47,$J47*$E47*(1-$L47)/Conversion_kWh_to_MJ)</f>
        <v>0</v>
      </c>
      <c r="O47" s="12"/>
      <c r="P47" s="12"/>
      <c r="Q47" s="12"/>
      <c r="R47" s="12"/>
      <c r="S47" s="300"/>
      <c r="T47" s="473"/>
      <c r="U47" s="300"/>
      <c r="V47" s="240" t="str">
        <f>IFERROR(IF(D47="tonnes/yr", $S47*$E47/($N$9*3.6), $T47*$E47*3.6/($N$9*3.6)), "Unfilled fields to left")</f>
        <v>Unfilled fields to left</v>
      </c>
      <c r="X47" s="21"/>
    </row>
    <row r="48" spans="2:25" s="14" customFormat="1">
      <c r="B48" s="64"/>
      <c r="C48" s="15"/>
      <c r="D48" s="177"/>
      <c r="E48" s="35"/>
      <c r="F48" s="21"/>
      <c r="G48" s="21"/>
      <c r="H48" s="63"/>
      <c r="I48" s="63"/>
      <c r="J48" s="302"/>
      <c r="K48" s="304"/>
      <c r="L48" s="304"/>
      <c r="M48" s="304"/>
      <c r="N48" s="240">
        <f>IF($D48="MWh/yr (LHV)",$E48,$J48*$E48*(1-$L48)/Conversion_kWh_to_MJ)</f>
        <v>0</v>
      </c>
      <c r="O48" s="19"/>
      <c r="P48" s="19"/>
      <c r="Q48" s="19"/>
      <c r="R48" s="19"/>
      <c r="S48" s="306"/>
      <c r="T48" s="473"/>
      <c r="U48" s="300"/>
      <c r="V48" s="240" t="str">
        <f>IFERROR(IF(D48="tonnes/yr", $S48*$E48/($N$9*3.6), $T48*$E48*3.6/($N$9*3.6)), "Unfilled fields to left")</f>
        <v>Unfilled fields to left</v>
      </c>
      <c r="X48" s="65"/>
    </row>
    <row r="49" spans="2:25" s="14" customFormat="1">
      <c r="B49" s="64"/>
      <c r="C49" s="15"/>
      <c r="D49" s="177"/>
      <c r="E49" s="35"/>
      <c r="F49" s="21"/>
      <c r="G49" s="21"/>
      <c r="H49" s="21"/>
      <c r="I49" s="21"/>
      <c r="J49" s="304"/>
      <c r="K49" s="304"/>
      <c r="L49" s="304"/>
      <c r="M49" s="304"/>
      <c r="N49" s="240">
        <f>IF($D49="MWh/yr (LHV)",$E49,$J49*$E49*(1-$L49)/Conversion_kWh_to_MJ)</f>
        <v>0</v>
      </c>
      <c r="O49" s="19"/>
      <c r="P49" s="19"/>
      <c r="Q49" s="19"/>
      <c r="R49" s="19"/>
      <c r="S49" s="306"/>
      <c r="T49" s="473"/>
      <c r="U49" s="300"/>
      <c r="V49" s="240" t="str">
        <f>IFERROR(IF(D49="tonnes/yr", $S49*$E49/($N$9*3.6), $T49*$E49*3.6/($N$9*3.6)), "Unfilled fields to left")</f>
        <v>Unfilled fields to left</v>
      </c>
      <c r="X49" s="65"/>
    </row>
    <row r="50" spans="2:25" s="14" customFormat="1">
      <c r="B50" s="64"/>
      <c r="C50" s="15"/>
      <c r="D50" s="177"/>
      <c r="E50" s="35"/>
      <c r="F50" s="21"/>
      <c r="G50" s="21"/>
      <c r="H50" s="21"/>
      <c r="I50" s="21"/>
      <c r="J50" s="304"/>
      <c r="K50" s="304"/>
      <c r="L50" s="304"/>
      <c r="M50" s="304"/>
      <c r="N50" s="240">
        <f>IF($D50="MWh/yr (LHV)",$E50,$J50*$E50*(1-$L50)/Conversion_kWh_to_MJ)</f>
        <v>0</v>
      </c>
      <c r="O50" s="19"/>
      <c r="P50" s="19"/>
      <c r="Q50" s="19"/>
      <c r="R50" s="19"/>
      <c r="S50" s="306"/>
      <c r="T50" s="473"/>
      <c r="U50" s="300"/>
      <c r="V50" s="240" t="str">
        <f>IFERROR(IF(D50="tonnes/yr", $S50*$E50/($N$9*3.6), $T50*$E50*3.6/($N$9*3.6)), "Unfilled fields to left")</f>
        <v>Unfilled fields to left</v>
      </c>
      <c r="X50" s="65"/>
    </row>
    <row r="51" spans="2:25">
      <c r="B51" s="14"/>
      <c r="C51" s="83"/>
      <c r="D51" s="83"/>
      <c r="E51" s="494"/>
      <c r="F51" s="84"/>
      <c r="G51" s="85"/>
      <c r="H51" s="86"/>
      <c r="I51" s="86"/>
      <c r="J51" s="87"/>
      <c r="K51" s="87"/>
      <c r="L51" s="141"/>
      <c r="M51" s="141"/>
      <c r="N51" s="73"/>
      <c r="O51" s="19"/>
      <c r="P51" s="19"/>
      <c r="Q51" s="19"/>
      <c r="R51" s="19"/>
      <c r="S51" s="87"/>
      <c r="T51" s="87"/>
      <c r="U51" s="87"/>
      <c r="V51" s="87"/>
      <c r="X51" s="246"/>
      <c r="Y51" s="19"/>
    </row>
    <row r="52" spans="2:25" ht="16.5">
      <c r="B52" s="144" t="s">
        <v>1108</v>
      </c>
      <c r="C52" s="250"/>
      <c r="D52" s="250"/>
      <c r="E52" s="506"/>
      <c r="F52" s="249"/>
      <c r="G52" s="249"/>
      <c r="H52" s="248"/>
      <c r="I52" s="247"/>
      <c r="J52" s="483"/>
      <c r="K52" s="484"/>
      <c r="L52" s="472"/>
      <c r="M52" s="472"/>
      <c r="N52" s="472"/>
      <c r="O52" s="157"/>
      <c r="P52" s="157"/>
      <c r="Q52" s="157"/>
      <c r="R52" s="157"/>
      <c r="S52" s="483"/>
      <c r="T52" s="484"/>
      <c r="U52" s="484"/>
      <c r="V52" s="152">
        <f>SUM(V53:V58)</f>
        <v>0</v>
      </c>
      <c r="X52" s="251"/>
      <c r="Y52" s="19"/>
    </row>
    <row r="53" spans="2:25" s="14" customFormat="1">
      <c r="B53" s="184" t="s">
        <v>1069</v>
      </c>
      <c r="C53" s="182" t="s">
        <v>1109</v>
      </c>
      <c r="D53" s="177" t="s">
        <v>447</v>
      </c>
      <c r="E53" s="35"/>
      <c r="F53" s="24"/>
      <c r="G53" s="24"/>
      <c r="H53" s="24"/>
      <c r="I53" s="316"/>
      <c r="J53" s="298"/>
      <c r="K53" s="298"/>
      <c r="L53" s="304"/>
      <c r="M53" s="304"/>
      <c r="N53" s="240">
        <f t="shared" ref="N53:N58" si="8">IF($D53="MWh/yr (LHV)",$E53,$J53*$E53*(1-$L53)/Conversion_kWh_to_MJ)</f>
        <v>0</v>
      </c>
      <c r="O53" s="19"/>
      <c r="P53" s="19"/>
      <c r="Q53" s="19"/>
      <c r="R53" s="19"/>
      <c r="S53" s="298" t="str">
        <f>IF(B53="", "", IF(D53="MWh/yr (LHV)", "Use column to right", "Enter data here"))</f>
        <v>Use column to right</v>
      </c>
      <c r="T53" s="298" t="e">
        <f>Initial_questions!$E$43*1/Conversion_kWh_to_MJ</f>
        <v>#VALUE!</v>
      </c>
      <c r="U53" s="35" t="s">
        <v>1110</v>
      </c>
      <c r="V53" s="240" t="str">
        <f t="shared" ref="V53:V58" si="9">IFERROR(IF(D53="tonnes/yr", $S53*$E53/($N$9*3.6), $T53*$E53*3.6/($N$9*3.6)), "Unfilled fields to left")</f>
        <v>Unfilled fields to left</v>
      </c>
      <c r="X53" s="21"/>
    </row>
    <row r="54" spans="2:25" s="14" customFormat="1">
      <c r="B54" s="184" t="s">
        <v>1069</v>
      </c>
      <c r="C54" s="182" t="s">
        <v>1111</v>
      </c>
      <c r="D54" s="177" t="s">
        <v>447</v>
      </c>
      <c r="E54" s="35"/>
      <c r="F54" s="24"/>
      <c r="G54" s="24"/>
      <c r="H54" s="24"/>
      <c r="I54" s="24"/>
      <c r="J54" s="298"/>
      <c r="K54" s="298"/>
      <c r="L54" s="304"/>
      <c r="M54" s="304"/>
      <c r="N54" s="240">
        <f t="shared" si="8"/>
        <v>0</v>
      </c>
      <c r="O54" s="19"/>
      <c r="P54" s="19"/>
      <c r="Q54" s="19"/>
      <c r="R54" s="19"/>
      <c r="S54" s="298" t="str">
        <f>IF(B54="", "", IF(D54="MWh/yr (LHV)", "Use column to right", "Enter data here"))</f>
        <v>Use column to right</v>
      </c>
      <c r="T54" s="298" t="e">
        <f>INDEX(Proj_grid_intensity_kWh,MATCH(Operations_year,Proj_grid_year,0))/Conversion_kWh_to_MJ</f>
        <v>#N/A</v>
      </c>
      <c r="U54" s="35" t="s">
        <v>1112</v>
      </c>
      <c r="V54" s="240" t="str">
        <f t="shared" si="9"/>
        <v>Unfilled fields to left</v>
      </c>
      <c r="X54" s="65"/>
    </row>
    <row r="55" spans="2:25" s="14" customFormat="1">
      <c r="B55" s="184" t="s">
        <v>1069</v>
      </c>
      <c r="C55" s="182" t="s">
        <v>1113</v>
      </c>
      <c r="D55" s="177" t="s">
        <v>425</v>
      </c>
      <c r="E55" s="35"/>
      <c r="F55" s="24"/>
      <c r="G55" s="24"/>
      <c r="H55" s="24"/>
      <c r="I55" s="24"/>
      <c r="J55" s="298"/>
      <c r="K55" s="298"/>
      <c r="L55" s="304"/>
      <c r="M55" s="304"/>
      <c r="N55" s="240">
        <f t="shared" si="8"/>
        <v>0</v>
      </c>
      <c r="O55" s="19"/>
      <c r="P55" s="19"/>
      <c r="Q55" s="19"/>
      <c r="R55" s="19"/>
      <c r="S55" s="298" t="str">
        <f>IF(B55="", "", IF(D55="MWh/yr (LHV)", "Use column to right", "Enter data here"))</f>
        <v>Enter data here</v>
      </c>
      <c r="T55" s="298" t="str">
        <f>IF(B55="", "", IF(D55="MWh/yr (LHV)", "Enter data here", "Use column to left"))</f>
        <v>Use column to left</v>
      </c>
      <c r="U55" s="35" t="s">
        <v>1114</v>
      </c>
      <c r="V55" s="240" t="str">
        <f t="shared" si="9"/>
        <v>Unfilled fields to left</v>
      </c>
      <c r="X55" s="65"/>
    </row>
    <row r="56" spans="2:25">
      <c r="B56" s="184" t="s">
        <v>1069</v>
      </c>
      <c r="C56" s="182" t="s">
        <v>1115</v>
      </c>
      <c r="D56" s="177" t="s">
        <v>425</v>
      </c>
      <c r="E56" s="35"/>
      <c r="F56" s="21"/>
      <c r="G56" s="21"/>
      <c r="H56" s="21"/>
      <c r="I56" s="21"/>
      <c r="J56" s="304"/>
      <c r="K56" s="304"/>
      <c r="L56" s="304"/>
      <c r="M56" s="304"/>
      <c r="N56" s="240">
        <f t="shared" si="8"/>
        <v>0</v>
      </c>
      <c r="O56" s="12"/>
      <c r="S56" s="298" t="str">
        <f>IF(B56="", "", IF(D56="MWh/yr (LHV)", "Use column to right", "Enter data here"))</f>
        <v>Enter data here</v>
      </c>
      <c r="T56" s="298" t="str">
        <f>IF(B56="", "", IF(D56="MWh/yr (LHV)", "Enter data here", "Use column to left"))</f>
        <v>Use column to left</v>
      </c>
      <c r="U56" s="35" t="s">
        <v>1114</v>
      </c>
      <c r="V56" s="240" t="str">
        <f t="shared" si="9"/>
        <v>Unfilled fields to left</v>
      </c>
      <c r="X56" s="21"/>
      <c r="Y56" s="19"/>
    </row>
    <row r="57" spans="2:25">
      <c r="B57" s="184" t="s">
        <v>1069</v>
      </c>
      <c r="C57" s="182" t="s">
        <v>1116</v>
      </c>
      <c r="D57" s="177" t="s">
        <v>447</v>
      </c>
      <c r="E57" s="35"/>
      <c r="F57" s="21"/>
      <c r="G57" s="21"/>
      <c r="H57" s="21"/>
      <c r="I57" s="21"/>
      <c r="J57" s="304"/>
      <c r="K57" s="304"/>
      <c r="L57" s="304"/>
      <c r="M57" s="304"/>
      <c r="N57" s="240">
        <f t="shared" si="8"/>
        <v>0</v>
      </c>
      <c r="O57" s="12"/>
      <c r="S57" s="298" t="str">
        <f>IF(B57="", "", IF(D57="MWh/yr (LHV)", "Use column to right", "Enter data here"))</f>
        <v>Use column to right</v>
      </c>
      <c r="T57" s="298" t="e">
        <f>INDEX(Proj_grid_intensity_kWh,MATCH(Operations_year,Proj_grid_year,0))/Conversion_kWh_to_MJ</f>
        <v>#N/A</v>
      </c>
      <c r="U57" s="35" t="s">
        <v>1112</v>
      </c>
      <c r="V57" s="240" t="str">
        <f t="shared" si="9"/>
        <v>Unfilled fields to left</v>
      </c>
      <c r="X57" s="21"/>
      <c r="Y57" s="19"/>
    </row>
    <row r="58" spans="2:25">
      <c r="B58" s="16"/>
      <c r="C58" s="15"/>
      <c r="D58" s="177"/>
      <c r="E58" s="35"/>
      <c r="F58" s="21"/>
      <c r="G58" s="21"/>
      <c r="H58" s="21"/>
      <c r="I58" s="21"/>
      <c r="J58" s="304"/>
      <c r="K58" s="304"/>
      <c r="L58" s="304"/>
      <c r="M58" s="304"/>
      <c r="N58" s="240">
        <f t="shared" si="8"/>
        <v>0</v>
      </c>
      <c r="O58" s="12"/>
      <c r="S58" s="300"/>
      <c r="T58" s="300"/>
      <c r="U58" s="300"/>
      <c r="V58" s="240" t="str">
        <f t="shared" si="9"/>
        <v>Unfilled fields to left</v>
      </c>
      <c r="X58" s="21"/>
      <c r="Y58" s="19"/>
    </row>
    <row r="59" spans="2:25" s="14" customFormat="1">
      <c r="B59" s="78"/>
      <c r="C59" s="260"/>
      <c r="D59" s="260"/>
      <c r="E59" s="492"/>
      <c r="F59" s="79"/>
      <c r="G59" s="79"/>
      <c r="H59" s="258"/>
      <c r="I59" s="258"/>
      <c r="J59" s="252"/>
      <c r="K59" s="252"/>
      <c r="L59" s="73"/>
      <c r="M59" s="73"/>
      <c r="N59" s="73"/>
      <c r="O59" s="12"/>
      <c r="P59" s="12"/>
      <c r="Q59" s="12"/>
      <c r="R59" s="12"/>
      <c r="S59" s="252"/>
      <c r="T59" s="252"/>
      <c r="U59" s="252"/>
      <c r="V59" s="252"/>
      <c r="X59" s="79"/>
    </row>
    <row r="60" spans="2:25" s="14" customFormat="1" ht="16.5">
      <c r="B60" s="144" t="s">
        <v>1117</v>
      </c>
      <c r="C60" s="158"/>
      <c r="D60" s="158"/>
      <c r="E60" s="495"/>
      <c r="F60" s="159"/>
      <c r="G60" s="160"/>
      <c r="H60" s="159"/>
      <c r="I60" s="159"/>
      <c r="J60" s="305"/>
      <c r="K60" s="305"/>
      <c r="L60" s="472"/>
      <c r="M60" s="472"/>
      <c r="N60" s="472"/>
      <c r="O60" s="157"/>
      <c r="P60" s="157"/>
      <c r="Q60" s="157"/>
      <c r="R60" s="157"/>
      <c r="S60" s="305"/>
      <c r="T60" s="305"/>
      <c r="U60" s="305"/>
      <c r="V60" s="152">
        <f>SUM(V61:V65)</f>
        <v>0</v>
      </c>
      <c r="X60" s="79"/>
    </row>
    <row r="61" spans="2:25" s="14" customFormat="1">
      <c r="B61" s="16" t="s">
        <v>1118</v>
      </c>
      <c r="C61" s="182" t="s">
        <v>1181</v>
      </c>
      <c r="D61" s="177" t="s">
        <v>425</v>
      </c>
      <c r="E61" s="35">
        <f>E46*$E$80</f>
        <v>0</v>
      </c>
      <c r="F61" s="316"/>
      <c r="G61" s="316"/>
      <c r="H61" s="316"/>
      <c r="I61" s="316"/>
      <c r="J61" s="491"/>
      <c r="K61" s="35"/>
      <c r="L61" s="304"/>
      <c r="M61" s="304"/>
      <c r="N61" s="240">
        <f>IF($D61="MWh/yr (LHV)",$E61,$J61*$E61*(1-$L61)/Conversion_kWh_to_MJ)</f>
        <v>0</v>
      </c>
      <c r="O61" s="12"/>
      <c r="P61" s="12"/>
      <c r="Q61" s="12"/>
      <c r="R61" s="12"/>
      <c r="S61" s="298">
        <v>-1000</v>
      </c>
      <c r="T61" s="473"/>
      <c r="U61" s="35" t="s">
        <v>1182</v>
      </c>
      <c r="V61" s="240" t="str">
        <f>IFERROR(IF(D61="tonnes/yr", $S61*$E61/($N$9*3.6), $T61*$E61*3.6/($N$9*3.6)), "Unfilled fields to left")</f>
        <v>Unfilled fields to left</v>
      </c>
      <c r="X61" s="21"/>
    </row>
    <row r="62" spans="2:25" s="14" customFormat="1">
      <c r="B62" s="16"/>
      <c r="C62" s="15"/>
      <c r="D62" s="177"/>
      <c r="E62" s="35"/>
      <c r="F62" s="63"/>
      <c r="G62" s="63"/>
      <c r="H62" s="63"/>
      <c r="I62" s="63"/>
      <c r="J62" s="302"/>
      <c r="K62" s="304"/>
      <c r="L62" s="304"/>
      <c r="M62" s="304"/>
      <c r="N62" s="240">
        <f>IF($D62="MWh/yr (LHV)",$E62,$J62*$E62*(1-$L62)/Conversion_kWh_to_MJ)</f>
        <v>0</v>
      </c>
      <c r="O62" s="19"/>
      <c r="P62" s="19"/>
      <c r="Q62" s="19"/>
      <c r="R62" s="19"/>
      <c r="S62" s="300"/>
      <c r="T62" s="473"/>
      <c r="U62" s="300"/>
      <c r="V62" s="240" t="str">
        <f>IFERROR(IF(D62="tonnes/yr", $S62*$E62/($N$9*3.6), $T62*$E62*3.6/($N$9*3.6)), "Unfilled fields to left")</f>
        <v>Unfilled fields to left</v>
      </c>
      <c r="X62" s="21"/>
    </row>
    <row r="63" spans="2:25" s="14" customFormat="1">
      <c r="B63" s="64"/>
      <c r="C63" s="15"/>
      <c r="D63" s="177"/>
      <c r="E63" s="35"/>
      <c r="F63" s="21"/>
      <c r="G63" s="21"/>
      <c r="H63" s="63"/>
      <c r="I63" s="63"/>
      <c r="J63" s="302"/>
      <c r="K63" s="304"/>
      <c r="L63" s="304"/>
      <c r="M63" s="304"/>
      <c r="N63" s="240">
        <f>IF($D63="MWh/yr (LHV)",$E63,$J63*$E63*(1-$L63)/Conversion_kWh_to_MJ)</f>
        <v>0</v>
      </c>
      <c r="O63" s="19"/>
      <c r="P63" s="19"/>
      <c r="Q63" s="19"/>
      <c r="R63" s="19"/>
      <c r="S63" s="306"/>
      <c r="T63" s="473"/>
      <c r="U63" s="300"/>
      <c r="V63" s="240" t="str">
        <f>IFERROR(IF(D63="tonnes/yr", $S63*$E63/($N$9*3.6), $T63*$E63*3.6/($N$9*3.6)), "Unfilled fields to left")</f>
        <v>Unfilled fields to left</v>
      </c>
      <c r="X63" s="65"/>
    </row>
    <row r="64" spans="2:25" s="14" customFormat="1">
      <c r="B64" s="64"/>
      <c r="C64" s="15"/>
      <c r="D64" s="177"/>
      <c r="E64" s="35"/>
      <c r="F64" s="21"/>
      <c r="G64" s="21"/>
      <c r="H64" s="21"/>
      <c r="I64" s="21"/>
      <c r="J64" s="304"/>
      <c r="K64" s="304"/>
      <c r="L64" s="304"/>
      <c r="M64" s="304"/>
      <c r="N64" s="240">
        <f>IF($D64="MWh/yr (LHV)",$E64,$J64*$E64*(1-$L64)/Conversion_kWh_to_MJ)</f>
        <v>0</v>
      </c>
      <c r="O64" s="19"/>
      <c r="P64" s="19"/>
      <c r="Q64" s="19"/>
      <c r="R64" s="19"/>
      <c r="S64" s="306"/>
      <c r="T64" s="473"/>
      <c r="U64" s="300"/>
      <c r="V64" s="240" t="str">
        <f>IFERROR(IF(D64="tonnes/yr", $S64*$E64/($N$9*3.6), $T64*$E64*3.6/($N$9*3.6)), "Unfilled fields to left")</f>
        <v>Unfilled fields to left</v>
      </c>
      <c r="X64" s="65"/>
    </row>
    <row r="65" spans="2:25" s="14" customFormat="1">
      <c r="B65" s="64"/>
      <c r="C65" s="15"/>
      <c r="D65" s="177"/>
      <c r="E65" s="35"/>
      <c r="F65" s="21"/>
      <c r="G65" s="21"/>
      <c r="H65" s="21"/>
      <c r="I65" s="21"/>
      <c r="J65" s="304"/>
      <c r="K65" s="304"/>
      <c r="L65" s="304"/>
      <c r="M65" s="304"/>
      <c r="N65" s="240">
        <f>IF($D65="MWh/yr (LHV)",$E65,$J65*$E65*(1-$L65)/Conversion_kWh_to_MJ)</f>
        <v>0</v>
      </c>
      <c r="O65" s="19"/>
      <c r="P65" s="19"/>
      <c r="Q65" s="19"/>
      <c r="R65" s="19"/>
      <c r="S65" s="306"/>
      <c r="T65" s="473"/>
      <c r="U65" s="300"/>
      <c r="V65" s="240" t="str">
        <f>IFERROR(IF(D65="tonnes/yr", $S65*$E65/($N$9*3.6), $T65*$E65*3.6/($N$9*3.6)), "Unfilled fields to left")</f>
        <v>Unfilled fields to left</v>
      </c>
      <c r="X65" s="65"/>
    </row>
    <row r="66" spans="2:25" s="14" customFormat="1">
      <c r="B66" s="78"/>
      <c r="C66" s="260"/>
      <c r="D66" s="260"/>
      <c r="E66" s="492"/>
      <c r="F66" s="79"/>
      <c r="G66" s="79"/>
      <c r="H66" s="258"/>
      <c r="I66" s="258"/>
      <c r="J66" s="252"/>
      <c r="K66" s="252"/>
      <c r="L66" s="73"/>
      <c r="M66" s="73"/>
      <c r="N66" s="73"/>
      <c r="O66" s="12"/>
      <c r="P66" s="12"/>
      <c r="Q66" s="12"/>
      <c r="R66" s="12"/>
      <c r="S66" s="252"/>
      <c r="T66" s="252"/>
      <c r="U66" s="252"/>
      <c r="V66" s="252"/>
      <c r="X66" s="79"/>
    </row>
    <row r="67" spans="2:25" s="14" customFormat="1" ht="16.5">
      <c r="B67" s="144" t="s">
        <v>132</v>
      </c>
      <c r="C67" s="158"/>
      <c r="D67" s="158"/>
      <c r="E67" s="495"/>
      <c r="F67" s="159"/>
      <c r="G67" s="160"/>
      <c r="H67" s="159"/>
      <c r="I67" s="159"/>
      <c r="J67" s="305"/>
      <c r="K67" s="305"/>
      <c r="L67" s="472"/>
      <c r="M67" s="472"/>
      <c r="N67" s="472"/>
      <c r="O67" s="157"/>
      <c r="P67" s="157"/>
      <c r="Q67" s="157"/>
      <c r="R67" s="157"/>
      <c r="S67" s="305"/>
      <c r="T67" s="305"/>
      <c r="U67" s="305"/>
      <c r="V67" s="152">
        <f>SUM(V68:V75)</f>
        <v>0</v>
      </c>
      <c r="X67" s="79"/>
    </row>
    <row r="68" spans="2:25" s="14" customFormat="1">
      <c r="B68" s="184" t="s">
        <v>1120</v>
      </c>
      <c r="C68" s="182" t="s">
        <v>1121</v>
      </c>
      <c r="D68" s="177" t="s">
        <v>425</v>
      </c>
      <c r="E68" s="35"/>
      <c r="F68" s="24"/>
      <c r="G68" s="21"/>
      <c r="H68" s="24"/>
      <c r="I68" s="24"/>
      <c r="J68" s="491"/>
      <c r="K68" s="35"/>
      <c r="L68" s="304"/>
      <c r="M68" s="304"/>
      <c r="N68" s="240">
        <f t="shared" ref="N68:N75" si="10">IF($D68="MWh/yr (LHV)",$E68,$J68*$E68*(1-$L68)/Conversion_kWh_to_MJ)</f>
        <v>0</v>
      </c>
      <c r="O68" s="12"/>
      <c r="P68" s="12"/>
      <c r="Q68" s="12"/>
      <c r="R68" s="12"/>
      <c r="S68" s="298">
        <f t="shared" ref="S68" si="11">28*1000</f>
        <v>28000</v>
      </c>
      <c r="T68" s="473"/>
      <c r="U68" s="35" t="s">
        <v>1107</v>
      </c>
      <c r="V68" s="240" t="str">
        <f t="shared" ref="V68:V75" si="12">IFERROR(IF(D68="tonnes/yr", $S68*$E68/($N$9*3.6), $T68*$E68*3.6/($N$9*3.6)), "Unfilled fields to left")</f>
        <v>Unfilled fields to left</v>
      </c>
      <c r="X68" s="21"/>
    </row>
    <row r="69" spans="2:25" s="14" customFormat="1">
      <c r="B69" s="185" t="s">
        <v>1122</v>
      </c>
      <c r="C69" s="182" t="s">
        <v>1123</v>
      </c>
      <c r="D69" s="177" t="s">
        <v>425</v>
      </c>
      <c r="E69" s="35"/>
      <c r="F69" s="24"/>
      <c r="G69" s="65"/>
      <c r="H69" s="24"/>
      <c r="I69" s="24"/>
      <c r="J69" s="491"/>
      <c r="K69" s="35"/>
      <c r="L69" s="306"/>
      <c r="M69" s="306"/>
      <c r="N69" s="240">
        <f t="shared" si="10"/>
        <v>0</v>
      </c>
      <c r="O69" s="19"/>
      <c r="P69" s="19"/>
      <c r="Q69" s="19"/>
      <c r="R69" s="19"/>
      <c r="S69" s="298">
        <v>265000</v>
      </c>
      <c r="T69" s="473"/>
      <c r="U69" s="35" t="s">
        <v>1107</v>
      </c>
      <c r="V69" s="240" t="str">
        <f t="shared" si="12"/>
        <v>Unfilled fields to left</v>
      </c>
      <c r="X69" s="65"/>
    </row>
    <row r="70" spans="2:25" s="14" customFormat="1">
      <c r="B70" s="185" t="s">
        <v>1124</v>
      </c>
      <c r="C70" s="182" t="s">
        <v>1125</v>
      </c>
      <c r="D70" s="177" t="s">
        <v>425</v>
      </c>
      <c r="E70" s="35"/>
      <c r="F70" s="24"/>
      <c r="G70" s="65"/>
      <c r="H70" s="24"/>
      <c r="I70" s="24"/>
      <c r="J70" s="491"/>
      <c r="K70" s="35"/>
      <c r="L70" s="306"/>
      <c r="M70" s="306"/>
      <c r="N70" s="240">
        <f t="shared" si="10"/>
        <v>0</v>
      </c>
      <c r="O70" s="19"/>
      <c r="P70" s="19"/>
      <c r="Q70" s="19"/>
      <c r="R70" s="19"/>
      <c r="S70" s="298">
        <v>23500000</v>
      </c>
      <c r="T70" s="473"/>
      <c r="U70" s="35" t="s">
        <v>1107</v>
      </c>
      <c r="V70" s="240" t="str">
        <f t="shared" si="12"/>
        <v>Unfilled fields to left</v>
      </c>
      <c r="X70" s="65"/>
    </row>
    <row r="71" spans="2:25" s="14" customFormat="1">
      <c r="B71" s="185" t="s">
        <v>1126</v>
      </c>
      <c r="C71" s="182" t="s">
        <v>1127</v>
      </c>
      <c r="D71" s="177" t="s">
        <v>425</v>
      </c>
      <c r="E71" s="35"/>
      <c r="F71" s="24"/>
      <c r="G71" s="65"/>
      <c r="H71" s="24"/>
      <c r="I71" s="24"/>
      <c r="J71" s="491"/>
      <c r="K71" s="35"/>
      <c r="L71" s="306"/>
      <c r="M71" s="306"/>
      <c r="N71" s="240">
        <f t="shared" si="10"/>
        <v>0</v>
      </c>
      <c r="O71" s="19"/>
      <c r="P71" s="19"/>
      <c r="Q71" s="19"/>
      <c r="R71" s="19"/>
      <c r="S71" s="480" t="s">
        <v>1128</v>
      </c>
      <c r="T71" s="473"/>
      <c r="U71" s="35"/>
      <c r="V71" s="240" t="str">
        <f t="shared" si="12"/>
        <v>Unfilled fields to left</v>
      </c>
      <c r="X71" s="65"/>
    </row>
    <row r="72" spans="2:25" s="14" customFormat="1">
      <c r="B72" s="185" t="s">
        <v>1126</v>
      </c>
      <c r="C72" s="182" t="s">
        <v>1127</v>
      </c>
      <c r="D72" s="177" t="s">
        <v>425</v>
      </c>
      <c r="E72" s="35"/>
      <c r="F72" s="24"/>
      <c r="G72" s="65"/>
      <c r="H72" s="24"/>
      <c r="I72" s="24"/>
      <c r="J72" s="491"/>
      <c r="K72" s="35"/>
      <c r="L72" s="306"/>
      <c r="M72" s="306"/>
      <c r="N72" s="240">
        <f t="shared" si="10"/>
        <v>0</v>
      </c>
      <c r="O72" s="19"/>
      <c r="P72" s="19"/>
      <c r="Q72" s="19"/>
      <c r="R72" s="19"/>
      <c r="S72" s="480" t="s">
        <v>1128</v>
      </c>
      <c r="T72" s="473"/>
      <c r="U72" s="35"/>
      <c r="V72" s="240" t="str">
        <f t="shared" si="12"/>
        <v>Unfilled fields to left</v>
      </c>
      <c r="X72" s="65"/>
    </row>
    <row r="73" spans="2:25" s="14" customFormat="1">
      <c r="B73" s="185" t="s">
        <v>1126</v>
      </c>
      <c r="C73" s="182" t="s">
        <v>1127</v>
      </c>
      <c r="D73" s="177" t="s">
        <v>425</v>
      </c>
      <c r="E73" s="35"/>
      <c r="F73" s="24"/>
      <c r="G73" s="65"/>
      <c r="H73" s="24"/>
      <c r="I73" s="24"/>
      <c r="J73" s="491"/>
      <c r="K73" s="35"/>
      <c r="L73" s="306"/>
      <c r="M73" s="306"/>
      <c r="N73" s="240">
        <f t="shared" si="10"/>
        <v>0</v>
      </c>
      <c r="O73" s="19"/>
      <c r="P73" s="19"/>
      <c r="Q73" s="19"/>
      <c r="R73" s="19"/>
      <c r="S73" s="480" t="s">
        <v>1128</v>
      </c>
      <c r="T73" s="473"/>
      <c r="U73" s="35"/>
      <c r="V73" s="240" t="str">
        <f t="shared" si="12"/>
        <v>Unfilled fields to left</v>
      </c>
      <c r="X73" s="65"/>
    </row>
    <row r="74" spans="2:25" s="14" customFormat="1">
      <c r="B74" s="64"/>
      <c r="C74" s="15"/>
      <c r="D74" s="178"/>
      <c r="E74" s="496"/>
      <c r="F74" s="65"/>
      <c r="G74" s="65"/>
      <c r="H74" s="66"/>
      <c r="I74" s="66"/>
      <c r="J74" s="302"/>
      <c r="K74" s="306"/>
      <c r="L74" s="306"/>
      <c r="M74" s="306"/>
      <c r="N74" s="240">
        <f t="shared" si="10"/>
        <v>0</v>
      </c>
      <c r="O74" s="19"/>
      <c r="P74" s="19"/>
      <c r="Q74" s="19"/>
      <c r="R74" s="19"/>
      <c r="S74" s="300"/>
      <c r="T74" s="473"/>
      <c r="U74" s="306"/>
      <c r="V74" s="240" t="str">
        <f t="shared" si="12"/>
        <v>Unfilled fields to left</v>
      </c>
      <c r="X74" s="65"/>
    </row>
    <row r="75" spans="2:25" s="14" customFormat="1">
      <c r="B75" s="64"/>
      <c r="C75" s="15"/>
      <c r="D75" s="178"/>
      <c r="E75" s="496"/>
      <c r="F75" s="65"/>
      <c r="G75" s="65"/>
      <c r="H75" s="66"/>
      <c r="I75" s="66"/>
      <c r="J75" s="304"/>
      <c r="K75" s="306"/>
      <c r="L75" s="306"/>
      <c r="M75" s="306"/>
      <c r="N75" s="240">
        <f t="shared" si="10"/>
        <v>0</v>
      </c>
      <c r="O75" s="19"/>
      <c r="P75" s="19"/>
      <c r="Q75" s="19"/>
      <c r="R75" s="19"/>
      <c r="S75" s="300"/>
      <c r="T75" s="473"/>
      <c r="U75" s="306"/>
      <c r="V75" s="240" t="str">
        <f t="shared" si="12"/>
        <v>Unfilled fields to left</v>
      </c>
      <c r="X75" s="65"/>
    </row>
    <row r="76" spans="2:25">
      <c r="C76" s="17"/>
      <c r="D76" s="17"/>
      <c r="E76" s="139"/>
      <c r="F76" s="17"/>
      <c r="H76" s="18"/>
      <c r="I76" s="18"/>
      <c r="J76" s="40"/>
      <c r="K76" s="40"/>
      <c r="L76" s="40"/>
      <c r="M76" s="40"/>
      <c r="N76" s="40"/>
      <c r="O76" s="12"/>
      <c r="S76" s="40"/>
      <c r="T76" s="40"/>
      <c r="U76" s="40"/>
      <c r="V76" s="40"/>
      <c r="Y76" s="19"/>
    </row>
    <row r="77" spans="2:25">
      <c r="E77" s="113"/>
      <c r="I77" s="19"/>
      <c r="J77" s="113"/>
      <c r="K77" s="113"/>
      <c r="L77" s="107"/>
      <c r="M77" s="107"/>
      <c r="N77" s="107"/>
      <c r="O77" s="12"/>
      <c r="S77" s="125"/>
      <c r="T77" s="125"/>
      <c r="U77" s="38" t="s">
        <v>1162</v>
      </c>
      <c r="V77" s="152">
        <f>IF(OR(COUNTIF(Initial_questions!$E$112,"Default"), COUNTIF(Initial_questions!$E$114:$E$115,"Default")),"Default data selected",SUM(V20,V33,V45,V52,V60,V67))</f>
        <v>0</v>
      </c>
      <c r="Y77" s="19"/>
    </row>
    <row r="78" spans="2:25">
      <c r="B78" s="144" t="s">
        <v>133</v>
      </c>
      <c r="C78" s="158"/>
      <c r="D78" s="158"/>
      <c r="E78" s="495"/>
      <c r="I78" s="19"/>
      <c r="J78" s="113"/>
      <c r="K78" s="113"/>
      <c r="L78" s="107"/>
      <c r="M78" s="107"/>
      <c r="N78" s="107"/>
      <c r="O78" s="12"/>
      <c r="S78" s="113"/>
      <c r="T78" s="113"/>
      <c r="U78" s="113"/>
      <c r="V78" s="19"/>
      <c r="Y78" s="19"/>
    </row>
    <row r="79" spans="2:25">
      <c r="B79" s="16" t="s">
        <v>1134</v>
      </c>
      <c r="C79" s="15" t="s">
        <v>1183</v>
      </c>
      <c r="D79" s="15" t="s">
        <v>1136</v>
      </c>
      <c r="E79" s="497"/>
      <c r="H79" s="19"/>
      <c r="I79" s="19"/>
      <c r="J79" s="113"/>
      <c r="K79" s="113"/>
      <c r="L79" s="107"/>
      <c r="M79" s="107"/>
      <c r="N79" s="107"/>
      <c r="O79" s="12"/>
      <c r="S79" s="113"/>
      <c r="T79" s="113"/>
      <c r="U79" s="113"/>
      <c r="V79" s="19"/>
      <c r="X79" s="25"/>
      <c r="Y79" s="19"/>
    </row>
    <row r="80" spans="2:25">
      <c r="B80" s="16" t="s">
        <v>1139</v>
      </c>
      <c r="C80" s="15" t="s">
        <v>1184</v>
      </c>
      <c r="D80" s="15" t="s">
        <v>897</v>
      </c>
      <c r="E80" s="507">
        <f>Initial_questions!$E$93</f>
        <v>0</v>
      </c>
      <c r="I80" s="19"/>
      <c r="J80" s="113"/>
      <c r="K80" s="113"/>
      <c r="L80" s="107"/>
      <c r="M80" s="107"/>
      <c r="N80" s="107"/>
      <c r="O80" s="12"/>
      <c r="S80" s="113"/>
      <c r="T80" s="113"/>
      <c r="U80" s="113"/>
      <c r="V80" s="19"/>
      <c r="X80" s="25"/>
      <c r="Y80" s="19"/>
    </row>
    <row r="81" spans="2:25">
      <c r="B81" s="16"/>
      <c r="C81" s="15"/>
      <c r="D81" s="15"/>
      <c r="E81" s="507"/>
      <c r="H81" s="19"/>
      <c r="I81" s="19"/>
      <c r="J81" s="113"/>
      <c r="K81" s="113"/>
      <c r="L81" s="107"/>
      <c r="M81" s="107"/>
      <c r="N81" s="107"/>
      <c r="O81" s="12"/>
      <c r="S81" s="113"/>
      <c r="T81" s="113"/>
      <c r="U81" s="113"/>
      <c r="V81" s="19"/>
      <c r="X81" s="25"/>
      <c r="Y81" s="19"/>
    </row>
    <row r="82" spans="2:25">
      <c r="B82" s="16"/>
      <c r="C82" s="15"/>
      <c r="D82" s="15"/>
      <c r="E82" s="497"/>
      <c r="H82" s="19"/>
      <c r="I82" s="19"/>
      <c r="J82" s="113"/>
      <c r="K82" s="113"/>
      <c r="L82" s="107"/>
      <c r="M82" s="107"/>
      <c r="N82" s="107"/>
      <c r="O82" s="12"/>
      <c r="S82" s="125"/>
      <c r="T82" s="125"/>
      <c r="U82" s="125"/>
      <c r="X82" s="25"/>
    </row>
    <row r="83" spans="2:25">
      <c r="E83" s="113"/>
      <c r="H83" s="19"/>
      <c r="I83" s="19"/>
      <c r="J83" s="113"/>
      <c r="K83" s="113"/>
      <c r="L83" s="107"/>
      <c r="M83" s="107"/>
      <c r="N83" s="107"/>
      <c r="O83" s="12"/>
      <c r="S83" s="125"/>
      <c r="T83" s="125"/>
      <c r="U83" s="125"/>
    </row>
    <row r="84" spans="2:25">
      <c r="E84" s="113"/>
      <c r="J84" s="125"/>
      <c r="K84" s="125"/>
      <c r="L84" s="39"/>
      <c r="M84" s="39"/>
      <c r="S84" s="125"/>
      <c r="T84" s="125"/>
      <c r="U84" s="125"/>
    </row>
    <row r="85" spans="2:25">
      <c r="E85" s="113"/>
      <c r="J85" s="125"/>
      <c r="K85" s="125"/>
      <c r="L85" s="39"/>
      <c r="M85" s="39"/>
      <c r="S85" s="125"/>
      <c r="T85" s="125"/>
      <c r="U85" s="125"/>
    </row>
    <row r="86" spans="2:25">
      <c r="E86" s="113"/>
      <c r="J86" s="125"/>
      <c r="K86" s="125"/>
      <c r="L86" s="39"/>
      <c r="M86" s="39"/>
      <c r="S86" s="125"/>
      <c r="T86" s="125"/>
      <c r="U86" s="125"/>
    </row>
    <row r="87" spans="2:25">
      <c r="E87" s="113"/>
      <c r="J87" s="125"/>
      <c r="K87" s="125"/>
      <c r="L87" s="39"/>
      <c r="M87" s="39"/>
      <c r="S87" s="125"/>
      <c r="T87" s="125"/>
      <c r="U87" s="125"/>
    </row>
    <row r="88" spans="2:25">
      <c r="E88" s="113"/>
      <c r="J88" s="125"/>
      <c r="K88" s="125"/>
      <c r="L88" s="39"/>
      <c r="M88" s="39"/>
      <c r="S88" s="125"/>
      <c r="T88" s="125"/>
      <c r="U88" s="125"/>
    </row>
    <row r="89" spans="2:25">
      <c r="E89" s="113"/>
      <c r="J89" s="125"/>
      <c r="K89" s="125"/>
      <c r="L89" s="39"/>
      <c r="M89" s="39"/>
      <c r="S89" s="125"/>
      <c r="T89" s="125"/>
      <c r="U89" s="125"/>
    </row>
    <row r="90" spans="2:25">
      <c r="E90" s="113"/>
      <c r="J90" s="125"/>
      <c r="K90" s="125"/>
      <c r="L90" s="39"/>
      <c r="M90" s="39"/>
      <c r="S90" s="125"/>
      <c r="T90" s="125"/>
      <c r="U90" s="125"/>
    </row>
    <row r="91" spans="2:25">
      <c r="E91" s="113"/>
      <c r="J91" s="125"/>
      <c r="K91" s="125"/>
      <c r="L91" s="39"/>
      <c r="M91" s="39"/>
      <c r="S91" s="125"/>
      <c r="T91" s="125"/>
      <c r="U91" s="125"/>
    </row>
    <row r="92" spans="2:25">
      <c r="E92" s="113"/>
      <c r="J92" s="125"/>
      <c r="K92" s="125"/>
      <c r="L92" s="39"/>
      <c r="M92" s="39"/>
      <c r="S92" s="125"/>
      <c r="T92" s="125"/>
      <c r="U92" s="125"/>
    </row>
    <row r="93" spans="2:25">
      <c r="E93" s="113"/>
      <c r="J93" s="125"/>
      <c r="K93" s="125"/>
      <c r="L93" s="39"/>
      <c r="M93" s="39"/>
      <c r="S93" s="125"/>
      <c r="T93" s="125"/>
      <c r="U93" s="125"/>
    </row>
    <row r="94" spans="2:25">
      <c r="E94" s="113"/>
      <c r="J94" s="125"/>
      <c r="K94" s="125"/>
      <c r="L94" s="39"/>
      <c r="M94" s="39"/>
      <c r="S94" s="125"/>
      <c r="T94" s="125"/>
      <c r="U94" s="125"/>
    </row>
    <row r="95" spans="2:25">
      <c r="E95" s="113"/>
      <c r="J95" s="125"/>
      <c r="K95" s="125"/>
      <c r="L95" s="39"/>
      <c r="M95" s="39"/>
      <c r="S95" s="125"/>
      <c r="T95" s="125"/>
      <c r="U95" s="125"/>
    </row>
    <row r="96" spans="2:25">
      <c r="E96" s="113"/>
      <c r="J96" s="125"/>
      <c r="K96" s="125"/>
      <c r="L96" s="39"/>
      <c r="M96" s="39"/>
      <c r="S96" s="125"/>
      <c r="T96" s="125"/>
      <c r="U96" s="125"/>
    </row>
    <row r="97" spans="5:21">
      <c r="E97" s="113"/>
      <c r="J97" s="125"/>
      <c r="K97" s="125"/>
      <c r="L97" s="39"/>
      <c r="M97" s="39"/>
      <c r="S97" s="125"/>
      <c r="T97" s="125"/>
      <c r="U97" s="125"/>
    </row>
    <row r="98" spans="5:21">
      <c r="E98" s="113"/>
      <c r="J98" s="125"/>
      <c r="K98" s="125"/>
      <c r="L98" s="39"/>
      <c r="M98" s="39"/>
      <c r="S98" s="125"/>
      <c r="T98" s="125"/>
      <c r="U98" s="125"/>
    </row>
    <row r="99" spans="5:21">
      <c r="E99" s="113"/>
      <c r="J99" s="125"/>
      <c r="K99" s="125"/>
      <c r="L99" s="39"/>
      <c r="M99" s="39"/>
      <c r="S99" s="125"/>
      <c r="T99" s="125"/>
      <c r="U99" s="125"/>
    </row>
    <row r="100" spans="5:21">
      <c r="E100" s="113"/>
      <c r="J100" s="125"/>
      <c r="K100" s="125"/>
      <c r="L100" s="39"/>
      <c r="M100" s="39"/>
      <c r="S100" s="125"/>
      <c r="T100" s="125"/>
      <c r="U100" s="125"/>
    </row>
    <row r="101" spans="5:21">
      <c r="E101" s="113"/>
      <c r="J101" s="125"/>
      <c r="K101" s="125"/>
      <c r="L101" s="39"/>
      <c r="M101" s="39"/>
      <c r="S101" s="125"/>
      <c r="T101" s="125"/>
      <c r="U101" s="125"/>
    </row>
    <row r="102" spans="5:21">
      <c r="E102" s="113"/>
      <c r="J102" s="125"/>
      <c r="K102" s="125"/>
      <c r="L102" s="39"/>
      <c r="M102" s="39"/>
      <c r="S102" s="125"/>
      <c r="T102" s="125"/>
      <c r="U102" s="125"/>
    </row>
    <row r="103" spans="5:21">
      <c r="E103" s="113"/>
      <c r="J103" s="125"/>
      <c r="K103" s="125"/>
      <c r="L103" s="39"/>
      <c r="M103" s="39"/>
      <c r="S103" s="125"/>
      <c r="T103" s="125"/>
      <c r="U103" s="125"/>
    </row>
    <row r="104" spans="5:21">
      <c r="E104" s="113"/>
      <c r="J104" s="125"/>
      <c r="K104" s="125"/>
      <c r="L104" s="39"/>
      <c r="M104" s="39"/>
      <c r="S104" s="125"/>
      <c r="T104" s="125"/>
      <c r="U104" s="125"/>
    </row>
    <row r="105" spans="5:21">
      <c r="E105" s="113"/>
      <c r="J105" s="125"/>
      <c r="K105" s="125"/>
      <c r="L105" s="39"/>
      <c r="M105" s="39"/>
      <c r="S105" s="125"/>
      <c r="T105" s="125"/>
      <c r="U105" s="125"/>
    </row>
    <row r="106" spans="5:21">
      <c r="E106" s="113"/>
      <c r="J106" s="125"/>
      <c r="K106" s="125"/>
      <c r="L106" s="39"/>
      <c r="M106" s="39"/>
      <c r="S106" s="125"/>
      <c r="T106" s="125"/>
      <c r="U106" s="125"/>
    </row>
    <row r="107" spans="5:21">
      <c r="E107" s="113"/>
      <c r="J107" s="125"/>
      <c r="K107" s="125"/>
      <c r="L107" s="39"/>
      <c r="M107" s="39"/>
      <c r="S107" s="125"/>
      <c r="T107" s="125"/>
      <c r="U107" s="125"/>
    </row>
    <row r="108" spans="5:21">
      <c r="E108" s="113"/>
      <c r="J108" s="125"/>
      <c r="K108" s="125"/>
      <c r="L108" s="39"/>
      <c r="M108" s="39"/>
      <c r="S108" s="125"/>
      <c r="T108" s="125"/>
      <c r="U108" s="125"/>
    </row>
    <row r="109" spans="5:21">
      <c r="E109" s="113"/>
      <c r="J109" s="125"/>
      <c r="K109" s="125"/>
      <c r="L109" s="39"/>
      <c r="M109" s="39"/>
      <c r="S109" s="125"/>
      <c r="T109" s="125"/>
      <c r="U109" s="125"/>
    </row>
    <row r="110" spans="5:21">
      <c r="E110" s="113"/>
      <c r="J110" s="125"/>
      <c r="K110" s="125"/>
      <c r="L110" s="39"/>
      <c r="M110" s="39"/>
      <c r="S110" s="125"/>
      <c r="T110" s="125"/>
      <c r="U110" s="125"/>
    </row>
    <row r="111" spans="5:21">
      <c r="E111" s="113"/>
      <c r="J111" s="125"/>
      <c r="K111" s="125"/>
      <c r="L111" s="39"/>
      <c r="M111" s="39"/>
      <c r="S111" s="125"/>
      <c r="T111" s="125"/>
      <c r="U111" s="125"/>
    </row>
    <row r="112" spans="5:21">
      <c r="E112" s="113"/>
      <c r="J112" s="125"/>
      <c r="K112" s="125"/>
      <c r="L112" s="39"/>
      <c r="M112" s="39"/>
      <c r="S112" s="125"/>
      <c r="T112" s="125"/>
      <c r="U112" s="125"/>
    </row>
    <row r="113" spans="5:21">
      <c r="E113" s="113"/>
      <c r="J113" s="125"/>
      <c r="K113" s="125"/>
      <c r="L113" s="39"/>
      <c r="M113" s="39"/>
      <c r="S113" s="125"/>
      <c r="T113" s="125"/>
      <c r="U113" s="125"/>
    </row>
    <row r="114" spans="5:21">
      <c r="E114" s="113"/>
      <c r="J114" s="125"/>
      <c r="K114" s="125"/>
      <c r="L114" s="39"/>
      <c r="M114" s="39"/>
      <c r="S114" s="125"/>
      <c r="T114" s="125"/>
      <c r="U114" s="125"/>
    </row>
    <row r="115" spans="5:21">
      <c r="E115" s="113"/>
      <c r="J115" s="125"/>
      <c r="K115" s="125"/>
      <c r="L115" s="39"/>
      <c r="M115" s="39"/>
      <c r="S115" s="125"/>
      <c r="T115" s="125"/>
      <c r="U115" s="125"/>
    </row>
    <row r="116" spans="5:21">
      <c r="E116" s="113"/>
      <c r="J116" s="125"/>
      <c r="K116" s="125"/>
      <c r="L116" s="39"/>
      <c r="M116" s="39"/>
      <c r="S116" s="125"/>
      <c r="T116" s="125"/>
      <c r="U116" s="125"/>
    </row>
    <row r="117" spans="5:21">
      <c r="E117" s="113"/>
      <c r="J117" s="125"/>
      <c r="K117" s="125"/>
      <c r="L117" s="39"/>
      <c r="M117" s="39"/>
      <c r="S117" s="125"/>
      <c r="T117" s="125"/>
      <c r="U117" s="125"/>
    </row>
    <row r="118" spans="5:21">
      <c r="E118" s="113"/>
      <c r="J118" s="125"/>
      <c r="K118" s="125"/>
      <c r="L118" s="39"/>
      <c r="M118" s="39"/>
      <c r="S118" s="125"/>
      <c r="T118" s="125"/>
      <c r="U118" s="125"/>
    </row>
    <row r="119" spans="5:21">
      <c r="E119" s="113"/>
      <c r="J119" s="125"/>
      <c r="K119" s="125"/>
      <c r="L119" s="39"/>
      <c r="M119" s="39"/>
      <c r="S119" s="125"/>
      <c r="T119" s="125"/>
      <c r="U119" s="125"/>
    </row>
    <row r="120" spans="5:21">
      <c r="E120" s="113"/>
      <c r="J120" s="125"/>
      <c r="K120" s="125"/>
      <c r="L120" s="39"/>
      <c r="M120" s="39"/>
      <c r="S120" s="125"/>
      <c r="T120" s="125"/>
      <c r="U120" s="125"/>
    </row>
    <row r="121" spans="5:21">
      <c r="E121" s="113"/>
      <c r="J121" s="125"/>
      <c r="K121" s="125"/>
      <c r="L121" s="39"/>
      <c r="M121" s="39"/>
      <c r="S121" s="125"/>
      <c r="T121" s="125"/>
      <c r="U121" s="125"/>
    </row>
    <row r="122" spans="5:21">
      <c r="E122" s="113"/>
      <c r="J122" s="125"/>
      <c r="K122" s="125"/>
      <c r="L122" s="39"/>
      <c r="M122" s="39"/>
      <c r="S122" s="125"/>
      <c r="T122" s="125"/>
      <c r="U122" s="125"/>
    </row>
    <row r="123" spans="5:21">
      <c r="E123" s="113"/>
      <c r="S123" s="125"/>
      <c r="T123" s="125"/>
      <c r="U123" s="125"/>
    </row>
    <row r="124" spans="5:21">
      <c r="E124" s="113"/>
      <c r="S124" s="125"/>
      <c r="T124" s="125"/>
      <c r="U124" s="125"/>
    </row>
    <row r="125" spans="5:21">
      <c r="E125" s="113"/>
      <c r="S125" s="125"/>
      <c r="T125" s="125"/>
      <c r="U125" s="125"/>
    </row>
    <row r="126" spans="5:21">
      <c r="E126" s="113"/>
      <c r="S126" s="125"/>
      <c r="T126" s="125"/>
      <c r="U126" s="125"/>
    </row>
    <row r="127" spans="5:21">
      <c r="E127" s="113"/>
      <c r="S127" s="125"/>
      <c r="T127" s="125"/>
      <c r="U127" s="125"/>
    </row>
    <row r="128" spans="5:21">
      <c r="E128" s="113"/>
      <c r="S128" s="125"/>
      <c r="T128" s="125"/>
      <c r="U128" s="125"/>
    </row>
    <row r="129" spans="5:21">
      <c r="E129" s="113"/>
      <c r="S129" s="125"/>
      <c r="T129" s="125"/>
      <c r="U129" s="125"/>
    </row>
    <row r="130" spans="5:21">
      <c r="E130" s="113"/>
      <c r="S130" s="125"/>
      <c r="T130" s="125"/>
      <c r="U130" s="125"/>
    </row>
    <row r="131" spans="5:21">
      <c r="E131" s="113"/>
      <c r="S131" s="125"/>
      <c r="T131" s="125"/>
      <c r="U131" s="125"/>
    </row>
    <row r="132" spans="5:21">
      <c r="E132" s="113"/>
      <c r="S132" s="125"/>
      <c r="T132" s="125"/>
      <c r="U132" s="125"/>
    </row>
    <row r="133" spans="5:21">
      <c r="E133" s="113"/>
      <c r="S133" s="125"/>
      <c r="T133" s="125"/>
      <c r="U133" s="125"/>
    </row>
    <row r="134" spans="5:21">
      <c r="E134" s="113"/>
      <c r="S134" s="125"/>
      <c r="T134" s="125"/>
      <c r="U134" s="125"/>
    </row>
    <row r="135" spans="5:21">
      <c r="E135" s="113"/>
      <c r="S135" s="125"/>
      <c r="T135" s="125"/>
      <c r="U135" s="125"/>
    </row>
    <row r="136" spans="5:21">
      <c r="E136" s="113"/>
      <c r="S136" s="125"/>
      <c r="T136" s="125"/>
      <c r="U136" s="125"/>
    </row>
    <row r="137" spans="5:21">
      <c r="E137" s="113"/>
      <c r="S137" s="125"/>
      <c r="T137" s="125"/>
      <c r="U137" s="125"/>
    </row>
    <row r="138" spans="5:21">
      <c r="E138" s="113"/>
      <c r="S138" s="125"/>
      <c r="T138" s="125"/>
      <c r="U138" s="125"/>
    </row>
    <row r="139" spans="5:21">
      <c r="E139" s="113"/>
      <c r="S139" s="125"/>
      <c r="T139" s="125"/>
      <c r="U139" s="125"/>
    </row>
    <row r="140" spans="5:21">
      <c r="E140" s="113"/>
      <c r="S140" s="125"/>
      <c r="T140" s="125"/>
      <c r="U140" s="125"/>
    </row>
    <row r="141" spans="5:21">
      <c r="E141" s="113"/>
      <c r="S141" s="125"/>
      <c r="T141" s="125"/>
      <c r="U141" s="125"/>
    </row>
    <row r="142" spans="5:21">
      <c r="E142" s="113"/>
      <c r="S142" s="125"/>
      <c r="T142" s="125"/>
      <c r="U142" s="125"/>
    </row>
    <row r="143" spans="5:21">
      <c r="E143" s="113"/>
      <c r="S143" s="125"/>
      <c r="T143" s="125"/>
      <c r="U143" s="125"/>
    </row>
    <row r="144" spans="5:21">
      <c r="E144" s="113"/>
      <c r="S144" s="125"/>
      <c r="T144" s="125"/>
      <c r="U144" s="125"/>
    </row>
    <row r="145" spans="5:21">
      <c r="E145" s="113"/>
      <c r="S145" s="125"/>
      <c r="T145" s="125"/>
      <c r="U145" s="125"/>
    </row>
    <row r="146" spans="5:21">
      <c r="E146" s="113"/>
      <c r="S146" s="125"/>
      <c r="T146" s="125"/>
      <c r="U146" s="125"/>
    </row>
    <row r="147" spans="5:21">
      <c r="E147" s="113"/>
      <c r="S147" s="125"/>
      <c r="T147" s="125"/>
      <c r="U147" s="125"/>
    </row>
    <row r="148" spans="5:21">
      <c r="E148" s="254"/>
      <c r="S148" s="125"/>
      <c r="T148" s="125"/>
      <c r="U148" s="125"/>
    </row>
    <row r="149" spans="5:21">
      <c r="E149" s="254"/>
      <c r="S149" s="125"/>
      <c r="T149" s="125"/>
      <c r="U149" s="125"/>
    </row>
    <row r="150" spans="5:21">
      <c r="E150" s="254"/>
      <c r="S150" s="125"/>
      <c r="T150" s="125"/>
      <c r="U150" s="125"/>
    </row>
    <row r="151" spans="5:21">
      <c r="E151" s="254"/>
      <c r="S151" s="125"/>
      <c r="T151" s="125"/>
      <c r="U151" s="125"/>
    </row>
    <row r="152" spans="5:21">
      <c r="E152" s="254"/>
      <c r="S152" s="125"/>
      <c r="T152" s="125"/>
      <c r="U152" s="125"/>
    </row>
    <row r="153" spans="5:21">
      <c r="E153" s="254"/>
      <c r="S153" s="125"/>
      <c r="T153" s="125"/>
      <c r="U153" s="125"/>
    </row>
    <row r="154" spans="5:21">
      <c r="E154" s="254"/>
      <c r="S154" s="125"/>
      <c r="T154" s="125"/>
      <c r="U154" s="125"/>
    </row>
    <row r="155" spans="5:21">
      <c r="E155" s="254"/>
      <c r="S155" s="125"/>
      <c r="T155" s="125"/>
      <c r="U155" s="125"/>
    </row>
    <row r="156" spans="5:21">
      <c r="E156" s="254"/>
      <c r="S156" s="125"/>
      <c r="T156" s="125"/>
      <c r="U156" s="125"/>
    </row>
    <row r="157" spans="5:21">
      <c r="E157" s="254"/>
      <c r="S157" s="125"/>
      <c r="T157" s="125"/>
      <c r="U157" s="125"/>
    </row>
    <row r="158" spans="5:21">
      <c r="E158" s="254"/>
      <c r="S158" s="125"/>
      <c r="T158" s="125"/>
      <c r="U158" s="125"/>
    </row>
    <row r="159" spans="5:21">
      <c r="E159" s="254"/>
      <c r="S159" s="125"/>
      <c r="T159" s="125"/>
      <c r="U159" s="125"/>
    </row>
    <row r="160" spans="5:21">
      <c r="E160" s="254"/>
      <c r="S160" s="125"/>
      <c r="T160" s="125"/>
      <c r="U160" s="125"/>
    </row>
    <row r="161" spans="5:21">
      <c r="E161" s="254"/>
      <c r="S161" s="125"/>
      <c r="T161" s="125"/>
      <c r="U161" s="125"/>
    </row>
    <row r="162" spans="5:21">
      <c r="E162" s="254"/>
      <c r="S162" s="125"/>
      <c r="T162" s="125"/>
      <c r="U162" s="125"/>
    </row>
    <row r="163" spans="5:21">
      <c r="E163" s="254"/>
      <c r="S163" s="125"/>
      <c r="T163" s="125"/>
      <c r="U163" s="125"/>
    </row>
    <row r="164" spans="5:21">
      <c r="E164" s="254"/>
      <c r="S164" s="125"/>
      <c r="T164" s="125"/>
      <c r="U164" s="125"/>
    </row>
    <row r="165" spans="5:21">
      <c r="E165" s="254"/>
      <c r="S165" s="125"/>
      <c r="T165" s="125"/>
      <c r="U165" s="125"/>
    </row>
    <row r="166" spans="5:21">
      <c r="E166" s="254"/>
      <c r="S166" s="125"/>
      <c r="T166" s="125"/>
      <c r="U166" s="125"/>
    </row>
    <row r="167" spans="5:21">
      <c r="E167" s="254"/>
      <c r="S167" s="125"/>
      <c r="T167" s="125"/>
      <c r="U167" s="125"/>
    </row>
    <row r="168" spans="5:21">
      <c r="E168" s="254"/>
      <c r="S168" s="125"/>
      <c r="T168" s="125"/>
      <c r="U168" s="125"/>
    </row>
    <row r="169" spans="5:21">
      <c r="E169" s="254"/>
      <c r="S169" s="125"/>
      <c r="T169" s="125"/>
      <c r="U169" s="125"/>
    </row>
    <row r="170" spans="5:21">
      <c r="E170" s="254"/>
      <c r="S170" s="125"/>
      <c r="T170" s="125"/>
      <c r="U170" s="125"/>
    </row>
    <row r="171" spans="5:21">
      <c r="E171" s="254"/>
      <c r="S171" s="125"/>
      <c r="T171" s="125"/>
      <c r="U171" s="125"/>
    </row>
    <row r="172" spans="5:21">
      <c r="E172" s="254"/>
      <c r="S172" s="125"/>
      <c r="T172" s="125"/>
      <c r="U172" s="125"/>
    </row>
    <row r="173" spans="5:21">
      <c r="E173" s="254"/>
      <c r="S173" s="125"/>
      <c r="T173" s="125"/>
      <c r="U173" s="125"/>
    </row>
    <row r="174" spans="5:21">
      <c r="E174" s="254"/>
      <c r="S174" s="125"/>
      <c r="T174" s="125"/>
      <c r="U174" s="125"/>
    </row>
    <row r="175" spans="5:21">
      <c r="E175" s="254"/>
      <c r="S175" s="125"/>
      <c r="T175" s="125"/>
      <c r="U175" s="125"/>
    </row>
    <row r="176" spans="5:21">
      <c r="E176" s="254"/>
      <c r="S176" s="125"/>
      <c r="T176" s="125"/>
      <c r="U176" s="125"/>
    </row>
    <row r="177" spans="5:21">
      <c r="E177" s="254"/>
      <c r="S177" s="125"/>
      <c r="T177" s="125"/>
      <c r="U177" s="125"/>
    </row>
    <row r="178" spans="5:21">
      <c r="E178" s="254"/>
      <c r="S178" s="125"/>
      <c r="T178" s="125"/>
      <c r="U178" s="125"/>
    </row>
    <row r="179" spans="5:21">
      <c r="E179" s="254"/>
      <c r="S179" s="125"/>
      <c r="T179" s="125"/>
      <c r="U179" s="125"/>
    </row>
    <row r="180" spans="5:21">
      <c r="E180" s="254"/>
      <c r="S180" s="125"/>
      <c r="T180" s="125"/>
      <c r="U180" s="125"/>
    </row>
    <row r="181" spans="5:21">
      <c r="E181" s="254"/>
      <c r="S181" s="125"/>
      <c r="T181" s="125"/>
      <c r="U181" s="125"/>
    </row>
    <row r="182" spans="5:21">
      <c r="E182" s="254"/>
      <c r="S182" s="125"/>
      <c r="T182" s="125"/>
      <c r="U182" s="125"/>
    </row>
    <row r="183" spans="5:21">
      <c r="E183" s="254"/>
      <c r="S183" s="125"/>
      <c r="T183" s="125"/>
      <c r="U183" s="125"/>
    </row>
    <row r="184" spans="5:21">
      <c r="E184" s="254"/>
      <c r="S184" s="125"/>
      <c r="T184" s="125"/>
      <c r="U184" s="125"/>
    </row>
    <row r="185" spans="5:21">
      <c r="E185" s="254"/>
      <c r="S185" s="125"/>
      <c r="T185" s="125"/>
      <c r="U185" s="125"/>
    </row>
    <row r="186" spans="5:21">
      <c r="E186" s="254"/>
      <c r="S186" s="125"/>
      <c r="T186" s="125"/>
      <c r="U186" s="125"/>
    </row>
    <row r="187" spans="5:21">
      <c r="E187" s="254"/>
      <c r="S187" s="125"/>
      <c r="T187" s="125"/>
      <c r="U187" s="125"/>
    </row>
    <row r="188" spans="5:21">
      <c r="E188" s="254"/>
      <c r="S188" s="125"/>
      <c r="T188" s="125"/>
      <c r="U188" s="125"/>
    </row>
    <row r="189" spans="5:21">
      <c r="E189" s="254"/>
      <c r="S189" s="125"/>
      <c r="T189" s="125"/>
      <c r="U189" s="125"/>
    </row>
    <row r="190" spans="5:21">
      <c r="E190" s="254"/>
    </row>
    <row r="191" spans="5:21">
      <c r="E191" s="254"/>
    </row>
    <row r="192" spans="5:21">
      <c r="E192" s="254"/>
    </row>
    <row r="193" spans="5:5">
      <c r="E193" s="254"/>
    </row>
    <row r="194" spans="5:5">
      <c r="E194" s="254"/>
    </row>
    <row r="195" spans="5:5">
      <c r="E195" s="254"/>
    </row>
    <row r="196" spans="5:5">
      <c r="E196" s="254"/>
    </row>
    <row r="197" spans="5:5">
      <c r="E197" s="254"/>
    </row>
    <row r="198" spans="5:5">
      <c r="E198" s="254"/>
    </row>
    <row r="199" spans="5:5">
      <c r="E199" s="254"/>
    </row>
    <row r="200" spans="5:5">
      <c r="E200" s="254"/>
    </row>
    <row r="201" spans="5:5">
      <c r="E201" s="254"/>
    </row>
    <row r="202" spans="5:5">
      <c r="E202" s="254"/>
    </row>
    <row r="203" spans="5:5">
      <c r="E203" s="254"/>
    </row>
    <row r="204" spans="5:5">
      <c r="E204" s="254"/>
    </row>
    <row r="205" spans="5:5">
      <c r="E205" s="254"/>
    </row>
    <row r="206" spans="5:5">
      <c r="E206" s="254"/>
    </row>
    <row r="207" spans="5:5">
      <c r="E207" s="254"/>
    </row>
    <row r="208" spans="5:5">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sheetData>
  <customSheetViews>
    <customSheetView guid="{F03309BC-D3FA-4CF2-833B-D6D9A95FE1FB}" state="hidden">
      <selection activeCell="D2" sqref="D2"/>
      <pageMargins left="0" right="0" top="0" bottom="0" header="0" footer="0"/>
    </customSheetView>
    <customSheetView guid="{EECBF9DF-6D77-4263-85DA-71E40216BADD}" state="hidden">
      <selection activeCell="C2" sqref="C2:E2"/>
      <pageMargins left="0" right="0" top="0" bottom="0" header="0" footer="0"/>
    </customSheetView>
    <customSheetView guid="{1C16EB38-F785-4168-9938-104594734038}" showGridLines="0" state="hidden">
      <pane xSplit="3" ySplit="5" topLeftCell="D6" activePane="bottomRight" state="frozen"/>
      <selection pane="bottomRight" activeCell="C2" sqref="C2:E2"/>
      <pageMargins left="0" right="0" top="0" bottom="0" header="0" footer="0"/>
    </customSheetView>
    <customSheetView guid="{0E935136-9A80-44B6-88D5-61E64D742049}" showGridLines="0" state="hidden">
      <pane xSplit="3" ySplit="5" topLeftCell="D6" activePane="bottomRight" state="frozen"/>
      <selection pane="bottomRight" activeCell="I2" sqref="I2:K2"/>
      <pageMargins left="0" right="0" top="0" bottom="0" header="0" footer="0"/>
    </customSheetView>
    <customSheetView guid="{E6EFD927-84B2-4D06-BB59-59D9DF522DA2}" state="hidden">
      <selection activeCell="C2" sqref="C2:E2"/>
      <pageMargins left="0" right="0" top="0" bottom="0" header="0" footer="0"/>
    </customSheetView>
    <customSheetView guid="{3F0A4FBA-5323-448F-A023-B3E14C54064C}" state="hidden">
      <selection activeCell="C2" sqref="C2:E2"/>
      <pageMargins left="0" right="0" top="0" bottom="0" header="0" footer="0"/>
    </customSheetView>
    <customSheetView guid="{D97B1299-69D0-4EE0-B673-CCF74742F96B}">
      <selection activeCell="I2" sqref="I2:K2"/>
      <pageMargins left="0" right="0" top="0" bottom="0" header="0" footer="0"/>
    </customSheetView>
    <customSheetView guid="{F468A2FD-7987-4A9D-8BAE-1AACE523607F}" state="hidden">
      <selection activeCell="D2" sqref="D2"/>
      <pageMargins left="0" right="0" top="0" bottom="0" header="0" footer="0"/>
    </customSheetView>
    <customSheetView guid="{2D920366-22B2-4182-A65D-0EDBE614FB37}" showGridLines="0">
      <pane xSplit="3" ySplit="5" topLeftCell="D6" activePane="bottomRight" state="frozen"/>
      <selection pane="bottomRight"/>
      <pageMargins left="0" right="0" top="0" bottom="0" header="0" footer="0"/>
    </customSheetView>
  </customSheetViews>
  <mergeCells count="1">
    <mergeCell ref="I2:K2"/>
  </mergeCells>
  <dataValidations count="5">
    <dataValidation type="decimal" operator="greaterThan" allowBlank="1" showInputMessage="1" showErrorMessage="1" errorTitle="Negative intensity reported" error="GHG emissions intensities for inputs must be reported as non-negative, i.e. negative intensity inputs should report zero" sqref="S68:T76 S8:T59" xr:uid="{A39B4FA4-0CC4-4BD4-9AFB-79515B963CD1}">
      <formula1>0</formula1>
    </dataValidation>
    <dataValidation type="custom" allowBlank="1" showInputMessage="1" showErrorMessage="1" error="Please do not change this formula" sqref="O5:R5" xr:uid="{011F81F0-D45A-4C0B-9ED7-57E127690B7D}">
      <formula1>"Please do not change this formula"</formula1>
    </dataValidation>
    <dataValidation type="custom" allowBlank="1" showInputMessage="1" showErrorMessage="1" error="Please do not change" sqref="R9:R13" xr:uid="{ED5E17C8-60AB-4CE6-B8A3-63527F10E6B8}">
      <formula1>"Please do not change"</formula1>
    </dataValidation>
    <dataValidation type="custom" allowBlank="1" showInputMessage="1" showErrorMessage="1" error="Please do not change this formula" prompt="Please do not change this formula" sqref="W4 S5:V5 V1:V4 R6:R8 R14:R1048576 O1:R4 N1:N1048576 O6:Q1048576 V6:V1048576" xr:uid="{D72AD28C-0869-4993-895C-CFB2FB5D3EE2}">
      <formula1>"Please do not change this formula"</formula1>
    </dataValidation>
    <dataValidation type="list" allowBlank="1" showInputMessage="1" showErrorMessage="1" sqref="D46:D50 D34:D43 D53:D58 D61:D65 D20:D30 D68:D75 D8 D10:D17" xr:uid="{A6B25155-A0EC-4BFD-A439-C986B8D77D3D}">
      <formula1>Flow_units</formula1>
    </dataValidation>
  </dataValidations>
  <hyperlinks>
    <hyperlink ref="I2:J2" location="GHG_FOSSIL_NG_REFORM_CCS!A1" display="Go to the summary tab of this pathway" xr:uid="{7EF87DF9-12FE-4553-AD75-54514A88BF16}"/>
    <hyperlink ref="I2:K2" location="GHG_ROG_REFORM_CCS!A1" display="Go to the summary GHG worksheet" xr:uid="{06A2D5F1-17AE-4E02-9A4F-006C1EE98521}"/>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3" id="{00000000-000E-0000-2200-000003000000}">
            <xm:f>AND(Path&lt;&gt;Units!$B$94,Master_Switch="On")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 id="{37010BE8-973B-4CB6-8932-493C2E7D61DE}">
            <xm:f>AND(GHG_ROG_REFORM_CCS!$D$9="Default",Master_Switch="On")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2" id="{122E4EA9-34A2-4067-96F9-F0DEEB758EF3}">
            <xm:f>AND(GHG_ROG_REFORM_CCS!$D$10="Default",Master_Switch="On")</xm:f>
            <x14:dxf>
              <font>
                <color theme="0"/>
              </font>
              <fill>
                <patternFill>
                  <bgColor theme="0"/>
                </patternFill>
              </fill>
              <border>
                <left/>
                <right/>
                <top/>
                <bottom/>
                <vertical/>
                <horizontal/>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02EE1A9-45A7-402A-9F44-7C44E5D01A5D}">
          <x14:formula1>
            <xm:f>Units!$Z$84</xm:f>
          </x14:formula1>
          <xm:sqref>D9</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CCCDF-8EBF-4A78-A745-9C901DED46CE}">
  <sheetPr codeName="Sheet45">
    <tabColor rgb="FFFF9900"/>
  </sheetPr>
  <dimension ref="A1:AC190"/>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7"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28515625" customWidth="1"/>
    <col min="16" max="16" width="7.14062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4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I2" s="735" t="s">
        <v>1141</v>
      </c>
      <c r="J2" s="737"/>
      <c r="K2" s="738"/>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84" t="s">
        <v>1069</v>
      </c>
      <c r="C8" s="182"/>
      <c r="D8" s="177"/>
      <c r="E8" s="304"/>
      <c r="F8" s="21"/>
      <c r="G8" s="21"/>
      <c r="H8" s="20"/>
      <c r="I8" s="459"/>
      <c r="J8" s="300"/>
      <c r="K8" s="300"/>
      <c r="L8" s="300"/>
      <c r="M8" s="300"/>
      <c r="N8" s="240">
        <f t="shared" ref="N8:N17" si="0">IF($D8="MWh/yr (LHV)",$E8,$J8*$E8*(1-$L8)/Conversion_kWh_to_MJ)</f>
        <v>0</v>
      </c>
      <c r="O8" s="12"/>
      <c r="S8" s="35"/>
      <c r="T8" s="35"/>
      <c r="U8" s="35"/>
      <c r="V8" s="240" t="str">
        <f t="shared" ref="V8:V17" si="1">IFERROR(IF(D8="tonnes/yr", $S8*$E8/($N$20*3.6), $T8*$E8*3.6/($N$20*3.6)), "Unfilled fields to left")</f>
        <v>Unfilled fields to left</v>
      </c>
      <c r="X8" s="25"/>
      <c r="Y8" s="12"/>
    </row>
    <row r="9" spans="1:29">
      <c r="B9" s="184" t="s">
        <v>1069</v>
      </c>
      <c r="C9" s="182" t="s">
        <v>1146</v>
      </c>
      <c r="D9" s="177" t="s">
        <v>447</v>
      </c>
      <c r="E9" s="304"/>
      <c r="F9" s="21"/>
      <c r="G9" s="21"/>
      <c r="H9" s="20"/>
      <c r="I9" s="459"/>
      <c r="J9" s="300"/>
      <c r="K9" s="300"/>
      <c r="L9" s="300"/>
      <c r="M9" s="300"/>
      <c r="N9" s="240">
        <f t="shared" si="0"/>
        <v>0</v>
      </c>
      <c r="O9" s="12"/>
      <c r="S9" s="35" t="str">
        <f t="shared" ref="S9:S16" si="2">IF(B9="", "", IF(D9="MWh/yr (LHV)", "Use column to right", "Enter data here"))</f>
        <v>Use column to right</v>
      </c>
      <c r="T9" s="35" t="e">
        <f>INDEX(Proj_grid_intensity_kWh,MATCH(Operations_year,Proj_grid_year,0))/Conversion_kWh_to_MJ</f>
        <v>#N/A</v>
      </c>
      <c r="U9" s="35" t="s">
        <v>1112</v>
      </c>
      <c r="V9" s="240" t="str">
        <f t="shared" si="1"/>
        <v>Unfilled fields to left</v>
      </c>
      <c r="X9" s="25"/>
      <c r="Y9" s="12"/>
    </row>
    <row r="10" spans="1:29">
      <c r="B10" s="184" t="s">
        <v>1090</v>
      </c>
      <c r="C10" s="182" t="s">
        <v>1091</v>
      </c>
      <c r="D10" s="177" t="s">
        <v>425</v>
      </c>
      <c r="E10" s="304"/>
      <c r="F10" s="21"/>
      <c r="G10" s="21"/>
      <c r="H10" s="20"/>
      <c r="I10" s="459"/>
      <c r="J10" s="300"/>
      <c r="K10" s="300"/>
      <c r="L10" s="300"/>
      <c r="M10" s="300"/>
      <c r="N10" s="240">
        <f t="shared" si="0"/>
        <v>0</v>
      </c>
      <c r="O10" s="12"/>
      <c r="S10" s="35" t="str">
        <f t="shared" si="2"/>
        <v>Enter data here</v>
      </c>
      <c r="T10" s="35" t="str">
        <f t="shared" ref="T10:T16" si="3">IF(B10="", "", IF(D10="MWh/yr (LHV)", "Enter data here", "Use column to left"))</f>
        <v>Use column to left</v>
      </c>
      <c r="U10" s="35" t="s">
        <v>1148</v>
      </c>
      <c r="V10" s="240" t="str">
        <f t="shared" si="1"/>
        <v>Unfilled fields to left</v>
      </c>
      <c r="X10" s="25"/>
      <c r="Y10" s="12"/>
    </row>
    <row r="11" spans="1:29">
      <c r="B11" s="184" t="s">
        <v>1090</v>
      </c>
      <c r="C11" s="182" t="s">
        <v>1093</v>
      </c>
      <c r="D11" s="177" t="s">
        <v>425</v>
      </c>
      <c r="E11" s="304"/>
      <c r="F11" s="21"/>
      <c r="G11" s="21"/>
      <c r="H11" s="20"/>
      <c r="I11" s="459"/>
      <c r="J11" s="300"/>
      <c r="K11" s="300"/>
      <c r="L11" s="300"/>
      <c r="M11" s="300"/>
      <c r="N11" s="240">
        <f t="shared" si="0"/>
        <v>0</v>
      </c>
      <c r="O11" s="12"/>
      <c r="S11" s="35" t="str">
        <f t="shared" si="2"/>
        <v>Enter data here</v>
      </c>
      <c r="T11" s="35" t="str">
        <f t="shared" si="3"/>
        <v>Use column to left</v>
      </c>
      <c r="U11" s="35" t="s">
        <v>1148</v>
      </c>
      <c r="V11" s="240" t="str">
        <f t="shared" si="1"/>
        <v>Unfilled fields to left</v>
      </c>
      <c r="X11" s="25"/>
      <c r="Y11" s="12"/>
    </row>
    <row r="12" spans="1:29">
      <c r="B12" s="184" t="s">
        <v>1099</v>
      </c>
      <c r="C12" s="182" t="s">
        <v>1224</v>
      </c>
      <c r="D12" s="177" t="s">
        <v>425</v>
      </c>
      <c r="E12" s="304"/>
      <c r="F12" s="21"/>
      <c r="G12" s="21"/>
      <c r="H12" s="20"/>
      <c r="I12" s="459"/>
      <c r="J12" s="300"/>
      <c r="K12" s="300"/>
      <c r="L12" s="300"/>
      <c r="M12" s="300"/>
      <c r="N12" s="240">
        <f t="shared" si="0"/>
        <v>0</v>
      </c>
      <c r="O12" s="12"/>
      <c r="S12" s="35" t="str">
        <f t="shared" si="2"/>
        <v>Enter data here</v>
      </c>
      <c r="T12" s="35" t="str">
        <f t="shared" si="3"/>
        <v>Use column to left</v>
      </c>
      <c r="U12" s="35" t="s">
        <v>1148</v>
      </c>
      <c r="V12" s="240" t="str">
        <f t="shared" si="1"/>
        <v>Unfilled fields to left</v>
      </c>
      <c r="X12" s="25"/>
      <c r="Y12" s="12"/>
    </row>
    <row r="13" spans="1:29">
      <c r="B13" s="184" t="s">
        <v>1225</v>
      </c>
      <c r="C13" s="182" t="s">
        <v>1226</v>
      </c>
      <c r="D13" s="177" t="s">
        <v>425</v>
      </c>
      <c r="E13" s="304"/>
      <c r="F13" s="21"/>
      <c r="G13" s="21"/>
      <c r="H13" s="20"/>
      <c r="I13" s="459"/>
      <c r="J13" s="300"/>
      <c r="K13" s="300"/>
      <c r="L13" s="300"/>
      <c r="M13" s="300"/>
      <c r="N13" s="240">
        <f t="shared" si="0"/>
        <v>0</v>
      </c>
      <c r="O13" s="12"/>
      <c r="S13" s="35" t="str">
        <f t="shared" si="2"/>
        <v>Enter data here</v>
      </c>
      <c r="T13" s="35" t="str">
        <f t="shared" si="3"/>
        <v>Use column to left</v>
      </c>
      <c r="U13" s="35" t="s">
        <v>1148</v>
      </c>
      <c r="V13" s="240" t="str">
        <f t="shared" si="1"/>
        <v>Unfilled fields to left</v>
      </c>
      <c r="X13" s="25"/>
      <c r="Y13" s="12"/>
    </row>
    <row r="14" spans="1:29">
      <c r="B14" s="184" t="s">
        <v>1150</v>
      </c>
      <c r="C14" s="182" t="s">
        <v>1103</v>
      </c>
      <c r="D14" s="177" t="s">
        <v>425</v>
      </c>
      <c r="E14" s="304"/>
      <c r="F14" s="21"/>
      <c r="G14" s="21"/>
      <c r="H14" s="20"/>
      <c r="I14" s="459"/>
      <c r="J14" s="300"/>
      <c r="K14" s="300"/>
      <c r="L14" s="300"/>
      <c r="M14" s="300"/>
      <c r="N14" s="240">
        <f t="shared" si="0"/>
        <v>0</v>
      </c>
      <c r="O14" s="12"/>
      <c r="S14" s="35" t="str">
        <f t="shared" si="2"/>
        <v>Enter data here</v>
      </c>
      <c r="T14" s="35" t="str">
        <f t="shared" si="3"/>
        <v>Use column to left</v>
      </c>
      <c r="U14" s="35" t="s">
        <v>1148</v>
      </c>
      <c r="V14" s="240" t="str">
        <f t="shared" si="1"/>
        <v>Unfilled fields to left</v>
      </c>
      <c r="X14" s="25"/>
      <c r="Y14" s="12"/>
    </row>
    <row r="15" spans="1:29">
      <c r="B15" s="16"/>
      <c r="C15" s="15"/>
      <c r="D15" s="177"/>
      <c r="E15" s="304"/>
      <c r="F15" s="21"/>
      <c r="G15" s="21"/>
      <c r="H15" s="20"/>
      <c r="I15" s="459"/>
      <c r="J15" s="300"/>
      <c r="K15" s="300"/>
      <c r="L15" s="300"/>
      <c r="M15" s="300"/>
      <c r="N15" s="240">
        <f t="shared" si="0"/>
        <v>0</v>
      </c>
      <c r="O15" s="12"/>
      <c r="S15" s="35" t="str">
        <f t="shared" si="2"/>
        <v/>
      </c>
      <c r="T15" s="35" t="str">
        <f t="shared" si="3"/>
        <v/>
      </c>
      <c r="U15" s="35"/>
      <c r="V15" s="240" t="str">
        <f t="shared" si="1"/>
        <v>Unfilled fields to left</v>
      </c>
      <c r="X15" s="25"/>
      <c r="Y15" s="12"/>
    </row>
    <row r="16" spans="1:29">
      <c r="B16" s="16"/>
      <c r="C16" s="15"/>
      <c r="D16" s="177"/>
      <c r="E16" s="304"/>
      <c r="F16" s="21"/>
      <c r="G16" s="21"/>
      <c r="H16" s="20"/>
      <c r="I16" s="459"/>
      <c r="J16" s="300"/>
      <c r="K16" s="300"/>
      <c r="L16" s="300"/>
      <c r="M16" s="300"/>
      <c r="N16" s="240">
        <f t="shared" si="0"/>
        <v>0</v>
      </c>
      <c r="O16" s="12"/>
      <c r="S16" s="35" t="str">
        <f t="shared" si="2"/>
        <v/>
      </c>
      <c r="T16" s="35" t="str">
        <f t="shared" si="3"/>
        <v/>
      </c>
      <c r="U16" s="35"/>
      <c r="V16" s="240" t="str">
        <f t="shared" si="1"/>
        <v>Unfilled fields to left</v>
      </c>
      <c r="X16" s="25"/>
      <c r="Y16" s="12"/>
    </row>
    <row r="17" spans="2:29">
      <c r="B17" s="16"/>
      <c r="C17" s="15"/>
      <c r="D17" s="177"/>
      <c r="E17" s="304"/>
      <c r="F17" s="21"/>
      <c r="G17" s="21"/>
      <c r="H17" s="20"/>
      <c r="I17" s="459"/>
      <c r="J17" s="300"/>
      <c r="K17" s="300"/>
      <c r="L17" s="300"/>
      <c r="M17" s="300"/>
      <c r="N17" s="240">
        <f t="shared" si="0"/>
        <v>0</v>
      </c>
      <c r="O17" s="12"/>
      <c r="S17" s="300"/>
      <c r="T17" s="300"/>
      <c r="U17" s="300"/>
      <c r="V17" s="240" t="str">
        <f t="shared" si="1"/>
        <v>Unfilled fields to left</v>
      </c>
      <c r="X17" s="25"/>
      <c r="Y17" s="12"/>
    </row>
    <row r="18" spans="2:29">
      <c r="C18" s="17"/>
      <c r="D18" s="17"/>
      <c r="E18" s="502"/>
      <c r="F18" s="26"/>
      <c r="G18" s="26"/>
      <c r="H18" s="22"/>
      <c r="I18" s="22"/>
      <c r="J18" s="41"/>
      <c r="K18" s="41"/>
      <c r="L18" s="41"/>
      <c r="M18" s="41"/>
      <c r="N18" s="41"/>
      <c r="O18" s="12"/>
      <c r="S18" s="41"/>
      <c r="T18" s="41"/>
      <c r="U18" s="41"/>
      <c r="V18" s="41"/>
      <c r="X18" s="27"/>
      <c r="Y18" s="12"/>
    </row>
    <row r="19" spans="2:29">
      <c r="B19" s="144" t="s">
        <v>1151</v>
      </c>
      <c r="C19" s="144"/>
      <c r="D19" s="144"/>
      <c r="E19" s="489"/>
      <c r="F19" s="460"/>
      <c r="G19" s="460"/>
      <c r="H19" s="460"/>
      <c r="I19" s="460"/>
      <c r="J19" s="489"/>
      <c r="K19" s="489"/>
      <c r="L19" s="299"/>
      <c r="M19" s="299"/>
      <c r="N19" s="299"/>
      <c r="R19"/>
      <c r="S19" s="40"/>
      <c r="T19" s="40"/>
      <c r="U19" s="40"/>
      <c r="V19" s="40"/>
      <c r="W19" s="19"/>
      <c r="X19" s="19"/>
      <c r="Y19" s="19"/>
      <c r="Z19" s="19"/>
      <c r="AA19" s="19"/>
      <c r="AB19" s="19"/>
      <c r="AC19" s="19"/>
    </row>
    <row r="20" spans="2:29">
      <c r="B20" s="16" t="s">
        <v>1152</v>
      </c>
      <c r="C20" s="182" t="s">
        <v>1227</v>
      </c>
      <c r="D20" s="177" t="s">
        <v>425</v>
      </c>
      <c r="E20" s="304"/>
      <c r="F20" s="21"/>
      <c r="G20" s="21"/>
      <c r="H20" s="21"/>
      <c r="I20" s="21"/>
      <c r="J20" s="300"/>
      <c r="K20" s="304"/>
      <c r="L20" s="304"/>
      <c r="M20" s="304"/>
      <c r="N20" s="240">
        <f t="shared" ref="N20:N32" si="4">IF($D20="MWh/yr (LHV)",$E20,$J20*$E20*(1-$L20)/Conversion_kWh_to_MJ)</f>
        <v>0</v>
      </c>
      <c r="O20" s="244" t="s">
        <v>563</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04"/>
      <c r="F21" s="21"/>
      <c r="G21" s="21"/>
      <c r="H21" s="20"/>
      <c r="I21" s="20"/>
      <c r="J21" s="300"/>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04"/>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04"/>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04"/>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04"/>
      <c r="F25" s="21"/>
      <c r="G25" s="21"/>
      <c r="H25" s="20"/>
      <c r="I25" s="459"/>
      <c r="J25" s="300"/>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04"/>
      <c r="F26" s="21"/>
      <c r="G26" s="21"/>
      <c r="H26" s="20"/>
      <c r="I26" s="459"/>
      <c r="J26" s="300"/>
      <c r="K26" s="300"/>
      <c r="L26" s="300"/>
      <c r="M26" s="300"/>
      <c r="N26" s="240">
        <f t="shared" si="4"/>
        <v>0</v>
      </c>
      <c r="O26" s="12"/>
      <c r="P26" s="12"/>
      <c r="Q26" s="12"/>
      <c r="R26" s="12"/>
      <c r="S26" s="107"/>
      <c r="T26" s="107"/>
      <c r="U26" s="107"/>
      <c r="V26" s="12"/>
      <c r="X26" s="21"/>
    </row>
    <row r="27" spans="2:29" s="14" customFormat="1">
      <c r="B27" s="184" t="s">
        <v>1228</v>
      </c>
      <c r="C27" s="182" t="s">
        <v>1229</v>
      </c>
      <c r="D27" s="177" t="s">
        <v>425</v>
      </c>
      <c r="E27" s="304"/>
      <c r="F27" s="461"/>
      <c r="G27" s="21"/>
      <c r="H27" s="20"/>
      <c r="I27" s="459"/>
      <c r="J27" s="300"/>
      <c r="K27" s="300"/>
      <c r="L27" s="300"/>
      <c r="M27" s="300"/>
      <c r="N27" s="240">
        <f t="shared" si="4"/>
        <v>0</v>
      </c>
      <c r="O27" s="12"/>
      <c r="P27" s="12"/>
      <c r="Q27" s="12"/>
      <c r="R27" s="12"/>
      <c r="S27" s="524">
        <f>1*1000</f>
        <v>1000</v>
      </c>
      <c r="T27" s="473"/>
      <c r="U27" s="526" t="s">
        <v>1107</v>
      </c>
      <c r="V27" s="240" t="str">
        <f t="shared" ref="V27:V32" si="6">IFERROR(IF(D27="tonnes/yr", $S27*$E27/($N$20*3.6), $T27*$E27*3.6/($N$20*3.6)), "Unfilled fields to left")</f>
        <v>Unfilled fields to left</v>
      </c>
      <c r="X27" s="21"/>
    </row>
    <row r="28" spans="2:29" s="14" customFormat="1">
      <c r="B28" s="184" t="s">
        <v>1228</v>
      </c>
      <c r="C28" s="182" t="s">
        <v>1230</v>
      </c>
      <c r="D28" s="177" t="s">
        <v>425</v>
      </c>
      <c r="E28" s="304"/>
      <c r="F28" s="461"/>
      <c r="G28" s="21"/>
      <c r="H28" s="20"/>
      <c r="I28" s="459"/>
      <c r="J28" s="300"/>
      <c r="K28" s="300"/>
      <c r="L28" s="300"/>
      <c r="M28" s="300"/>
      <c r="N28" s="240">
        <f t="shared" si="4"/>
        <v>0</v>
      </c>
      <c r="O28" s="12"/>
      <c r="P28" s="12"/>
      <c r="Q28" s="12"/>
      <c r="R28" s="12"/>
      <c r="S28" s="524">
        <f>1*1000</f>
        <v>1000</v>
      </c>
      <c r="T28" s="473"/>
      <c r="U28" s="526" t="s">
        <v>1107</v>
      </c>
      <c r="V28" s="240" t="str">
        <f t="shared" si="6"/>
        <v>Unfilled fields to left</v>
      </c>
      <c r="X28" s="21"/>
    </row>
    <row r="29" spans="2:29" s="14" customFormat="1">
      <c r="B29" s="184" t="s">
        <v>1161</v>
      </c>
      <c r="C29" s="182" t="s">
        <v>1231</v>
      </c>
      <c r="D29" s="177" t="s">
        <v>425</v>
      </c>
      <c r="E29" s="304"/>
      <c r="F29" s="461"/>
      <c r="G29" s="21"/>
      <c r="H29" s="20"/>
      <c r="I29" s="459"/>
      <c r="J29" s="300"/>
      <c r="K29" s="300"/>
      <c r="L29" s="300"/>
      <c r="M29" s="300"/>
      <c r="N29" s="240">
        <f t="shared" si="4"/>
        <v>0</v>
      </c>
      <c r="O29" s="12"/>
      <c r="P29" s="12"/>
      <c r="Q29" s="12"/>
      <c r="R29" s="12"/>
      <c r="S29" s="524">
        <f>28*1000</f>
        <v>28000</v>
      </c>
      <c r="T29" s="473"/>
      <c r="U29" s="526" t="s">
        <v>1107</v>
      </c>
      <c r="V29" s="240" t="str">
        <f t="shared" si="6"/>
        <v>Unfilled fields to left</v>
      </c>
      <c r="X29" s="21"/>
    </row>
    <row r="30" spans="2:29" s="14" customFormat="1">
      <c r="B30" s="184" t="s">
        <v>1161</v>
      </c>
      <c r="C30" s="182" t="s">
        <v>1123</v>
      </c>
      <c r="D30" s="177" t="s">
        <v>425</v>
      </c>
      <c r="E30" s="304"/>
      <c r="F30" s="21"/>
      <c r="G30" s="21"/>
      <c r="H30" s="20"/>
      <c r="I30" s="459"/>
      <c r="J30" s="300"/>
      <c r="K30" s="300"/>
      <c r="L30" s="300"/>
      <c r="M30" s="300"/>
      <c r="N30" s="240">
        <f t="shared" si="4"/>
        <v>0</v>
      </c>
      <c r="O30" s="12"/>
      <c r="P30" s="12"/>
      <c r="Q30" s="12"/>
      <c r="R30" s="12"/>
      <c r="S30" s="524">
        <v>265000</v>
      </c>
      <c r="T30" s="473"/>
      <c r="U30" s="526" t="s">
        <v>1107</v>
      </c>
      <c r="V30" s="240" t="str">
        <f t="shared" si="6"/>
        <v>Unfilled fields to left</v>
      </c>
      <c r="X30" s="21"/>
    </row>
    <row r="31" spans="2:29" s="14" customFormat="1">
      <c r="B31" s="16"/>
      <c r="C31" s="15"/>
      <c r="D31" s="177"/>
      <c r="E31" s="304"/>
      <c r="F31" s="21"/>
      <c r="G31" s="21"/>
      <c r="H31" s="20"/>
      <c r="I31" s="459"/>
      <c r="J31" s="300"/>
      <c r="K31" s="300"/>
      <c r="L31" s="300"/>
      <c r="M31" s="300"/>
      <c r="N31" s="240">
        <f t="shared" si="4"/>
        <v>0</v>
      </c>
      <c r="O31" s="12"/>
      <c r="P31" s="12"/>
      <c r="Q31" s="12"/>
      <c r="R31" s="12"/>
      <c r="S31" s="525"/>
      <c r="T31" s="473"/>
      <c r="U31" s="527"/>
      <c r="V31" s="240" t="str">
        <f t="shared" si="6"/>
        <v>Unfilled fields to left</v>
      </c>
      <c r="X31" s="21"/>
    </row>
    <row r="32" spans="2:29" s="14" customFormat="1">
      <c r="B32" s="16"/>
      <c r="C32" s="15"/>
      <c r="D32" s="177"/>
      <c r="E32" s="304"/>
      <c r="F32" s="21"/>
      <c r="G32" s="21"/>
      <c r="H32" s="20"/>
      <c r="I32" s="459"/>
      <c r="J32" s="300"/>
      <c r="K32" s="300"/>
      <c r="L32" s="300"/>
      <c r="M32" s="300"/>
      <c r="N32" s="240">
        <f t="shared" si="4"/>
        <v>0</v>
      </c>
      <c r="O32" s="12"/>
      <c r="P32" s="12"/>
      <c r="Q32" s="12"/>
      <c r="R32" s="12"/>
      <c r="S32" s="525"/>
      <c r="T32" s="473"/>
      <c r="U32" s="527"/>
      <c r="V32" s="240" t="str">
        <f t="shared" si="6"/>
        <v>Unfilled fields to left</v>
      </c>
      <c r="X32" s="21"/>
    </row>
    <row r="33" spans="2:25">
      <c r="C33" s="17"/>
      <c r="D33" s="17"/>
      <c r="E33" s="139"/>
      <c r="F33" s="17"/>
      <c r="H33" s="18"/>
      <c r="I33" s="18"/>
      <c r="J33" s="40"/>
      <c r="K33" s="40"/>
      <c r="L33" s="40"/>
      <c r="M33" s="40"/>
      <c r="N33" s="40"/>
      <c r="O33" s="19"/>
      <c r="P33" s="19"/>
      <c r="Q33" s="19"/>
      <c r="R33" s="19"/>
      <c r="S33" s="40"/>
      <c r="T33" s="40"/>
      <c r="U33" s="40"/>
      <c r="V33" s="40"/>
      <c r="Y33" s="12"/>
    </row>
    <row r="34" spans="2:25">
      <c r="B34" s="144" t="s">
        <v>1232</v>
      </c>
      <c r="C34" s="144"/>
      <c r="D34" s="144"/>
      <c r="E34" s="299"/>
      <c r="F34" s="144"/>
      <c r="G34" s="144"/>
      <c r="H34" s="144"/>
      <c r="I34" s="144"/>
      <c r="J34" s="299"/>
      <c r="K34" s="299"/>
      <c r="L34" s="299"/>
      <c r="M34" s="299"/>
      <c r="N34" s="299"/>
      <c r="O34" s="19"/>
      <c r="P34" s="19"/>
      <c r="Q34" s="19"/>
      <c r="R34" s="19"/>
      <c r="S34" s="40"/>
      <c r="T34" s="40"/>
      <c r="U34" s="40"/>
      <c r="V34" s="40"/>
      <c r="Y34" s="12"/>
    </row>
    <row r="35" spans="2:25" s="19" customFormat="1">
      <c r="B35" s="184" t="s">
        <v>1233</v>
      </c>
      <c r="C35" s="182" t="s">
        <v>1234</v>
      </c>
      <c r="D35" s="177" t="s">
        <v>425</v>
      </c>
      <c r="E35" s="304" t="e">
        <f>E42/E41*E20</f>
        <v>#DIV/0!</v>
      </c>
      <c r="F35" s="24"/>
      <c r="G35" s="21"/>
      <c r="H35" s="20"/>
      <c r="I35" s="20"/>
      <c r="J35" s="298"/>
      <c r="K35" s="300"/>
      <c r="L35" s="300"/>
      <c r="M35" s="300"/>
      <c r="N35" s="562" t="s">
        <v>563</v>
      </c>
      <c r="S35" s="524">
        <f>1*1000</f>
        <v>1000</v>
      </c>
      <c r="T35" s="473"/>
      <c r="U35" s="526" t="s">
        <v>1107</v>
      </c>
      <c r="V35" s="240" t="str">
        <f>IFERROR(IF(D35="tonnes/yr", $S35*$E35/($N$20*3.6), $T35*$E35*3.6/($N$20*3.6)), "Unfilled fields to left")</f>
        <v>Unfilled fields to left</v>
      </c>
      <c r="X35" s="24"/>
    </row>
    <row r="36" spans="2:25" s="19" customFormat="1">
      <c r="B36" s="16"/>
      <c r="C36" s="15"/>
      <c r="D36" s="177"/>
      <c r="E36" s="35"/>
      <c r="F36" s="21"/>
      <c r="G36" s="21"/>
      <c r="H36" s="20"/>
      <c r="I36" s="36"/>
      <c r="J36" s="298"/>
      <c r="K36" s="300"/>
      <c r="L36" s="300"/>
      <c r="M36" s="300"/>
      <c r="N36" s="562" t="s">
        <v>563</v>
      </c>
      <c r="S36" s="525"/>
      <c r="T36" s="512"/>
      <c r="U36" s="527"/>
      <c r="V36" s="240" t="str">
        <f>IFERROR(IF(D36="tonnes/yr", $S36*$E36/($N$20*3.6), $T36*$E36*3.6/($N$20*3.6)), "Unfilled fields to left")</f>
        <v>Unfilled fields to left</v>
      </c>
      <c r="X36" s="25"/>
    </row>
    <row r="37" spans="2:25">
      <c r="C37" s="17"/>
      <c r="D37" s="17"/>
      <c r="E37" s="139"/>
      <c r="F37" s="17"/>
      <c r="H37" s="18"/>
      <c r="I37" s="18"/>
      <c r="J37" s="40"/>
      <c r="K37" s="40"/>
      <c r="L37" s="40"/>
      <c r="M37" s="40"/>
      <c r="N37" s="40"/>
      <c r="O37" s="19"/>
      <c r="P37" s="19"/>
      <c r="Q37" s="19"/>
      <c r="R37" s="19"/>
      <c r="S37" s="40"/>
      <c r="T37" s="40"/>
      <c r="U37" s="40"/>
      <c r="V37" s="40"/>
      <c r="Y37" s="12"/>
    </row>
    <row r="38" spans="2:25">
      <c r="D38" s="17"/>
      <c r="E38" s="139"/>
      <c r="J38" s="39"/>
      <c r="K38" s="39"/>
      <c r="L38" s="40"/>
      <c r="M38" s="40"/>
      <c r="N38" s="40"/>
      <c r="O38" s="19"/>
      <c r="P38" s="19"/>
      <c r="Q38" s="19"/>
      <c r="R38" s="19"/>
      <c r="S38" s="39"/>
      <c r="T38" s="39"/>
      <c r="U38" s="38" t="s">
        <v>1162</v>
      </c>
      <c r="V38" s="152">
        <f>SUM(V7:V37)</f>
        <v>0</v>
      </c>
      <c r="Y38" s="12"/>
    </row>
    <row r="39" spans="2:25">
      <c r="B39" s="144" t="s">
        <v>133</v>
      </c>
      <c r="C39" s="158"/>
      <c r="D39" s="158"/>
      <c r="E39" s="495"/>
      <c r="I39" s="12"/>
      <c r="J39" s="107"/>
      <c r="K39" s="107"/>
      <c r="L39" s="125"/>
      <c r="M39" s="125"/>
      <c r="N39" s="125"/>
      <c r="O39" s="19"/>
      <c r="P39" s="19"/>
      <c r="Q39" s="19"/>
      <c r="R39" s="19"/>
      <c r="S39" s="107"/>
      <c r="T39" s="107"/>
      <c r="U39" s="107"/>
      <c r="Y39" s="12"/>
    </row>
    <row r="40" spans="2:25">
      <c r="B40" s="16" t="s">
        <v>1134</v>
      </c>
      <c r="C40" s="15" t="s">
        <v>1135</v>
      </c>
      <c r="D40" s="15" t="s">
        <v>1136</v>
      </c>
      <c r="E40" s="497"/>
      <c r="G40" s="19"/>
      <c r="H40" s="12"/>
      <c r="I40" s="12"/>
      <c r="J40" s="107"/>
      <c r="K40" s="107"/>
      <c r="L40" s="107"/>
      <c r="M40" s="107"/>
      <c r="N40" s="107"/>
      <c r="O40" s="12"/>
      <c r="S40" s="107"/>
      <c r="T40" s="107"/>
      <c r="U40" s="107"/>
      <c r="V40" s="12"/>
      <c r="X40" s="25"/>
      <c r="Y40" s="12"/>
    </row>
    <row r="41" spans="2:25">
      <c r="B41" s="16" t="s">
        <v>1235</v>
      </c>
      <c r="C41" s="15" t="s">
        <v>1235</v>
      </c>
      <c r="D41" s="15" t="s">
        <v>1236</v>
      </c>
      <c r="E41" s="497"/>
      <c r="H41" s="12"/>
      <c r="I41" s="12"/>
      <c r="J41" s="107"/>
      <c r="K41" s="107"/>
      <c r="L41" s="107"/>
      <c r="M41" s="107"/>
      <c r="N41" s="107"/>
      <c r="O41" s="12"/>
      <c r="S41" s="107"/>
      <c r="T41" s="107"/>
      <c r="U41" s="107"/>
      <c r="V41" s="12"/>
      <c r="X41" s="25"/>
      <c r="Y41" s="12"/>
    </row>
    <row r="42" spans="2:25">
      <c r="B42" s="16" t="s">
        <v>1237</v>
      </c>
      <c r="C42" s="15" t="s">
        <v>1238</v>
      </c>
      <c r="D42" s="15" t="s">
        <v>1239</v>
      </c>
      <c r="E42" s="497"/>
      <c r="J42" s="39"/>
      <c r="K42" s="39"/>
      <c r="L42" s="107"/>
      <c r="M42" s="107"/>
      <c r="N42" s="107"/>
      <c r="O42" s="12"/>
      <c r="S42" s="39"/>
      <c r="T42" s="39"/>
      <c r="U42" s="39"/>
      <c r="X42" s="25"/>
    </row>
    <row r="43" spans="2:25">
      <c r="B43" s="16"/>
      <c r="C43" s="15"/>
      <c r="D43" s="15"/>
      <c r="E43" s="503"/>
      <c r="J43" s="39"/>
      <c r="K43" s="39"/>
      <c r="L43" s="39"/>
      <c r="M43" s="39"/>
      <c r="S43" s="39"/>
      <c r="T43" s="39"/>
      <c r="U43" s="39"/>
      <c r="X43" s="25"/>
    </row>
    <row r="44" spans="2:25">
      <c r="E44" s="107"/>
      <c r="J44" s="39"/>
      <c r="K44" s="39"/>
      <c r="L44" s="39"/>
      <c r="M44" s="39"/>
      <c r="S44" s="39"/>
      <c r="T44" s="39"/>
      <c r="U44" s="39"/>
    </row>
    <row r="45" spans="2:25">
      <c r="E45" s="107"/>
      <c r="J45" s="39"/>
      <c r="K45" s="39"/>
      <c r="L45" s="39"/>
      <c r="M45" s="39"/>
      <c r="S45" s="39"/>
      <c r="T45" s="39"/>
      <c r="U45" s="39"/>
    </row>
    <row r="46" spans="2:25">
      <c r="C46" s="19"/>
      <c r="D46" s="19"/>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F03309BC-D3FA-4CF2-833B-D6D9A95FE1FB}" showGridLines="0" state="hidden">
      <pane xSplit="3" ySplit="5" topLeftCell="I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35:D36 D8:D17 D20:D32" xr:uid="{DBD1287B-6F0F-4A26-ABA8-794E694BD73F}">
      <formula1>Flow_units</formula1>
    </dataValidation>
    <dataValidation type="custom" allowBlank="1" showInputMessage="1" showErrorMessage="1" error="Please do not change this formula" prompt="Please do not change this formula" sqref="W4 V6:V1048576 V1:V4 R6:R19 P1:R4 O4 P21:P1048576 S5:V5 O6:O20 R23:R1048576 Q20:Q1048576 N1:N34 N37:N1048576" xr:uid="{9DD5289D-20D5-444B-BD08-115CC79F1FBF}">
      <formula1>"Please do not change this formula"</formula1>
    </dataValidation>
    <dataValidation type="custom" allowBlank="1" showInputMessage="1" showErrorMessage="1" error="Please do not change this formula" sqref="O5:R5" xr:uid="{7A700976-B405-4059-8B41-22D849399FB7}">
      <formula1>"Please do not change this formula"</formula1>
    </dataValidation>
    <dataValidation type="custom" allowBlank="1" showInputMessage="1" showErrorMessage="1" error="Please do not change" sqref="R20:R22" xr:uid="{E90C94AB-0046-464F-A4DB-4039B89FA8DA}">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4" xr:uid="{B87C84B0-74F7-40BC-B308-74FE1D565BFE}">
      <formula1>0</formula1>
    </dataValidation>
  </dataValidations>
  <hyperlinks>
    <hyperlink ref="I2:J2" location="'Biogas Feedstock Transport'!A1" display="Go to the next step of this pathway" xr:uid="{1DAE32C7-EFB6-4891-89C4-793D04193670}"/>
    <hyperlink ref="I2:K2" location="Biogas_Feedstock_Harvesting!A1" display="Go to the next step of this pathway" xr:uid="{659E4279-A7C8-486E-96F4-418D425AD763}"/>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0" id="{00000000-000E-0000-2300-000014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60" id="{F86659A0-06D3-4EAB-A350-0FC35C35BA46}">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0C5A8-F2C9-42A0-976C-03BEFF6F4FF1}">
  <sheetPr codeName="Sheet46">
    <tabColor rgb="FFFF9900"/>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42578125" customWidth="1"/>
    <col min="16" max="16" width="8.14062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4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1227</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IF(B10="", "", IF(D10="MWh/yr (LHV)", "Use column to right", "Enter data here"))</f>
        <v>Enter data here</v>
      </c>
      <c r="T10" s="35" t="str">
        <f t="shared" ref="T10"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ref="S11:S16" si="3">IF(B11="", "", IF(D11="MWh/yr (LHV)", "Use column to right", "Enter data here"))</f>
        <v>Enter data here</v>
      </c>
      <c r="T11" s="35" t="str">
        <f t="shared" ref="T11:T16" si="4">IF(B11="", "", IF(D11="MWh/yr (LHV)", "Enter data here", "Use column to left"))</f>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3"/>
        <v>Enter data here</v>
      </c>
      <c r="T12" s="35" t="str">
        <f t="shared" si="4"/>
        <v>Use column to left</v>
      </c>
      <c r="U12" s="35" t="s">
        <v>1148</v>
      </c>
      <c r="V12" s="240" t="str">
        <f t="shared" si="1"/>
        <v>Unfilled fields to left</v>
      </c>
      <c r="X12" s="25"/>
      <c r="Y12" s="12"/>
    </row>
    <row r="13" spans="1:29">
      <c r="B13" s="184" t="s">
        <v>1099</v>
      </c>
      <c r="C13" s="182"/>
      <c r="D13" s="177"/>
      <c r="E13" s="35"/>
      <c r="F13" s="21"/>
      <c r="G13" s="21"/>
      <c r="H13" s="20"/>
      <c r="I13" s="36"/>
      <c r="J13" s="298"/>
      <c r="K13" s="300"/>
      <c r="L13" s="300"/>
      <c r="M13" s="300"/>
      <c r="N13" s="240">
        <f t="shared" si="0"/>
        <v>0</v>
      </c>
      <c r="O13" s="12"/>
      <c r="S13" s="35" t="str">
        <f t="shared" si="3"/>
        <v>Enter data here</v>
      </c>
      <c r="T13" s="35" t="str">
        <f t="shared" si="4"/>
        <v>Use column to left</v>
      </c>
      <c r="U13" s="35" t="s">
        <v>1148</v>
      </c>
      <c r="V13" s="240" t="str">
        <f t="shared" si="1"/>
        <v>Unfilled fields to left</v>
      </c>
      <c r="X13" s="25"/>
      <c r="Y13" s="12"/>
    </row>
    <row r="14" spans="1:29">
      <c r="B14" s="184" t="s">
        <v>1099</v>
      </c>
      <c r="C14" s="182"/>
      <c r="D14" s="177"/>
      <c r="E14" s="35"/>
      <c r="F14" s="21"/>
      <c r="G14" s="245"/>
      <c r="H14" s="20"/>
      <c r="I14" s="36"/>
      <c r="J14" s="298"/>
      <c r="K14" s="300"/>
      <c r="L14" s="300"/>
      <c r="M14" s="300"/>
      <c r="N14" s="240">
        <f t="shared" si="0"/>
        <v>0</v>
      </c>
      <c r="O14" s="12"/>
      <c r="S14" s="35" t="str">
        <f t="shared" si="3"/>
        <v>Enter data here</v>
      </c>
      <c r="T14" s="35" t="str">
        <f t="shared" si="4"/>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S15" s="35" t="str">
        <f t="shared" si="3"/>
        <v>Enter data here</v>
      </c>
      <c r="T15" s="35" t="str">
        <f t="shared" si="4"/>
        <v>Use column to left</v>
      </c>
      <c r="U15" s="35" t="s">
        <v>1148</v>
      </c>
      <c r="V15" s="240" t="str">
        <f t="shared" si="1"/>
        <v>Unfilled fields to left</v>
      </c>
      <c r="X15" s="25"/>
      <c r="Y15" s="12"/>
    </row>
    <row r="16" spans="1:29">
      <c r="B16" s="184" t="s">
        <v>1150</v>
      </c>
      <c r="C16" s="182"/>
      <c r="D16" s="177"/>
      <c r="E16" s="35"/>
      <c r="F16" s="21"/>
      <c r="G16" s="21"/>
      <c r="H16" s="20"/>
      <c r="I16" s="36"/>
      <c r="J16" s="298"/>
      <c r="K16" s="300"/>
      <c r="L16" s="300"/>
      <c r="M16" s="300"/>
      <c r="N16" s="240">
        <f t="shared" si="0"/>
        <v>0</v>
      </c>
      <c r="O16" s="12"/>
      <c r="S16" s="35" t="str">
        <f t="shared" si="3"/>
        <v>Enter data here</v>
      </c>
      <c r="T16" s="35" t="str">
        <f t="shared" si="4"/>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S17" s="300"/>
      <c r="T17" s="298"/>
      <c r="U17" s="300"/>
      <c r="V17" s="240" t="str">
        <f t="shared" si="1"/>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1227</v>
      </c>
      <c r="D20" s="177" t="s">
        <v>425</v>
      </c>
      <c r="E20" s="35"/>
      <c r="F20" s="21"/>
      <c r="G20" s="21"/>
      <c r="H20" s="21"/>
      <c r="I20" s="21"/>
      <c r="J20" s="298"/>
      <c r="K20" s="304"/>
      <c r="L20" s="304"/>
      <c r="M20" s="304"/>
      <c r="N20" s="240">
        <f t="shared" ref="N20:N31" si="5">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5"/>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5"/>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S32" s="40"/>
      <c r="T32" s="40"/>
      <c r="U32" s="40"/>
      <c r="V32" s="40"/>
      <c r="Y32" s="12"/>
    </row>
    <row r="33" spans="2:25">
      <c r="D33" s="17"/>
      <c r="E33" s="139"/>
      <c r="J33" s="39"/>
      <c r="K33" s="39"/>
      <c r="L33" s="39"/>
      <c r="M33" s="39"/>
      <c r="O33" s="12"/>
      <c r="S33" s="39"/>
      <c r="T33" s="39"/>
      <c r="U33" s="38" t="s">
        <v>1162</v>
      </c>
      <c r="V33" s="152">
        <f>SUM(V7:V32)</f>
        <v>0</v>
      </c>
      <c r="Y33" s="12"/>
    </row>
    <row r="34" spans="2:25">
      <c r="B34" s="144" t="s">
        <v>133</v>
      </c>
      <c r="C34" s="158"/>
      <c r="D34" s="158"/>
      <c r="E34" s="495"/>
      <c r="I34" s="12"/>
      <c r="J34" s="107"/>
      <c r="K34" s="107"/>
      <c r="L34" s="107"/>
      <c r="M34" s="107"/>
      <c r="N34" s="107"/>
      <c r="O34" s="12"/>
      <c r="S34" s="107"/>
      <c r="T34" s="107"/>
      <c r="U34" s="107"/>
      <c r="Y34" s="12"/>
    </row>
    <row r="35" spans="2:25">
      <c r="B35" s="16" t="s">
        <v>1134</v>
      </c>
      <c r="C35" s="15" t="s">
        <v>1135</v>
      </c>
      <c r="D35" s="15" t="s">
        <v>1136</v>
      </c>
      <c r="E35" s="497"/>
      <c r="G35" s="19"/>
      <c r="H35" s="12"/>
      <c r="I35" s="12"/>
      <c r="J35" s="107"/>
      <c r="K35" s="107"/>
      <c r="L35" s="107"/>
      <c r="M35" s="107"/>
      <c r="N35" s="107"/>
      <c r="O35" s="12"/>
      <c r="S35" s="107"/>
      <c r="T35" s="107"/>
      <c r="U35" s="107"/>
      <c r="V35" s="12"/>
      <c r="X35" s="25"/>
      <c r="Y35" s="12"/>
    </row>
    <row r="36" spans="2:25">
      <c r="B36" s="16"/>
      <c r="C36" s="15"/>
      <c r="D36" s="15"/>
      <c r="E36" s="503"/>
      <c r="H36" s="12"/>
      <c r="I36" s="12"/>
      <c r="J36" s="107"/>
      <c r="K36" s="107"/>
      <c r="L36" s="107"/>
      <c r="M36" s="107"/>
      <c r="N36" s="107"/>
      <c r="O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P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P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6">
    <dataValidation type="list" allowBlank="1" showInputMessage="1" showErrorMessage="1" sqref="D9:D17 D20:D31" xr:uid="{4DFF4B8D-0A4D-4FC2-919D-5EEBE05073EF}">
      <formula1>Flow_units</formula1>
    </dataValidation>
    <dataValidation type="list" allowBlank="1" showInputMessage="1" showErrorMessage="1" sqref="D8" xr:uid="{E2ECF893-44C4-42EE-A18C-21F71844862A}">
      <formula1>"tonnes/yr, MWh/yr+$D$7"</formula1>
    </dataValidation>
    <dataValidation type="custom" allowBlank="1" showInputMessage="1" showErrorMessage="1" error="Please do not change this formula" prompt="Please do not change this formula" sqref="V6:V1048576 W4 V1:V4 R6:R19 P1:R4 Q23:R1048576 N1:N7 N18:N19 P21:P1048576 N32:N1048576 O4 O6:O19 S5:V5" xr:uid="{04B82457-3238-42EB-A551-48607D5686E6}">
      <formula1>"Please do not change this formula"</formula1>
    </dataValidation>
    <dataValidation type="custom" allowBlank="1" showInputMessage="1" showErrorMessage="1" error="Please do not change this formula" sqref="Q20:Q22 N8:N17 N20:N31 O20 O5:R5" xr:uid="{3900AC36-E3E9-46C2-AA28-9FB1808E3BED}">
      <formula1>"Please do not change this formula"</formula1>
    </dataValidation>
    <dataValidation type="custom" allowBlank="1" showInputMessage="1" showErrorMessage="1" error="Please do not change" sqref="R20:R22" xr:uid="{B09934E2-0A32-4BB4-BDA7-00FBC815D3E4}">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6AE3B9DF-C18B-4747-9346-C381A2AC81CE}">
      <formula1>0</formula1>
    </dataValidation>
  </dataValidations>
  <hyperlinks>
    <hyperlink ref="I2:J2" location="'Biogas Feedstock Transport'!A1" display="Go to the next step of this pathway" xr:uid="{20B66EBB-0521-42D2-B8F7-1134A0923C6C}"/>
    <hyperlink ref="I2:K2" location="Biogas_Feedstock_Collection!A1" display="Go to the next step of this pathway" xr:uid="{3D75FA98-2C90-4FED-B0C8-6530C5491C99}"/>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86" id="{00000000-000E-0000-2400-0000BA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87" id="{C3953134-4FA2-4B4B-A31B-BA6D9C4AEF89}">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0501C-FA6C-472A-8A0D-74000F10D2E4}">
  <sheetPr codeName="Sheet24">
    <tabColor rgb="FFFF9900"/>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42578125" customWidth="1"/>
    <col min="16" max="16" width="8.14062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45" customHeight="1">
      <c r="B2" s="80" t="str">
        <f>IF(AND(GHG_BIOMETHANE_REFORM!$D$5="Default",Master_Switch="On"),"Default data selected for this step, move to the next step of the pathway","")</f>
        <v/>
      </c>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1240</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IF(B10="", "", IF(D10="MWh/yr (LHV)", "Use column to right", "Enter data here"))</f>
        <v>Enter data here</v>
      </c>
      <c r="T10" s="35" t="str">
        <f t="shared" ref="T10"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ref="S11:S16" si="3">IF(B11="", "", IF(D11="MWh/yr (LHV)", "Use column to right", "Enter data here"))</f>
        <v>Enter data here</v>
      </c>
      <c r="T11" s="35" t="str">
        <f t="shared" ref="T11:T16" si="4">IF(B11="", "", IF(D11="MWh/yr (LHV)", "Enter data here", "Use column to left"))</f>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3"/>
        <v>Enter data here</v>
      </c>
      <c r="T12" s="35" t="str">
        <f t="shared" si="4"/>
        <v>Use column to left</v>
      </c>
      <c r="U12" s="35" t="s">
        <v>1148</v>
      </c>
      <c r="V12" s="240" t="str">
        <f t="shared" si="1"/>
        <v>Unfilled fields to left</v>
      </c>
      <c r="X12" s="25"/>
      <c r="Y12" s="12"/>
    </row>
    <row r="13" spans="1:29">
      <c r="B13" s="184" t="s">
        <v>1099</v>
      </c>
      <c r="C13" s="182"/>
      <c r="D13" s="177"/>
      <c r="E13" s="35"/>
      <c r="F13" s="21"/>
      <c r="G13" s="21"/>
      <c r="H13" s="20"/>
      <c r="I13" s="36"/>
      <c r="J13" s="298"/>
      <c r="K13" s="300"/>
      <c r="L13" s="300"/>
      <c r="M13" s="300"/>
      <c r="N13" s="240">
        <f t="shared" si="0"/>
        <v>0</v>
      </c>
      <c r="O13" s="12"/>
      <c r="S13" s="35" t="str">
        <f t="shared" si="3"/>
        <v>Enter data here</v>
      </c>
      <c r="T13" s="35" t="str">
        <f t="shared" si="4"/>
        <v>Use column to left</v>
      </c>
      <c r="U13" s="35" t="s">
        <v>1148</v>
      </c>
      <c r="V13" s="240" t="str">
        <f t="shared" si="1"/>
        <v>Unfilled fields to left</v>
      </c>
      <c r="X13" s="25"/>
      <c r="Y13" s="12"/>
    </row>
    <row r="14" spans="1:29">
      <c r="B14" s="184" t="s">
        <v>1099</v>
      </c>
      <c r="C14" s="182"/>
      <c r="D14" s="177"/>
      <c r="E14" s="35"/>
      <c r="F14" s="21"/>
      <c r="G14" s="21"/>
      <c r="H14" s="20"/>
      <c r="I14" s="36"/>
      <c r="J14" s="298"/>
      <c r="K14" s="300"/>
      <c r="L14" s="300"/>
      <c r="M14" s="300"/>
      <c r="N14" s="240">
        <f t="shared" si="0"/>
        <v>0</v>
      </c>
      <c r="O14" s="12"/>
      <c r="S14" s="35" t="str">
        <f t="shared" si="3"/>
        <v>Enter data here</v>
      </c>
      <c r="T14" s="35" t="str">
        <f t="shared" si="4"/>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S15" s="35" t="str">
        <f t="shared" si="3"/>
        <v>Enter data here</v>
      </c>
      <c r="T15" s="35" t="str">
        <f t="shared" si="4"/>
        <v>Use column to left</v>
      </c>
      <c r="U15" s="35" t="s">
        <v>1148</v>
      </c>
      <c r="V15" s="240" t="str">
        <f t="shared" si="1"/>
        <v>Unfilled fields to left</v>
      </c>
      <c r="X15" s="25"/>
      <c r="Y15" s="12"/>
    </row>
    <row r="16" spans="1:29">
      <c r="B16" s="184" t="s">
        <v>1150</v>
      </c>
      <c r="C16" s="15"/>
      <c r="D16" s="177"/>
      <c r="E16" s="35"/>
      <c r="F16" s="21"/>
      <c r="G16" s="21"/>
      <c r="H16" s="20"/>
      <c r="I16" s="36"/>
      <c r="J16" s="298"/>
      <c r="K16" s="300"/>
      <c r="L16" s="300"/>
      <c r="M16" s="300"/>
      <c r="N16" s="240">
        <f t="shared" si="0"/>
        <v>0</v>
      </c>
      <c r="O16" s="12"/>
      <c r="S16" s="35" t="str">
        <f t="shared" si="3"/>
        <v>Enter data here</v>
      </c>
      <c r="T16" s="35" t="str">
        <f t="shared" si="4"/>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S17" s="300"/>
      <c r="T17" s="298"/>
      <c r="U17" s="300"/>
      <c r="V17" s="240" t="str">
        <f t="shared" si="1"/>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1240</v>
      </c>
      <c r="D20" s="177" t="s">
        <v>425</v>
      </c>
      <c r="E20" s="35"/>
      <c r="F20" s="21"/>
      <c r="G20" s="21"/>
      <c r="H20" s="21"/>
      <c r="I20" s="21"/>
      <c r="J20" s="298"/>
      <c r="K20" s="304"/>
      <c r="L20" s="304"/>
      <c r="M20" s="304"/>
      <c r="N20" s="240">
        <f t="shared" ref="N20:N31" si="5">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5"/>
        <v>0</v>
      </c>
      <c r="O27" s="12"/>
      <c r="P27" s="12"/>
      <c r="Q27" s="12"/>
      <c r="R27" s="12"/>
      <c r="S27" s="298">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5"/>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S32" s="40"/>
      <c r="T32" s="40"/>
      <c r="U32" s="40"/>
      <c r="V32" s="40"/>
      <c r="Y32" s="12"/>
    </row>
    <row r="33" spans="2:25">
      <c r="D33" s="17"/>
      <c r="E33" s="139"/>
      <c r="J33" s="39"/>
      <c r="K33" s="39"/>
      <c r="L33" s="39"/>
      <c r="M33" s="39"/>
      <c r="O33" s="12"/>
      <c r="S33" s="39"/>
      <c r="T33" s="39"/>
      <c r="U33" s="38" t="s">
        <v>1162</v>
      </c>
      <c r="V33" s="152">
        <f>SUM(V7:V32)</f>
        <v>0</v>
      </c>
      <c r="Y33" s="12"/>
    </row>
    <row r="34" spans="2:25">
      <c r="B34" s="144" t="s">
        <v>133</v>
      </c>
      <c r="C34" s="158"/>
      <c r="D34" s="158"/>
      <c r="E34" s="495"/>
      <c r="I34" s="12"/>
      <c r="J34" s="107"/>
      <c r="K34" s="107"/>
      <c r="L34" s="107"/>
      <c r="M34" s="107"/>
      <c r="N34" s="107"/>
      <c r="O34" s="12"/>
      <c r="S34" s="107"/>
      <c r="T34" s="107"/>
      <c r="U34" s="107"/>
      <c r="Y34" s="12"/>
    </row>
    <row r="35" spans="2:25">
      <c r="B35" s="16" t="s">
        <v>1134</v>
      </c>
      <c r="C35" s="15" t="s">
        <v>1135</v>
      </c>
      <c r="D35" s="15" t="s">
        <v>1136</v>
      </c>
      <c r="E35" s="497"/>
      <c r="G35" s="19"/>
      <c r="H35" s="12"/>
      <c r="I35" s="12"/>
      <c r="J35" s="107"/>
      <c r="K35" s="107"/>
      <c r="L35" s="107"/>
      <c r="M35" s="107"/>
      <c r="N35" s="107"/>
      <c r="O35" s="12"/>
      <c r="S35" s="107"/>
      <c r="T35" s="107"/>
      <c r="U35" s="107"/>
      <c r="V35" s="12"/>
      <c r="X35" s="25"/>
      <c r="Y35" s="12"/>
    </row>
    <row r="36" spans="2:25">
      <c r="B36" s="16"/>
      <c r="C36" s="15"/>
      <c r="D36" s="15"/>
      <c r="E36" s="503"/>
      <c r="H36" s="12"/>
      <c r="I36" s="12"/>
      <c r="J36" s="107"/>
      <c r="K36" s="107"/>
      <c r="L36" s="107"/>
      <c r="M36" s="107"/>
      <c r="N36" s="107"/>
      <c r="O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G18"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G18"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EC0CFA44-26CE-4002-AF0C-1B44CABD9F5C}">
      <formula1>Flow_units</formula1>
    </dataValidation>
    <dataValidation type="custom" allowBlank="1" showInputMessage="1" showErrorMessage="1" error="Please do not change this formula" prompt="Please do not change this formula" sqref="V6:V1048576 W4 V1:V4 R6:R19 P1:R4 Q23:R1048576 N1:N7 N18:N19 P21:P1048576 N32:N1048576 O4 O6:O19 S5:V5" xr:uid="{1537DE9B-1C2F-4A19-A70E-5B165B93CCFA}">
      <formula1>"Please do not change this formula"</formula1>
    </dataValidation>
    <dataValidation type="custom" allowBlank="1" showInputMessage="1" showErrorMessage="1" error="Please do not change this formula" sqref="Q20:Q22 N8:N17 N20:N31 O20 O5:R5" xr:uid="{CE3AC6FE-8B21-4E29-88D3-229BB438702D}">
      <formula1>"Please do not change this formula"</formula1>
    </dataValidation>
    <dataValidation type="custom" allowBlank="1" showInputMessage="1" showErrorMessage="1" error="Please do not change" sqref="R20:R22" xr:uid="{0A614110-4339-451D-A70F-4B7EAEC5D5F2}">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75D02796-C31B-437F-BDD2-A3799894A238}">
      <formula1>0</formula1>
    </dataValidation>
  </dataValidations>
  <hyperlinks>
    <hyperlink ref="I2:J2" location="'Biogas Feedstock Transport'!A1" display="Go to the next step of this pathway" xr:uid="{E4EABEAE-1E61-4115-85B7-3DF4AA74CEA5}"/>
    <hyperlink ref="I2:K2" location="Biogas_Feedstock_Transport!A1" display="Go to the next step of this pathway" xr:uid="{6DCA5848-89E2-4509-84A4-9091B947A448}"/>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500-000001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1" id="{00000000-000E-0000-1C00-000014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E1CF8-649C-4E14-9171-DC0132C95501}">
  <sheetPr codeName="Sheet25">
    <tabColor rgb="FFFF9900"/>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45" customHeight="1">
      <c r="B2" s="80" t="str">
        <f>IF(AND(GHG_BIOMETHANE_REFORM!$D$5="Default",Master_Switch="On"),"Default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1240</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IF(B10="", "", IF(D10="MWh/yr (LHV)", "Use column to right", "Enter data here"))</f>
        <v>Enter data here</v>
      </c>
      <c r="T10" s="35" t="str">
        <f t="shared" ref="T10"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4"/>
      <c r="G11" s="21"/>
      <c r="H11" s="20"/>
      <c r="I11" s="36"/>
      <c r="J11" s="298"/>
      <c r="K11" s="300"/>
      <c r="L11" s="300"/>
      <c r="M11" s="300"/>
      <c r="N11" s="240">
        <f t="shared" si="0"/>
        <v>0</v>
      </c>
      <c r="O11" s="12"/>
      <c r="P11" s="12"/>
      <c r="S11" s="35" t="str">
        <f t="shared" ref="S11:S16" si="3">IF(B11="", "", IF(D11="MWh/yr (LHV)", "Use column to right", "Enter data here"))</f>
        <v>Enter data here</v>
      </c>
      <c r="T11" s="35" t="str">
        <f t="shared" ref="T11:T16" si="4">IF(B11="", "", IF(D11="MWh/yr (LHV)", "Enter data here", "Use column to left"))</f>
        <v>Use column to left</v>
      </c>
      <c r="U11" s="35" t="s">
        <v>1148</v>
      </c>
      <c r="V11" s="240" t="str">
        <f t="shared" si="1"/>
        <v>Unfilled fields to left</v>
      </c>
      <c r="X11" s="25"/>
      <c r="Y11" s="12"/>
    </row>
    <row r="12" spans="1:29">
      <c r="B12" s="184" t="s">
        <v>1090</v>
      </c>
      <c r="C12" s="182" t="s">
        <v>1058</v>
      </c>
      <c r="D12" s="177" t="s">
        <v>425</v>
      </c>
      <c r="E12" s="35"/>
      <c r="F12" s="21"/>
      <c r="G12" s="21"/>
      <c r="H12" s="20"/>
      <c r="I12" s="36"/>
      <c r="J12" s="298"/>
      <c r="K12" s="300"/>
      <c r="L12" s="300"/>
      <c r="M12" s="300"/>
      <c r="N12" s="240">
        <f t="shared" si="0"/>
        <v>0</v>
      </c>
      <c r="O12" s="12"/>
      <c r="P12" s="12"/>
      <c r="S12" s="35" t="str">
        <f t="shared" si="3"/>
        <v>Enter data here</v>
      </c>
      <c r="T12" s="35" t="str">
        <f t="shared" si="4"/>
        <v>Use column to left</v>
      </c>
      <c r="U12" s="35" t="s">
        <v>1148</v>
      </c>
      <c r="V12" s="240" t="str">
        <f t="shared" si="1"/>
        <v>Unfilled fields to left</v>
      </c>
      <c r="X12" s="25"/>
      <c r="Y12" s="12"/>
    </row>
    <row r="13" spans="1:29">
      <c r="B13" s="184" t="s">
        <v>1099</v>
      </c>
      <c r="C13" s="182" t="s">
        <v>1149</v>
      </c>
      <c r="D13" s="177" t="s">
        <v>425</v>
      </c>
      <c r="E13" s="35"/>
      <c r="F13" s="21"/>
      <c r="G13" s="21"/>
      <c r="H13" s="20"/>
      <c r="I13" s="36"/>
      <c r="J13" s="298"/>
      <c r="K13" s="300"/>
      <c r="L13" s="300"/>
      <c r="M13" s="300"/>
      <c r="N13" s="240">
        <f t="shared" si="0"/>
        <v>0</v>
      </c>
      <c r="O13" s="12"/>
      <c r="P13" s="12"/>
      <c r="S13" s="35" t="str">
        <f t="shared" si="3"/>
        <v>Enter data here</v>
      </c>
      <c r="T13" s="35" t="str">
        <f t="shared" si="4"/>
        <v>Use column to left</v>
      </c>
      <c r="U13" s="35" t="s">
        <v>1148</v>
      </c>
      <c r="V13" s="240" t="str">
        <f t="shared" si="1"/>
        <v>Unfilled fields to left</v>
      </c>
      <c r="X13" s="25"/>
      <c r="Y13" s="12"/>
    </row>
    <row r="14" spans="1:29">
      <c r="B14" s="184" t="s">
        <v>1099</v>
      </c>
      <c r="C14" s="182"/>
      <c r="D14" s="177"/>
      <c r="E14" s="35"/>
      <c r="F14" s="21"/>
      <c r="G14" s="21"/>
      <c r="H14" s="20"/>
      <c r="I14" s="36"/>
      <c r="J14" s="298"/>
      <c r="K14" s="300"/>
      <c r="L14" s="300"/>
      <c r="M14" s="300"/>
      <c r="N14" s="240">
        <f t="shared" si="0"/>
        <v>0</v>
      </c>
      <c r="O14" s="12"/>
      <c r="P14" s="12"/>
      <c r="S14" s="35" t="str">
        <f t="shared" si="3"/>
        <v>Enter data here</v>
      </c>
      <c r="T14" s="35" t="str">
        <f t="shared" si="4"/>
        <v>Use column to left</v>
      </c>
      <c r="U14" s="35" t="s">
        <v>1148</v>
      </c>
      <c r="V14" s="240" t="str">
        <f t="shared" si="1"/>
        <v>Unfilled fields to left</v>
      </c>
      <c r="X14" s="25"/>
      <c r="Y14" s="12"/>
    </row>
    <row r="15" spans="1:29">
      <c r="B15" s="184" t="s">
        <v>1150</v>
      </c>
      <c r="C15" s="182" t="s">
        <v>1103</v>
      </c>
      <c r="D15" s="177" t="s">
        <v>425</v>
      </c>
      <c r="E15" s="35"/>
      <c r="F15" s="21"/>
      <c r="G15" s="21"/>
      <c r="H15" s="20"/>
      <c r="I15" s="36"/>
      <c r="J15" s="298"/>
      <c r="K15" s="300"/>
      <c r="L15" s="300"/>
      <c r="M15" s="300"/>
      <c r="N15" s="240">
        <f t="shared" si="0"/>
        <v>0</v>
      </c>
      <c r="O15" s="12"/>
      <c r="P15" s="12"/>
      <c r="S15" s="35" t="str">
        <f t="shared" si="3"/>
        <v>Enter data here</v>
      </c>
      <c r="T15" s="35" t="str">
        <f t="shared" si="4"/>
        <v>Use column to left</v>
      </c>
      <c r="U15" s="35" t="s">
        <v>1148</v>
      </c>
      <c r="V15" s="240" t="str">
        <f t="shared" si="1"/>
        <v>Unfilled fields to left</v>
      </c>
      <c r="X15" s="25"/>
      <c r="Y15" s="12"/>
    </row>
    <row r="16" spans="1:29">
      <c r="B16" s="184" t="s">
        <v>1150</v>
      </c>
      <c r="C16" s="15"/>
      <c r="D16" s="177"/>
      <c r="E16" s="35"/>
      <c r="F16" s="21"/>
      <c r="G16" s="21"/>
      <c r="H16" s="20"/>
      <c r="I16" s="36"/>
      <c r="J16" s="298"/>
      <c r="K16" s="300"/>
      <c r="L16" s="300"/>
      <c r="M16" s="300"/>
      <c r="N16" s="240">
        <f t="shared" si="0"/>
        <v>0</v>
      </c>
      <c r="O16" s="12"/>
      <c r="P16" s="12"/>
      <c r="S16" s="35" t="str">
        <f t="shared" si="3"/>
        <v>Enter data here</v>
      </c>
      <c r="T16" s="35" t="str">
        <f t="shared" si="4"/>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00"/>
      <c r="T17" s="298"/>
      <c r="U17" s="300"/>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1240</v>
      </c>
      <c r="D20" s="177" t="s">
        <v>425</v>
      </c>
      <c r="E20" s="35"/>
      <c r="F20" s="21"/>
      <c r="G20" s="21"/>
      <c r="H20" s="21"/>
      <c r="I20" s="21"/>
      <c r="J20" s="298"/>
      <c r="K20" s="304"/>
      <c r="L20" s="304"/>
      <c r="M20" s="304"/>
      <c r="N20" s="240">
        <f t="shared" ref="N20:N31" si="5">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5"/>
        <v>0</v>
      </c>
      <c r="O27" s="12"/>
      <c r="P27" s="12"/>
      <c r="Q27" s="12"/>
      <c r="R27" s="12"/>
      <c r="S27" s="298">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5"/>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W33" s="91"/>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C6F404F1-1F85-42EB-B2D8-58635D8D1B63}">
      <formula1>Flow_units</formula1>
    </dataValidation>
    <dataValidation type="custom" allowBlank="1" showInputMessage="1" showErrorMessage="1" error="Please do not change this formula" prompt="Please do not change this formula" sqref="V6:V1048576 W4 V1:V4 S5:V5" xr:uid="{17F28FCC-D53E-4252-B366-D802633E8088}">
      <formula1>"Please do not change this formula"</formula1>
    </dataValidation>
    <dataValidation type="custom" allowBlank="1" showInputMessage="1" showErrorMessage="1" error="Please do not change this formula" sqref="R6:R19 R23:R1048576 N1:N1048576 O1:R5 O6:Q1048576" xr:uid="{E836F43C-D732-4BB5-BE9C-9AA8CFD219FF}">
      <formula1>"Please do not change this formula"</formula1>
    </dataValidation>
    <dataValidation type="custom" allowBlank="1" showInputMessage="1" showErrorMessage="1" error="Please do not change" sqref="R20:R22" xr:uid="{31ECB658-D653-444B-B285-D7E64A42B6E7}">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9AA081F3-BC20-4B22-8A46-B7B85E0CA5B3}">
      <formula1>0</formula1>
    </dataValidation>
  </dataValidations>
  <hyperlinks>
    <hyperlink ref="I2:J2" location="'Biogas+Biomethane Upgrading'!A1" display="Go to the next step of this pathway" xr:uid="{A381316F-B512-470C-ADA2-9735850A4A2F}"/>
    <hyperlink ref="I2:K2" location="'Biogas+Biomethane_Upgrading'!A1" display="Go to the next step of this pathway" xr:uid="{1E95A4E4-F0E4-4F7E-9AC3-72463EE5C999}"/>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600-000001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1" id="{00000000-000E-0000-1D00-000014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566708-80EF-4BDC-A44F-BE11839D89B1}">
  <sheetPr codeName="Sheet43">
    <tabColor theme="8" tint="0.59999389629810485"/>
  </sheetPr>
  <dimension ref="B1:W112"/>
  <sheetViews>
    <sheetView showGridLines="0" zoomScaleNormal="100" workbookViewId="0"/>
  </sheetViews>
  <sheetFormatPr defaultRowHeight="14.45"/>
  <sheetData>
    <row r="1" spans="2:23" ht="15" thickBot="1">
      <c r="B1" s="3" t="s">
        <v>124</v>
      </c>
      <c r="C1" s="3"/>
      <c r="D1" s="3"/>
    </row>
    <row r="2" spans="2:23" ht="15.6" thickTop="1" thickBot="1">
      <c r="B2" s="175" t="s">
        <v>125</v>
      </c>
      <c r="C2" s="175"/>
      <c r="D2" s="175"/>
      <c r="E2" s="175"/>
      <c r="F2" s="175"/>
      <c r="G2" s="175"/>
      <c r="H2" s="175"/>
      <c r="I2" s="175"/>
      <c r="J2" s="175"/>
      <c r="K2" s="175"/>
      <c r="L2" s="175"/>
      <c r="M2" s="175"/>
    </row>
    <row r="4" spans="2:23">
      <c r="B4" s="30" t="s">
        <v>107</v>
      </c>
    </row>
    <row r="5" spans="2:23">
      <c r="B5" s="32"/>
      <c r="C5" s="651" t="s">
        <v>108</v>
      </c>
      <c r="D5" s="652"/>
      <c r="E5" s="652"/>
      <c r="F5" s="652"/>
      <c r="G5" s="652"/>
      <c r="H5" s="653"/>
    </row>
    <row r="6" spans="2:23">
      <c r="B6" s="179"/>
      <c r="C6" s="651" t="s">
        <v>109</v>
      </c>
      <c r="D6" s="652"/>
      <c r="E6" s="652"/>
      <c r="F6" s="652"/>
      <c r="G6" s="652"/>
      <c r="H6" s="653"/>
    </row>
    <row r="7" spans="2:23">
      <c r="B7" s="57"/>
      <c r="C7" s="651" t="s">
        <v>110</v>
      </c>
      <c r="D7" s="652"/>
      <c r="E7" s="652"/>
      <c r="F7" s="652"/>
      <c r="G7" s="652"/>
      <c r="H7" s="653"/>
    </row>
    <row r="8" spans="2:23">
      <c r="D8" s="176"/>
      <c r="E8" s="176"/>
      <c r="F8" s="176"/>
      <c r="G8" s="176"/>
      <c r="H8" s="176"/>
    </row>
    <row r="9" spans="2:23" ht="15" thickBot="1">
      <c r="B9" s="174" t="s">
        <v>126</v>
      </c>
      <c r="C9" s="174"/>
      <c r="D9" s="174"/>
      <c r="E9" s="176"/>
    </row>
    <row r="10" spans="2:23" ht="15" thickTop="1"/>
    <row r="11" spans="2:23" ht="30.6" customHeight="1">
      <c r="B11" s="647" t="s">
        <v>127</v>
      </c>
      <c r="C11" s="647"/>
      <c r="D11" s="647"/>
      <c r="E11" s="647"/>
      <c r="F11" s="647"/>
      <c r="G11" s="647"/>
      <c r="H11" s="647"/>
      <c r="I11" s="647"/>
      <c r="J11" s="647"/>
      <c r="K11" s="647"/>
      <c r="L11" s="647"/>
      <c r="M11" s="647"/>
      <c r="N11" s="647"/>
      <c r="O11" s="647"/>
      <c r="P11" s="647"/>
      <c r="Q11" s="647"/>
      <c r="R11" s="647"/>
      <c r="S11" s="647"/>
      <c r="T11" s="647"/>
      <c r="U11" s="647"/>
      <c r="V11" s="647"/>
      <c r="W11" s="647"/>
    </row>
    <row r="37" spans="2:23" ht="114.75" customHeight="1">
      <c r="B37" s="647" t="s">
        <v>128</v>
      </c>
      <c r="C37" s="647"/>
      <c r="D37" s="647"/>
      <c r="E37" s="647"/>
      <c r="F37" s="647"/>
      <c r="G37" s="647"/>
      <c r="H37" s="647"/>
      <c r="I37" s="647"/>
      <c r="J37" s="647"/>
      <c r="K37" s="647"/>
      <c r="L37" s="647"/>
      <c r="M37" s="647"/>
      <c r="N37" s="647"/>
      <c r="O37" s="647"/>
      <c r="P37" s="647"/>
      <c r="Q37" s="647"/>
      <c r="R37" s="647"/>
      <c r="S37" s="647"/>
      <c r="T37" s="647"/>
      <c r="U37" s="647"/>
      <c r="V37" s="647"/>
      <c r="W37" s="647"/>
    </row>
    <row r="40" spans="2:23" ht="15" thickBot="1">
      <c r="B40" s="174" t="s">
        <v>129</v>
      </c>
      <c r="C40" s="174"/>
    </row>
    <row r="41" spans="2:23" ht="15" thickTop="1"/>
    <row r="57" spans="2:3" ht="15" thickBot="1">
      <c r="B57" s="174" t="s">
        <v>130</v>
      </c>
      <c r="C57" s="174"/>
    </row>
    <row r="58" spans="2:3" ht="15" thickTop="1"/>
    <row r="72" spans="2:8" ht="17.100000000000001" thickBot="1">
      <c r="B72" s="174" t="s">
        <v>131</v>
      </c>
      <c r="C72" s="174"/>
      <c r="D72" s="174"/>
      <c r="E72" s="174"/>
      <c r="F72" s="174"/>
      <c r="G72" s="174"/>
      <c r="H72" s="174"/>
    </row>
    <row r="73" spans="2:8" ht="15" thickTop="1"/>
    <row r="98" spans="2:4" ht="17.100000000000001" thickBot="1">
      <c r="B98" s="174" t="s">
        <v>132</v>
      </c>
      <c r="C98" s="174"/>
      <c r="D98" s="174"/>
    </row>
    <row r="99" spans="2:4" ht="15" thickTop="1"/>
    <row r="111" spans="2:4" ht="15" thickBot="1">
      <c r="B111" s="174" t="s">
        <v>133</v>
      </c>
      <c r="C111" s="174"/>
    </row>
    <row r="112" spans="2:4" ht="15" thickTop="1"/>
  </sheetData>
  <customSheetViews>
    <customSheetView guid="{F03309BC-D3FA-4CF2-833B-D6D9A95FE1FB}" showGridLines="0">
      <selection activeCell="D2" sqref="D2"/>
      <pageMargins left="0" right="0" top="0" bottom="0" header="0" footer="0"/>
    </customSheetView>
    <customSheetView guid="{EECBF9DF-6D77-4263-85DA-71E40216BADD}" showGridLines="0">
      <selection activeCell="D1" sqref="D1"/>
      <pageMargins left="0" right="0" top="0" bottom="0" header="0" footer="0"/>
    </customSheetView>
    <customSheetView guid="{1C16EB38-F785-4168-9938-104594734038}" showGridLines="0">
      <selection activeCell="D1" sqref="D1"/>
      <pageMargins left="0" right="0" top="0" bottom="0" header="0" footer="0"/>
    </customSheetView>
    <customSheetView guid="{0E935136-9A80-44B6-88D5-61E64D742049}" showGridLines="0">
      <selection activeCell="D1" sqref="D1"/>
      <pageMargins left="0" right="0" top="0" bottom="0" header="0" footer="0"/>
    </customSheetView>
    <customSheetView guid="{E6EFD927-84B2-4D06-BB59-59D9DF522DA2}" showGridLines="0">
      <selection activeCell="D1" sqref="D1"/>
      <pageMargins left="0" right="0" top="0" bottom="0" header="0" footer="0"/>
    </customSheetView>
    <customSheetView guid="{3F0A4FBA-5323-448F-A023-B3E14C54064C}" showGridLines="0">
      <selection activeCell="D2" sqref="D2"/>
      <pageMargins left="0" right="0" top="0" bottom="0" header="0" footer="0"/>
    </customSheetView>
    <customSheetView guid="{D97B1299-69D0-4EE0-B673-CCF74742F96B}">
      <selection activeCell="D2" sqref="D2"/>
      <pageMargins left="0" right="0" top="0" bottom="0" header="0" footer="0"/>
    </customSheetView>
    <customSheetView guid="{F468A2FD-7987-4A9D-8BAE-1AACE523607F}" showGridLines="0">
      <selection activeCell="D1" sqref="D1"/>
      <pageMargins left="0" right="0" top="0" bottom="0" header="0" footer="0"/>
    </customSheetView>
    <customSheetView guid="{2D920366-22B2-4182-A65D-0EDBE614FB37}" showGridLines="0">
      <pageMargins left="0" right="0" top="0" bottom="0" header="0" footer="0"/>
    </customSheetView>
  </customSheetViews>
  <mergeCells count="5">
    <mergeCell ref="C6:H6"/>
    <mergeCell ref="C7:H7"/>
    <mergeCell ref="C5:H5"/>
    <mergeCell ref="B11:W11"/>
    <mergeCell ref="B37:W37"/>
  </mergeCells>
  <pageMargins left="0" right="0" top="0" bottom="0" header="0" footer="0"/>
  <headerFooter>
    <oddHeader>&amp;C&amp;"Aptos"&amp;10&amp;K000000 OFFICIAL&amp;1#_x000D_</oddHeader>
    <oddFooter>&amp;C_x000D_&amp;1#&amp;"Aptos"&amp;10&amp;K000000 OFFICIAL</oddFooter>
  </headerFooter>
  <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A79EB-973B-484C-ACC9-120C53970D93}">
  <sheetPr codeName="Sheet26">
    <tabColor rgb="FFFF9900"/>
  </sheetPr>
  <dimension ref="A1:AC187"/>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7.85546875" customWidth="1"/>
    <col min="16" max="16" width="9.2851562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45" customHeight="1">
      <c r="B2" s="80" t="str">
        <f>IF(AND(GHG_BIOMETHANE_REFORM!D5="Default",Master_Switch="On"),"Default data selected for this step, move to the next step of the pathway","")</f>
        <v/>
      </c>
      <c r="E2" s="254"/>
      <c r="I2" s="735" t="s">
        <v>1141</v>
      </c>
      <c r="J2" s="737"/>
      <c r="K2" s="738"/>
      <c r="L2" s="39"/>
      <c r="M2" s="39"/>
    </row>
    <row r="3" spans="1:29" ht="15" customHeight="1">
      <c r="E3" s="254"/>
      <c r="L3" s="39"/>
      <c r="M3" s="39"/>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1240</v>
      </c>
      <c r="D8" s="177" t="s">
        <v>425</v>
      </c>
      <c r="E8" s="304"/>
      <c r="F8" s="21"/>
      <c r="G8" s="21"/>
      <c r="H8" s="20"/>
      <c r="I8" s="20"/>
      <c r="J8" s="300"/>
      <c r="K8" s="300"/>
      <c r="L8" s="300"/>
      <c r="M8" s="300"/>
      <c r="N8" s="240">
        <f t="shared" ref="N8:N17" si="0">IF($D8="MWh/yr (LHV)",$E8,$J8*$E8*(1-$L8)/Conversion_kWh_to_MJ)</f>
        <v>0</v>
      </c>
      <c r="O8" s="12"/>
      <c r="S8" s="107"/>
      <c r="T8" s="107"/>
      <c r="U8" s="107"/>
      <c r="V8" s="12"/>
      <c r="X8" s="24"/>
      <c r="Y8" s="12"/>
    </row>
    <row r="9" spans="1:29">
      <c r="B9" s="184" t="s">
        <v>1069</v>
      </c>
      <c r="C9" s="182" t="s">
        <v>1241</v>
      </c>
      <c r="D9" s="177" t="s">
        <v>447</v>
      </c>
      <c r="E9" s="304"/>
      <c r="F9" s="21"/>
      <c r="G9" s="21"/>
      <c r="H9" s="20"/>
      <c r="I9" s="459"/>
      <c r="J9" s="300"/>
      <c r="K9" s="300"/>
      <c r="L9" s="300"/>
      <c r="M9" s="300"/>
      <c r="N9" s="240">
        <f t="shared" si="0"/>
        <v>0</v>
      </c>
      <c r="O9" s="12"/>
      <c r="S9" s="35" t="str">
        <f t="shared" ref="S9:S16" si="1">IF(B9="", "", IF(D9="MWh/yr (LHV)", "Use column to right", "Enter data here"))</f>
        <v>Use column to right</v>
      </c>
      <c r="T9" s="35" t="str">
        <f>IF(B9="", "", IF(D9="MWh/yr (LHV)", "Enter data here", "Use column to left"))</f>
        <v>Enter data here</v>
      </c>
      <c r="U9" s="35" t="s">
        <v>1148</v>
      </c>
      <c r="V9" s="240" t="str">
        <f t="shared" ref="V9:V17" si="2">IFERROR(IF(D9="tonnes/yr", $S9*$E9/($N$20*3.6), $T9*$E9*3.6/($N$20*3.6)), "Unfilled fields to left")</f>
        <v>Unfilled fields to left</v>
      </c>
      <c r="X9" s="25"/>
      <c r="Y9" s="12"/>
    </row>
    <row r="10" spans="1:29">
      <c r="B10" s="184" t="s">
        <v>1069</v>
      </c>
      <c r="C10" s="182" t="s">
        <v>1242</v>
      </c>
      <c r="D10" s="177" t="s">
        <v>447</v>
      </c>
      <c r="E10" s="304"/>
      <c r="F10" s="21"/>
      <c r="G10" s="21"/>
      <c r="H10" s="20"/>
      <c r="I10" s="459"/>
      <c r="J10" s="300"/>
      <c r="K10" s="300"/>
      <c r="L10" s="300"/>
      <c r="M10" s="300"/>
      <c r="N10" s="240">
        <f t="shared" si="0"/>
        <v>0</v>
      </c>
      <c r="O10" s="12"/>
      <c r="S10" s="35" t="str">
        <f t="shared" si="1"/>
        <v>Use column to right</v>
      </c>
      <c r="T10" s="35" t="e">
        <f>INDEX(Proj_grid_intensity_kWh,MATCH(Operations_year,Proj_grid_year,0))/Conversion_kWh_to_MJ</f>
        <v>#N/A</v>
      </c>
      <c r="U10" s="35" t="s">
        <v>1112</v>
      </c>
      <c r="V10" s="240" t="str">
        <f t="shared" si="2"/>
        <v>Unfilled fields to left</v>
      </c>
      <c r="X10" s="25"/>
      <c r="Y10" s="12"/>
    </row>
    <row r="11" spans="1:29">
      <c r="B11" s="184" t="s">
        <v>1069</v>
      </c>
      <c r="C11" s="182" t="s">
        <v>1243</v>
      </c>
      <c r="D11" s="177" t="s">
        <v>447</v>
      </c>
      <c r="E11" s="304"/>
      <c r="F11" s="21"/>
      <c r="G11" s="21"/>
      <c r="H11" s="20"/>
      <c r="I11" s="459"/>
      <c r="J11" s="300"/>
      <c r="K11" s="300"/>
      <c r="L11" s="300"/>
      <c r="M11" s="300"/>
      <c r="N11" s="240">
        <f t="shared" si="0"/>
        <v>0</v>
      </c>
      <c r="O11" s="12"/>
      <c r="S11" s="35" t="str">
        <f t="shared" si="1"/>
        <v>Use column to right</v>
      </c>
      <c r="T11" s="35" t="e">
        <f>INDEX(Proj_grid_intensity_kWh,MATCH(Operations_year,Proj_grid_year,0))/Conversion_kWh_to_MJ</f>
        <v>#N/A</v>
      </c>
      <c r="U11" s="35" t="s">
        <v>1112</v>
      </c>
      <c r="V11" s="240" t="str">
        <f t="shared" si="2"/>
        <v>Unfilled fields to left</v>
      </c>
      <c r="X11" s="25"/>
      <c r="Y11" s="12"/>
    </row>
    <row r="12" spans="1:29">
      <c r="B12" s="184" t="s">
        <v>1069</v>
      </c>
      <c r="C12" s="182" t="s">
        <v>1244</v>
      </c>
      <c r="D12" s="177" t="s">
        <v>447</v>
      </c>
      <c r="E12" s="304"/>
      <c r="F12" s="21"/>
      <c r="G12" s="21"/>
      <c r="H12" s="20"/>
      <c r="I12" s="459"/>
      <c r="J12" s="300"/>
      <c r="K12" s="300"/>
      <c r="L12" s="300"/>
      <c r="M12" s="300"/>
      <c r="N12" s="240">
        <f t="shared" si="0"/>
        <v>0</v>
      </c>
      <c r="O12" s="12"/>
      <c r="S12" s="35" t="str">
        <f t="shared" si="1"/>
        <v>Use column to right</v>
      </c>
      <c r="T12" s="35" t="e">
        <f>INDEX(Proj_grid_intensity_kWh,MATCH(Operations_year,Proj_grid_year,0))/Conversion_kWh_to_MJ</f>
        <v>#N/A</v>
      </c>
      <c r="U12" s="35" t="s">
        <v>1112</v>
      </c>
      <c r="V12" s="240" t="str">
        <f t="shared" si="2"/>
        <v>Unfilled fields to left</v>
      </c>
      <c r="W12" s="107"/>
      <c r="X12" s="25"/>
      <c r="Y12" s="12"/>
    </row>
    <row r="13" spans="1:29">
      <c r="B13" s="184" t="s">
        <v>1090</v>
      </c>
      <c r="C13" s="182" t="s">
        <v>1091</v>
      </c>
      <c r="D13" s="177" t="s">
        <v>425</v>
      </c>
      <c r="E13" s="304"/>
      <c r="F13" s="21"/>
      <c r="G13" s="21"/>
      <c r="H13" s="20"/>
      <c r="I13" s="459"/>
      <c r="J13" s="300"/>
      <c r="K13" s="300"/>
      <c r="L13" s="300"/>
      <c r="M13" s="300"/>
      <c r="N13" s="240">
        <f t="shared" si="0"/>
        <v>0</v>
      </c>
      <c r="O13" s="12"/>
      <c r="S13" s="35" t="str">
        <f t="shared" si="1"/>
        <v>Enter data here</v>
      </c>
      <c r="T13" s="35" t="str">
        <f>IF(B13="", "", IF(D13="MWh/yr (LHV)", "Enter data here", "Use column to left"))</f>
        <v>Use column to left</v>
      </c>
      <c r="U13" s="35" t="s">
        <v>1148</v>
      </c>
      <c r="V13" s="240" t="str">
        <f t="shared" si="2"/>
        <v>Unfilled fields to left</v>
      </c>
      <c r="X13" s="25"/>
      <c r="Y13" s="12"/>
    </row>
    <row r="14" spans="1:29">
      <c r="B14" s="184" t="s">
        <v>1090</v>
      </c>
      <c r="C14" s="182" t="s">
        <v>1058</v>
      </c>
      <c r="D14" s="177" t="s">
        <v>425</v>
      </c>
      <c r="E14" s="304"/>
      <c r="F14" s="21"/>
      <c r="G14" s="21"/>
      <c r="H14" s="20"/>
      <c r="I14" s="459"/>
      <c r="J14" s="300"/>
      <c r="K14" s="300"/>
      <c r="L14" s="300"/>
      <c r="M14" s="300"/>
      <c r="N14" s="240">
        <f t="shared" si="0"/>
        <v>0</v>
      </c>
      <c r="O14" s="12"/>
      <c r="S14" s="35" t="str">
        <f t="shared" si="1"/>
        <v>Enter data here</v>
      </c>
      <c r="T14" s="35" t="str">
        <f>IF(B14="", "", IF(D14="MWh/yr (LHV)", "Enter data here", "Use column to left"))</f>
        <v>Use column to left</v>
      </c>
      <c r="U14" s="35" t="s">
        <v>1148</v>
      </c>
      <c r="V14" s="240" t="str">
        <f t="shared" si="2"/>
        <v>Unfilled fields to left</v>
      </c>
      <c r="X14" s="25"/>
      <c r="Y14" s="12"/>
    </row>
    <row r="15" spans="1:29">
      <c r="B15" s="184" t="s">
        <v>1099</v>
      </c>
      <c r="C15" s="182" t="s">
        <v>1149</v>
      </c>
      <c r="D15" s="177" t="s">
        <v>425</v>
      </c>
      <c r="E15" s="304"/>
      <c r="F15" s="21"/>
      <c r="G15" s="21"/>
      <c r="H15" s="20"/>
      <c r="I15" s="459"/>
      <c r="J15" s="300"/>
      <c r="K15" s="300"/>
      <c r="L15" s="300"/>
      <c r="M15" s="300"/>
      <c r="N15" s="240">
        <f t="shared" si="0"/>
        <v>0</v>
      </c>
      <c r="O15" s="12"/>
      <c r="S15" s="35" t="str">
        <f t="shared" si="1"/>
        <v>Enter data here</v>
      </c>
      <c r="T15" s="35" t="str">
        <f>IF(B15="", "", IF(D15="MWh/yr (LHV)", "Enter data here", "Use column to left"))</f>
        <v>Use column to left</v>
      </c>
      <c r="U15" s="35" t="s">
        <v>1148</v>
      </c>
      <c r="V15" s="240" t="str">
        <f t="shared" si="2"/>
        <v>Unfilled fields to left</v>
      </c>
      <c r="X15" s="25"/>
      <c r="Y15" s="12"/>
    </row>
    <row r="16" spans="1:29">
      <c r="B16" s="184" t="s">
        <v>1150</v>
      </c>
      <c r="C16" s="182" t="s">
        <v>1103</v>
      </c>
      <c r="D16" s="177" t="s">
        <v>425</v>
      </c>
      <c r="E16" s="304"/>
      <c r="F16" s="21"/>
      <c r="G16" s="21"/>
      <c r="H16" s="20"/>
      <c r="I16" s="459"/>
      <c r="J16" s="300"/>
      <c r="K16" s="300"/>
      <c r="L16" s="300"/>
      <c r="M16" s="300"/>
      <c r="N16" s="240">
        <f t="shared" si="0"/>
        <v>0</v>
      </c>
      <c r="O16" s="12"/>
      <c r="S16" s="35" t="str">
        <f t="shared" si="1"/>
        <v>Enter data here</v>
      </c>
      <c r="T16" s="35" t="str">
        <f>IF(B16="", "", IF(D16="MWh/yr (LHV)", "Enter data here", "Use column to left"))</f>
        <v>Use column to left</v>
      </c>
      <c r="U16" s="35" t="s">
        <v>1148</v>
      </c>
      <c r="V16" s="240" t="str">
        <f t="shared" si="2"/>
        <v>Unfilled fields to left</v>
      </c>
      <c r="X16" s="25"/>
      <c r="Y16" s="12"/>
    </row>
    <row r="17" spans="2:29">
      <c r="B17" s="16"/>
      <c r="C17" s="15"/>
      <c r="D17" s="177"/>
      <c r="E17" s="304"/>
      <c r="F17" s="21"/>
      <c r="G17" s="21"/>
      <c r="H17" s="20"/>
      <c r="I17" s="459"/>
      <c r="J17" s="300"/>
      <c r="K17" s="300"/>
      <c r="L17" s="300"/>
      <c r="M17" s="300"/>
      <c r="N17" s="240">
        <f t="shared" si="0"/>
        <v>0</v>
      </c>
      <c r="O17" s="12"/>
      <c r="S17" s="300"/>
      <c r="T17" s="298"/>
      <c r="U17" s="300"/>
      <c r="V17" s="240" t="str">
        <f t="shared" si="2"/>
        <v>Unfilled fields to left</v>
      </c>
      <c r="X17" s="25"/>
      <c r="Y17" s="12"/>
    </row>
    <row r="18" spans="2:29">
      <c r="C18" s="17"/>
      <c r="D18" s="17"/>
      <c r="E18" s="502"/>
      <c r="F18" s="26"/>
      <c r="G18" s="26"/>
      <c r="H18" s="22"/>
      <c r="I18" s="22"/>
      <c r="J18" s="41"/>
      <c r="K18" s="41"/>
      <c r="L18" s="41"/>
      <c r="M18" s="41"/>
      <c r="N18" s="41"/>
      <c r="O18" s="12"/>
      <c r="S18" s="41"/>
      <c r="T18" s="41"/>
      <c r="U18" s="41"/>
      <c r="V18" s="41"/>
      <c r="X18" s="27"/>
      <c r="Y18" s="12"/>
    </row>
    <row r="19" spans="2:29">
      <c r="B19" s="144" t="s">
        <v>1151</v>
      </c>
      <c r="C19" s="144"/>
      <c r="D19" s="144"/>
      <c r="E19" s="489"/>
      <c r="F19" s="460"/>
      <c r="G19" s="460"/>
      <c r="H19" s="460"/>
      <c r="I19" s="460"/>
      <c r="J19" s="489"/>
      <c r="K19" s="489"/>
      <c r="L19" s="489"/>
      <c r="M19" s="489"/>
      <c r="N19" s="299"/>
      <c r="R19"/>
      <c r="S19" s="40"/>
      <c r="T19" s="40"/>
      <c r="U19" s="40"/>
      <c r="V19" s="40"/>
      <c r="W19" s="19"/>
      <c r="X19" s="19"/>
      <c r="Y19" s="19"/>
      <c r="Z19" s="19"/>
      <c r="AA19" s="19"/>
      <c r="AB19" s="19"/>
      <c r="AC19" s="19"/>
    </row>
    <row r="20" spans="2:29">
      <c r="B20" s="16" t="s">
        <v>1152</v>
      </c>
      <c r="C20" s="182" t="s">
        <v>1245</v>
      </c>
      <c r="D20" s="177" t="s">
        <v>425</v>
      </c>
      <c r="E20" s="304"/>
      <c r="F20" s="21"/>
      <c r="G20" s="21"/>
      <c r="H20" s="21"/>
      <c r="I20" s="21"/>
      <c r="J20" s="300"/>
      <c r="K20" s="304"/>
      <c r="L20" s="304"/>
      <c r="M20" s="304"/>
      <c r="N20" s="240">
        <f t="shared" ref="N20:N34" si="3">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1246</v>
      </c>
      <c r="D21" s="177" t="s">
        <v>425</v>
      </c>
      <c r="E21" s="304"/>
      <c r="F21" s="21"/>
      <c r="G21" s="21"/>
      <c r="H21" s="20"/>
      <c r="I21" s="20"/>
      <c r="J21" s="300"/>
      <c r="K21" s="300"/>
      <c r="L21" s="300"/>
      <c r="M21" s="300"/>
      <c r="N21" s="240">
        <f t="shared" si="3"/>
        <v>0</v>
      </c>
      <c r="O21" s="12"/>
      <c r="P21" s="12"/>
      <c r="Q21" s="511">
        <f>IF($D21="MWh/yr (LHV)",$E21,$E21*MAX(0, $J21*(1-$L21)-2.441*$L21)/Conversion_kWh_to_MJ)</f>
        <v>0</v>
      </c>
      <c r="R21" s="243" t="str">
        <f t="shared" ref="R21:R22" si="4">IFERROR(Q21/(SUM($Q$20:$Q$22)),"")</f>
        <v/>
      </c>
      <c r="S21" s="42"/>
      <c r="T21" s="42"/>
      <c r="U21" s="107"/>
      <c r="V21" s="12"/>
      <c r="W21" s="23"/>
      <c r="X21" s="21"/>
      <c r="Y21" s="23"/>
      <c r="Z21" s="42"/>
      <c r="AB21" s="12"/>
    </row>
    <row r="22" spans="2:29" s="14" customFormat="1">
      <c r="B22" s="184" t="s">
        <v>1056</v>
      </c>
      <c r="C22" s="182" t="s">
        <v>1155</v>
      </c>
      <c r="D22" s="177" t="s">
        <v>425</v>
      </c>
      <c r="E22" s="304"/>
      <c r="F22" s="21"/>
      <c r="G22" s="21"/>
      <c r="H22" s="20"/>
      <c r="I22" s="20"/>
      <c r="J22" s="300"/>
      <c r="K22" s="300"/>
      <c r="L22" s="300"/>
      <c r="M22" s="300"/>
      <c r="N22" s="240">
        <f t="shared" si="3"/>
        <v>0</v>
      </c>
      <c r="O22" s="12"/>
      <c r="P22" s="12"/>
      <c r="Q22" s="511">
        <f>IF($D22="MWh/yr (LHV)",$E22,$E22*MAX(0, $J22*(1-$L22)-2.441*$L22)/Conversion_kWh_to_MJ)</f>
        <v>0</v>
      </c>
      <c r="R22" s="243" t="str">
        <f t="shared" si="4"/>
        <v/>
      </c>
      <c r="S22" s="42"/>
      <c r="T22" s="42"/>
      <c r="U22" s="107"/>
      <c r="V22" s="12"/>
      <c r="W22" s="23"/>
      <c r="X22" s="21"/>
      <c r="Y22" s="23"/>
      <c r="Z22" s="42"/>
      <c r="AB22" s="12"/>
    </row>
    <row r="23" spans="2:29" s="14" customFormat="1">
      <c r="B23" s="184" t="s">
        <v>1061</v>
      </c>
      <c r="C23" s="182" t="s">
        <v>1156</v>
      </c>
      <c r="D23" s="177" t="s">
        <v>425</v>
      </c>
      <c r="E23" s="304"/>
      <c r="F23" s="21"/>
      <c r="G23" s="21"/>
      <c r="H23" s="20"/>
      <c r="I23" s="20"/>
      <c r="J23" s="300"/>
      <c r="K23" s="300"/>
      <c r="L23" s="300"/>
      <c r="M23" s="300"/>
      <c r="N23" s="240">
        <f t="shared" si="3"/>
        <v>0</v>
      </c>
      <c r="O23" s="12"/>
      <c r="P23" s="12"/>
      <c r="Q23" s="12"/>
      <c r="R23" s="12"/>
      <c r="S23" s="107"/>
      <c r="T23" s="107"/>
      <c r="U23" s="107"/>
      <c r="V23" s="12"/>
      <c r="W23" s="23"/>
      <c r="X23" s="21"/>
      <c r="Y23" s="23"/>
      <c r="Z23" s="42"/>
      <c r="AB23" s="12"/>
    </row>
    <row r="24" spans="2:29" s="14" customFormat="1">
      <c r="B24" s="184" t="s">
        <v>1061</v>
      </c>
      <c r="C24" s="182" t="s">
        <v>1063</v>
      </c>
      <c r="D24" s="177" t="s">
        <v>425</v>
      </c>
      <c r="E24" s="304"/>
      <c r="F24" s="21"/>
      <c r="G24" s="21"/>
      <c r="H24" s="20"/>
      <c r="I24" s="20"/>
      <c r="J24" s="300"/>
      <c r="K24" s="300"/>
      <c r="L24" s="300"/>
      <c r="M24" s="300"/>
      <c r="N24" s="240">
        <f t="shared" si="3"/>
        <v>0</v>
      </c>
      <c r="O24" s="12"/>
      <c r="P24" s="12"/>
      <c r="Q24" s="12"/>
      <c r="R24" s="12"/>
      <c r="S24" s="107"/>
      <c r="T24" s="107"/>
      <c r="U24" s="107"/>
      <c r="V24" s="12"/>
      <c r="W24" s="23"/>
      <c r="X24" s="21"/>
      <c r="Y24" s="23"/>
      <c r="Z24" s="42"/>
      <c r="AB24" s="12"/>
    </row>
    <row r="25" spans="2:29" s="14" customFormat="1">
      <c r="B25" s="184" t="s">
        <v>1064</v>
      </c>
      <c r="C25" s="182" t="s">
        <v>1065</v>
      </c>
      <c r="D25" s="177" t="s">
        <v>425</v>
      </c>
      <c r="E25" s="304"/>
      <c r="F25" s="21"/>
      <c r="G25" s="21"/>
      <c r="H25" s="20"/>
      <c r="I25" s="459"/>
      <c r="J25" s="300"/>
      <c r="K25" s="300"/>
      <c r="L25" s="300"/>
      <c r="M25" s="300"/>
      <c r="N25" s="240">
        <f t="shared" si="3"/>
        <v>0</v>
      </c>
      <c r="O25" s="12"/>
      <c r="P25" s="12"/>
      <c r="Q25" s="12"/>
      <c r="R25" s="12"/>
      <c r="S25" s="107"/>
      <c r="T25" s="107"/>
      <c r="U25" s="107"/>
      <c r="V25" s="12"/>
      <c r="X25" s="21"/>
    </row>
    <row r="26" spans="2:29" s="14" customFormat="1">
      <c r="B26" s="184" t="s">
        <v>1064</v>
      </c>
      <c r="C26" s="182" t="s">
        <v>1066</v>
      </c>
      <c r="D26" s="177" t="s">
        <v>425</v>
      </c>
      <c r="E26" s="304"/>
      <c r="F26" s="21"/>
      <c r="G26" s="21"/>
      <c r="H26" s="20"/>
      <c r="I26" s="459"/>
      <c r="J26" s="300"/>
      <c r="K26" s="300"/>
      <c r="L26" s="300"/>
      <c r="M26" s="300"/>
      <c r="N26" s="240">
        <f t="shared" si="3"/>
        <v>0</v>
      </c>
      <c r="O26" s="12"/>
      <c r="P26" s="12"/>
      <c r="Q26" s="12"/>
      <c r="R26" s="12"/>
      <c r="S26" s="107"/>
      <c r="T26" s="107"/>
      <c r="U26" s="107"/>
      <c r="V26" s="12"/>
      <c r="X26" s="21"/>
    </row>
    <row r="27" spans="2:29" s="14" customFormat="1">
      <c r="B27" s="184" t="s">
        <v>1105</v>
      </c>
      <c r="C27" s="182" t="s">
        <v>1247</v>
      </c>
      <c r="D27" s="177" t="s">
        <v>425</v>
      </c>
      <c r="E27" s="304"/>
      <c r="F27" s="461"/>
      <c r="G27" s="21"/>
      <c r="H27" s="20"/>
      <c r="I27" s="459"/>
      <c r="J27" s="300"/>
      <c r="K27" s="300"/>
      <c r="L27" s="300"/>
      <c r="M27" s="300"/>
      <c r="N27" s="240">
        <f t="shared" si="3"/>
        <v>0</v>
      </c>
      <c r="O27" s="12"/>
      <c r="P27" s="12"/>
      <c r="Q27" s="12"/>
      <c r="R27" s="12"/>
      <c r="S27" s="524">
        <v>0</v>
      </c>
      <c r="T27" s="473"/>
      <c r="U27" s="526" t="s">
        <v>1248</v>
      </c>
      <c r="V27" s="240" t="str">
        <f t="shared" ref="V27:V34" si="5">IFERROR(IF(D27="tonnes/yr", $S27*$E27/($N$20*3.6), $T27*$E27*3.6/($N$20*3.6)), "Unfilled fields to left")</f>
        <v>Unfilled fields to left</v>
      </c>
      <c r="X27" s="21"/>
    </row>
    <row r="28" spans="2:29" s="14" customFormat="1">
      <c r="B28" s="184" t="s">
        <v>1105</v>
      </c>
      <c r="C28" s="182" t="s">
        <v>1249</v>
      </c>
      <c r="D28" s="177" t="s">
        <v>425</v>
      </c>
      <c r="E28" s="304"/>
      <c r="F28" s="461"/>
      <c r="G28" s="21"/>
      <c r="H28" s="20"/>
      <c r="I28" s="459"/>
      <c r="J28" s="300"/>
      <c r="K28" s="300"/>
      <c r="L28" s="300"/>
      <c r="M28" s="300"/>
      <c r="N28" s="240">
        <f t="shared" si="3"/>
        <v>0</v>
      </c>
      <c r="O28" s="12"/>
      <c r="P28" s="12"/>
      <c r="Q28" s="12"/>
      <c r="R28" s="12"/>
      <c r="S28" s="524">
        <v>1000</v>
      </c>
      <c r="T28" s="473"/>
      <c r="U28" s="526" t="s">
        <v>1166</v>
      </c>
      <c r="V28" s="240" t="str">
        <f t="shared" si="5"/>
        <v>Unfilled fields to left</v>
      </c>
      <c r="X28" s="21"/>
    </row>
    <row r="29" spans="2:29" s="14" customFormat="1">
      <c r="B29" s="184" t="s">
        <v>1118</v>
      </c>
      <c r="C29" s="182" t="s">
        <v>1250</v>
      </c>
      <c r="D29" s="177" t="s">
        <v>425</v>
      </c>
      <c r="E29" s="35">
        <f>E27*$E$39</f>
        <v>0</v>
      </c>
      <c r="F29" s="461"/>
      <c r="G29" s="21"/>
      <c r="H29" s="20"/>
      <c r="I29" s="459"/>
      <c r="J29" s="300"/>
      <c r="K29" s="300"/>
      <c r="L29" s="300"/>
      <c r="M29" s="300"/>
      <c r="N29" s="240">
        <f t="shared" si="3"/>
        <v>0</v>
      </c>
      <c r="O29" s="12"/>
      <c r="P29" s="12"/>
      <c r="Q29" s="12"/>
      <c r="R29" s="12"/>
      <c r="S29" s="524">
        <v>-1000</v>
      </c>
      <c r="T29" s="473"/>
      <c r="U29" s="526" t="s">
        <v>1251</v>
      </c>
      <c r="V29" s="240" t="str">
        <f t="shared" si="5"/>
        <v>Unfilled fields to left</v>
      </c>
      <c r="X29" s="21"/>
    </row>
    <row r="30" spans="2:29" s="14" customFormat="1">
      <c r="B30" s="184" t="s">
        <v>1118</v>
      </c>
      <c r="C30" s="182" t="s">
        <v>1159</v>
      </c>
      <c r="D30" s="177" t="s">
        <v>425</v>
      </c>
      <c r="E30" s="35">
        <f>E28*$E$39</f>
        <v>0</v>
      </c>
      <c r="F30" s="461"/>
      <c r="G30" s="21"/>
      <c r="H30" s="20"/>
      <c r="I30" s="459"/>
      <c r="J30" s="300"/>
      <c r="K30" s="300"/>
      <c r="L30" s="300"/>
      <c r="M30" s="300"/>
      <c r="N30" s="240">
        <f t="shared" si="3"/>
        <v>0</v>
      </c>
      <c r="O30" s="12"/>
      <c r="P30" s="12"/>
      <c r="Q30" s="12"/>
      <c r="R30" s="12"/>
      <c r="S30" s="524">
        <v>-1000</v>
      </c>
      <c r="T30" s="473"/>
      <c r="U30" s="526" t="s">
        <v>1252</v>
      </c>
      <c r="V30" s="240" t="str">
        <f t="shared" si="5"/>
        <v>Unfilled fields to left</v>
      </c>
      <c r="X30" s="21"/>
    </row>
    <row r="31" spans="2:29" s="14" customFormat="1">
      <c r="B31" s="184" t="s">
        <v>1161</v>
      </c>
      <c r="C31" s="182" t="s">
        <v>1121</v>
      </c>
      <c r="D31" s="177" t="s">
        <v>425</v>
      </c>
      <c r="E31" s="35"/>
      <c r="F31" s="461"/>
      <c r="G31" s="21"/>
      <c r="H31" s="20"/>
      <c r="I31" s="459"/>
      <c r="J31" s="300"/>
      <c r="K31" s="300"/>
      <c r="L31" s="300"/>
      <c r="M31" s="300"/>
      <c r="N31" s="240">
        <f t="shared" si="3"/>
        <v>0</v>
      </c>
      <c r="O31" s="12"/>
      <c r="P31" s="12"/>
      <c r="Q31" s="12"/>
      <c r="R31" s="12"/>
      <c r="S31" s="524">
        <f>28*1000</f>
        <v>28000</v>
      </c>
      <c r="T31" s="473"/>
      <c r="U31" s="526" t="s">
        <v>1107</v>
      </c>
      <c r="V31" s="240" t="str">
        <f t="shared" si="5"/>
        <v>Unfilled fields to left</v>
      </c>
      <c r="X31" s="21"/>
    </row>
    <row r="32" spans="2:29" s="14" customFormat="1">
      <c r="B32" s="184" t="s">
        <v>1161</v>
      </c>
      <c r="C32" s="182" t="s">
        <v>1123</v>
      </c>
      <c r="D32" s="177" t="s">
        <v>425</v>
      </c>
      <c r="E32" s="35"/>
      <c r="F32" s="21"/>
      <c r="G32" s="21"/>
      <c r="H32" s="20"/>
      <c r="I32" s="459"/>
      <c r="J32" s="300"/>
      <c r="K32" s="300"/>
      <c r="L32" s="300"/>
      <c r="M32" s="300"/>
      <c r="N32" s="240">
        <f t="shared" si="3"/>
        <v>0</v>
      </c>
      <c r="O32" s="12"/>
      <c r="P32" s="12"/>
      <c r="Q32" s="12"/>
      <c r="R32" s="12"/>
      <c r="S32" s="524">
        <v>265000</v>
      </c>
      <c r="T32" s="473"/>
      <c r="U32" s="526" t="s">
        <v>1107</v>
      </c>
      <c r="V32" s="240" t="str">
        <f t="shared" si="5"/>
        <v>Unfilled fields to left</v>
      </c>
      <c r="X32" s="21"/>
    </row>
    <row r="33" spans="2:25" s="14" customFormat="1">
      <c r="B33" s="16"/>
      <c r="C33" s="15"/>
      <c r="D33" s="177"/>
      <c r="E33" s="35"/>
      <c r="F33" s="21"/>
      <c r="G33" s="21"/>
      <c r="H33" s="20"/>
      <c r="I33" s="459"/>
      <c r="J33" s="300"/>
      <c r="K33" s="300"/>
      <c r="L33" s="300"/>
      <c r="M33" s="300"/>
      <c r="N33" s="240">
        <f t="shared" si="3"/>
        <v>0</v>
      </c>
      <c r="O33" s="12"/>
      <c r="P33" s="12"/>
      <c r="Q33" s="12"/>
      <c r="R33" s="12"/>
      <c r="S33" s="524"/>
      <c r="T33" s="473"/>
      <c r="U33" s="527"/>
      <c r="V33" s="240" t="str">
        <f t="shared" si="5"/>
        <v>Unfilled fields to left</v>
      </c>
      <c r="X33" s="21"/>
    </row>
    <row r="34" spans="2:25" s="14" customFormat="1">
      <c r="B34" s="16"/>
      <c r="C34" s="15"/>
      <c r="D34" s="177"/>
      <c r="E34" s="35"/>
      <c r="F34" s="21"/>
      <c r="G34" s="21"/>
      <c r="H34" s="20"/>
      <c r="I34" s="459"/>
      <c r="J34" s="300"/>
      <c r="K34" s="300"/>
      <c r="L34" s="300"/>
      <c r="M34" s="300"/>
      <c r="N34" s="240">
        <f t="shared" si="3"/>
        <v>0</v>
      </c>
      <c r="O34" s="12"/>
      <c r="P34" s="12"/>
      <c r="Q34" s="12"/>
      <c r="R34" s="12"/>
      <c r="S34" s="524"/>
      <c r="T34" s="473"/>
      <c r="U34" s="527"/>
      <c r="V34" s="240" t="str">
        <f t="shared" si="5"/>
        <v>Unfilled fields to left</v>
      </c>
      <c r="X34" s="21"/>
    </row>
    <row r="35" spans="2:25">
      <c r="C35" s="17"/>
      <c r="D35" s="17"/>
      <c r="E35" s="139"/>
      <c r="F35" s="17"/>
      <c r="H35" s="18"/>
      <c r="I35" s="18"/>
      <c r="J35" s="40"/>
      <c r="K35" s="40"/>
      <c r="L35" s="40"/>
      <c r="M35" s="40"/>
      <c r="N35" s="40"/>
      <c r="O35" s="12"/>
      <c r="S35" s="40"/>
      <c r="T35" s="40"/>
      <c r="U35" s="40"/>
      <c r="V35" s="40"/>
      <c r="Y35" s="12"/>
    </row>
    <row r="36" spans="2:25">
      <c r="D36" s="17"/>
      <c r="E36" s="139"/>
      <c r="J36" s="39"/>
      <c r="K36" s="39"/>
      <c r="L36" s="107"/>
      <c r="M36" s="107"/>
      <c r="N36" s="107"/>
      <c r="O36" s="107"/>
      <c r="S36" s="39"/>
      <c r="T36" s="39"/>
      <c r="U36" s="38" t="s">
        <v>1162</v>
      </c>
      <c r="V36" s="152">
        <f>SUM(V7:V35)</f>
        <v>0</v>
      </c>
      <c r="W36" s="91"/>
      <c r="Y36" s="12"/>
    </row>
    <row r="37" spans="2:25">
      <c r="B37" s="144" t="s">
        <v>133</v>
      </c>
      <c r="C37" s="158"/>
      <c r="D37" s="158"/>
      <c r="E37" s="495"/>
      <c r="G37" s="55"/>
      <c r="I37" s="12"/>
      <c r="J37" s="107"/>
      <c r="K37" s="107"/>
      <c r="L37" s="107"/>
      <c r="M37" s="107"/>
      <c r="N37" s="107"/>
      <c r="O37" s="107"/>
      <c r="S37" s="107"/>
      <c r="T37" s="107"/>
      <c r="U37" s="107"/>
      <c r="Y37" s="12"/>
    </row>
    <row r="38" spans="2:25">
      <c r="B38" s="16" t="s">
        <v>1134</v>
      </c>
      <c r="C38" s="15" t="s">
        <v>1135</v>
      </c>
      <c r="D38" s="15" t="s">
        <v>1136</v>
      </c>
      <c r="E38" s="497"/>
      <c r="G38" s="19"/>
      <c r="H38" s="12"/>
      <c r="I38" s="12"/>
      <c r="J38" s="107"/>
      <c r="K38" s="107"/>
      <c r="L38" s="107"/>
      <c r="M38" s="107"/>
      <c r="N38" s="107"/>
      <c r="O38" s="107"/>
      <c r="S38" s="107"/>
      <c r="T38" s="107"/>
      <c r="U38" s="107"/>
      <c r="V38" s="12"/>
      <c r="X38" s="25"/>
      <c r="Y38" s="12"/>
    </row>
    <row r="39" spans="2:25">
      <c r="B39" s="16" t="s">
        <v>1139</v>
      </c>
      <c r="C39" s="15" t="s">
        <v>1184</v>
      </c>
      <c r="D39" s="15" t="s">
        <v>897</v>
      </c>
      <c r="E39" s="507"/>
      <c r="H39" s="12"/>
      <c r="I39" s="12"/>
      <c r="J39" s="107"/>
      <c r="K39" s="107"/>
      <c r="L39" s="107"/>
      <c r="M39" s="107"/>
      <c r="N39" s="107"/>
      <c r="O39" s="107"/>
      <c r="S39" s="107"/>
      <c r="T39" s="107"/>
      <c r="U39" s="107"/>
      <c r="V39" s="12"/>
      <c r="X39" s="25"/>
      <c r="Y39" s="12"/>
    </row>
    <row r="40" spans="2:25">
      <c r="B40" s="184" t="s">
        <v>1253</v>
      </c>
      <c r="C40" s="182" t="s">
        <v>1254</v>
      </c>
      <c r="D40" s="182" t="s">
        <v>1255</v>
      </c>
      <c r="E40" s="507"/>
      <c r="J40" s="39"/>
      <c r="K40" s="39"/>
      <c r="L40" s="107"/>
      <c r="M40" s="107"/>
      <c r="N40" s="107"/>
      <c r="O40" s="107"/>
      <c r="S40" s="39"/>
      <c r="T40" s="39"/>
      <c r="U40" s="39"/>
      <c r="X40" s="25"/>
    </row>
    <row r="41" spans="2:25">
      <c r="B41" s="184"/>
      <c r="C41" s="182"/>
      <c r="D41" s="182"/>
      <c r="E41" s="457"/>
      <c r="J41" s="39"/>
      <c r="K41" s="39"/>
      <c r="L41" s="107"/>
      <c r="M41" s="107"/>
      <c r="N41" s="107"/>
      <c r="O41" s="107"/>
      <c r="S41" s="39"/>
      <c r="T41" s="39"/>
      <c r="U41" s="39"/>
      <c r="X41" s="25"/>
    </row>
    <row r="42" spans="2:25">
      <c r="E42" s="107"/>
      <c r="J42" s="39"/>
      <c r="K42" s="39"/>
      <c r="L42" s="107"/>
      <c r="M42" s="107"/>
      <c r="N42" s="107"/>
      <c r="O42" s="107"/>
      <c r="S42" s="39"/>
      <c r="T42" s="39"/>
      <c r="U42" s="39"/>
    </row>
    <row r="43" spans="2:25">
      <c r="E43" s="107"/>
      <c r="J43" s="39"/>
      <c r="K43" s="39"/>
      <c r="L43" s="107"/>
      <c r="M43" s="107"/>
      <c r="N43" s="107"/>
      <c r="O43" s="107"/>
      <c r="S43" s="39"/>
      <c r="T43" s="39"/>
      <c r="U43" s="39"/>
    </row>
    <row r="44" spans="2:25">
      <c r="E44" s="107"/>
      <c r="J44" s="39"/>
      <c r="K44" s="39"/>
      <c r="L44" s="107"/>
      <c r="M44" s="107"/>
      <c r="N44" s="107"/>
      <c r="O44" s="107"/>
      <c r="S44" s="39"/>
      <c r="T44" s="39"/>
      <c r="U44" s="39"/>
    </row>
    <row r="45" spans="2:25">
      <c r="E45" s="107"/>
      <c r="J45" s="39"/>
      <c r="K45" s="39"/>
      <c r="L45" s="107"/>
      <c r="M45" s="107"/>
      <c r="N45" s="107"/>
      <c r="O45" s="107"/>
      <c r="S45" s="39"/>
      <c r="T45" s="39"/>
      <c r="U45" s="39"/>
    </row>
    <row r="46" spans="2:25">
      <c r="E46" s="107"/>
      <c r="J46" s="39"/>
      <c r="K46" s="39"/>
      <c r="L46" s="39"/>
      <c r="M46" s="39"/>
      <c r="O46" s="12"/>
      <c r="S46" s="39"/>
      <c r="T46" s="39"/>
      <c r="U46" s="39"/>
    </row>
    <row r="47" spans="2:25">
      <c r="E47" s="107"/>
      <c r="J47" s="39"/>
      <c r="K47" s="39"/>
      <c r="L47" s="39"/>
      <c r="M47" s="39"/>
      <c r="O47" s="12"/>
      <c r="S47" s="39"/>
      <c r="T47" s="39"/>
      <c r="U47" s="39"/>
    </row>
    <row r="48" spans="2:25">
      <c r="E48" s="107"/>
      <c r="J48" s="39"/>
      <c r="K48" s="39"/>
      <c r="L48" s="107"/>
      <c r="M48" s="107"/>
      <c r="N48" s="107"/>
      <c r="O48" s="12"/>
      <c r="S48" s="39"/>
      <c r="T48" s="39"/>
      <c r="U48" s="39"/>
    </row>
    <row r="49" spans="5:21">
      <c r="E49" s="107"/>
      <c r="J49" s="39"/>
      <c r="K49" s="39"/>
      <c r="L49" s="107"/>
      <c r="M49" s="107"/>
      <c r="N49" s="107"/>
      <c r="O49" s="12"/>
      <c r="S49" s="39"/>
      <c r="T49" s="39"/>
      <c r="U49" s="39"/>
    </row>
    <row r="50" spans="5:21">
      <c r="E50" s="107"/>
      <c r="J50" s="39"/>
      <c r="K50" s="39"/>
      <c r="L50" s="107"/>
      <c r="M50" s="107"/>
      <c r="N50" s="107"/>
      <c r="O50" s="12"/>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L125" s="39"/>
      <c r="M125" s="39"/>
      <c r="S125" s="39"/>
      <c r="T125" s="39"/>
      <c r="U125" s="39"/>
    </row>
    <row r="126" spans="5:21">
      <c r="E126" s="107"/>
      <c r="L126" s="39"/>
      <c r="M126" s="39"/>
      <c r="S126" s="39"/>
      <c r="T126" s="39"/>
      <c r="U126" s="39"/>
    </row>
    <row r="127" spans="5:21">
      <c r="E127" s="107"/>
      <c r="L127" s="39"/>
      <c r="M127" s="39"/>
      <c r="S127" s="39"/>
      <c r="T127" s="39"/>
      <c r="U127" s="39"/>
    </row>
    <row r="128" spans="5:21">
      <c r="E128" s="107"/>
      <c r="L128" s="39"/>
      <c r="M128" s="39"/>
      <c r="S128" s="39"/>
      <c r="T128" s="39"/>
      <c r="U128" s="39"/>
    </row>
    <row r="129" spans="5:21">
      <c r="E129" s="107"/>
      <c r="L129" s="39"/>
      <c r="M129" s="39"/>
      <c r="S129" s="39"/>
      <c r="T129" s="39"/>
      <c r="U129" s="39"/>
    </row>
    <row r="130" spans="5:21">
      <c r="E130" s="107"/>
      <c r="L130" s="39"/>
      <c r="M130" s="39"/>
      <c r="S130" s="39"/>
      <c r="T130" s="39"/>
      <c r="U130" s="39"/>
    </row>
    <row r="131" spans="5:21">
      <c r="E131" s="107"/>
      <c r="L131" s="39"/>
      <c r="M131" s="39"/>
      <c r="S131" s="39"/>
      <c r="T131" s="39"/>
      <c r="U131" s="39"/>
    </row>
    <row r="132" spans="5:21">
      <c r="E132" s="107"/>
      <c r="L132" s="39"/>
      <c r="M132" s="39"/>
      <c r="S132" s="39"/>
      <c r="T132" s="39"/>
      <c r="U132" s="39"/>
    </row>
    <row r="133" spans="5:21">
      <c r="E133" s="107"/>
      <c r="L133" s="39"/>
      <c r="M133" s="39"/>
      <c r="S133" s="39"/>
      <c r="T133" s="39"/>
      <c r="U133" s="39"/>
    </row>
    <row r="134" spans="5:21">
      <c r="E134" s="107"/>
      <c r="L134" s="39"/>
      <c r="M134" s="39"/>
      <c r="S134" s="39"/>
      <c r="T134" s="39"/>
      <c r="U134" s="39"/>
    </row>
    <row r="135" spans="5:21">
      <c r="E135" s="107"/>
      <c r="L135" s="39"/>
      <c r="M135" s="39"/>
      <c r="S135" s="39"/>
      <c r="T135" s="39"/>
      <c r="U135" s="39"/>
    </row>
    <row r="136" spans="5:21">
      <c r="E136" s="107"/>
      <c r="L136" s="39"/>
      <c r="M136" s="39"/>
      <c r="S136" s="39"/>
      <c r="T136" s="39"/>
      <c r="U136" s="39"/>
    </row>
    <row r="137" spans="5:21">
      <c r="E137" s="107"/>
      <c r="L137" s="39"/>
      <c r="M137" s="39"/>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sheetData>
  <customSheetViews>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20:D34 D8:D17" xr:uid="{EAB2736E-0FFF-43B7-BFD3-5175771F3CAF}">
      <formula1>Flow_units</formula1>
    </dataValidation>
    <dataValidation type="custom" allowBlank="1" showInputMessage="1" showErrorMessage="1" error="Please do not change this formula" prompt="Please do not change this formula" sqref="W4 V6:V1048576 V1:V4 S5:V5" xr:uid="{E3AF2C93-49C3-4401-AE90-0D7C50FE3A92}">
      <formula1>"Please do not change this formula"</formula1>
    </dataValidation>
    <dataValidation type="custom" allowBlank="1" showInputMessage="1" showErrorMessage="1" error="Please do not change this formula" sqref="R6:R19 R23:R1048576 N1:N1048576 O1:R5 O6:Q1048576" xr:uid="{F3C9E355-CFAA-422E-8DF0-E5DE90685A3E}">
      <formula1>"Please do not change this formula"</formula1>
    </dataValidation>
    <dataValidation type="custom" allowBlank="1" showInputMessage="1" showErrorMessage="1" error="Please do not change" sqref="R20:R22" xr:uid="{0194EE98-2C6E-4A7A-990B-B5A42936E8D0}">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08E92544-97E4-401F-804E-0F87A3F920DD}">
      <formula1>0</formula1>
    </dataValidation>
  </dataValidations>
  <hyperlinks>
    <hyperlink ref="I2:J2" location="'Biomethane Transport'!A1" display="Go to the next step of this pathway" xr:uid="{9A67F42C-C9B6-4E43-B933-BE1CDA8C7C6C}"/>
    <hyperlink ref="I2:K2" location="Biomethane_Transport!A1" display="Go to the next step of this pathway" xr:uid="{ED75F8FB-ABC6-4315-A520-692BD06A7FFC}"/>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700-000001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4" id="{00000000-000E-0000-1E00-000017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8A802-B67B-4F23-BB59-A71F0B643FF3}">
  <sheetPr codeName="Sheet27">
    <tabColor rgb="FFFF9900"/>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9" ht="20.45" customHeight="1">
      <c r="B2" s="80" t="str">
        <f>IF(AND(GHG_BIOMETHANE_REFORM!$D$5="Default",Master_Switch="On"),"Default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1245</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IF(B10="", "", IF(D10="MWh/yr (LHV)", "Use column to right", "Enter data here"))</f>
        <v>Enter data here</v>
      </c>
      <c r="T10" s="35" t="str">
        <f t="shared" ref="T10" si="2">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ref="S11:S16" si="3">IF(B11="", "", IF(D11="MWh/yr (LHV)", "Use column to right", "Enter data here"))</f>
        <v>Enter data here</v>
      </c>
      <c r="T11" s="35" t="str">
        <f t="shared" ref="T11:T16" si="4">IF(B11="", "", IF(D11="MWh/yr (LHV)", "Enter data here", "Use column to left"))</f>
        <v>Use column to left</v>
      </c>
      <c r="U11" s="35" t="s">
        <v>1148</v>
      </c>
      <c r="V11" s="240" t="str">
        <f t="shared" si="1"/>
        <v>Unfilled fields to left</v>
      </c>
      <c r="X11" s="25"/>
      <c r="Y11" s="12"/>
    </row>
    <row r="12" spans="1:29">
      <c r="B12" s="184" t="s">
        <v>1090</v>
      </c>
      <c r="C12" s="182" t="s">
        <v>1058</v>
      </c>
      <c r="D12" s="177"/>
      <c r="E12" s="35"/>
      <c r="F12" s="21"/>
      <c r="G12" s="21"/>
      <c r="H12" s="20"/>
      <c r="I12" s="36"/>
      <c r="J12" s="298"/>
      <c r="K12" s="300"/>
      <c r="L12" s="300"/>
      <c r="M12" s="300"/>
      <c r="N12" s="240">
        <f t="shared" si="0"/>
        <v>0</v>
      </c>
      <c r="O12" s="12"/>
      <c r="P12" s="12"/>
      <c r="S12" s="35" t="str">
        <f t="shared" si="3"/>
        <v>Enter data here</v>
      </c>
      <c r="T12" s="35" t="str">
        <f t="shared" si="4"/>
        <v>Use column to left</v>
      </c>
      <c r="U12" s="35" t="s">
        <v>1148</v>
      </c>
      <c r="V12" s="240" t="str">
        <f t="shared" si="1"/>
        <v>Unfilled fields to left</v>
      </c>
      <c r="X12" s="25"/>
      <c r="Y12" s="12"/>
    </row>
    <row r="13" spans="1:29">
      <c r="B13" s="184" t="s">
        <v>1099</v>
      </c>
      <c r="C13" s="182" t="s">
        <v>1149</v>
      </c>
      <c r="D13" s="177"/>
      <c r="E13" s="35"/>
      <c r="F13" s="21"/>
      <c r="G13" s="21"/>
      <c r="H13" s="20"/>
      <c r="I13" s="36"/>
      <c r="J13" s="298"/>
      <c r="K13" s="300"/>
      <c r="L13" s="300"/>
      <c r="M13" s="300"/>
      <c r="N13" s="240">
        <f t="shared" si="0"/>
        <v>0</v>
      </c>
      <c r="O13" s="12"/>
      <c r="P13" s="12"/>
      <c r="S13" s="35" t="str">
        <f t="shared" si="3"/>
        <v>Enter data here</v>
      </c>
      <c r="T13" s="35" t="str">
        <f t="shared" si="4"/>
        <v>Use column to left</v>
      </c>
      <c r="U13" s="35" t="s">
        <v>1148</v>
      </c>
      <c r="V13" s="240" t="str">
        <f t="shared" si="1"/>
        <v>Unfilled fields to left</v>
      </c>
      <c r="X13" s="25"/>
      <c r="Y13" s="12"/>
    </row>
    <row r="14" spans="1:29">
      <c r="B14" s="184" t="s">
        <v>1099</v>
      </c>
      <c r="C14" s="182"/>
      <c r="D14" s="177"/>
      <c r="E14" s="35"/>
      <c r="F14" s="21"/>
      <c r="G14" s="21"/>
      <c r="H14" s="20"/>
      <c r="I14" s="36"/>
      <c r="J14" s="298"/>
      <c r="K14" s="300"/>
      <c r="L14" s="300"/>
      <c r="M14" s="300"/>
      <c r="N14" s="240">
        <f t="shared" si="0"/>
        <v>0</v>
      </c>
      <c r="O14" s="12"/>
      <c r="P14" s="12"/>
      <c r="S14" s="35" t="str">
        <f t="shared" si="3"/>
        <v>Enter data here</v>
      </c>
      <c r="T14" s="35" t="str">
        <f t="shared" si="4"/>
        <v>Use column to left</v>
      </c>
      <c r="U14" s="35" t="s">
        <v>1148</v>
      </c>
      <c r="V14" s="240" t="str">
        <f t="shared" si="1"/>
        <v>Unfilled fields to left</v>
      </c>
      <c r="X14" s="25"/>
      <c r="Y14" s="12"/>
    </row>
    <row r="15" spans="1:29">
      <c r="B15" s="184" t="s">
        <v>1150</v>
      </c>
      <c r="C15" s="182" t="s">
        <v>1103</v>
      </c>
      <c r="D15" s="177"/>
      <c r="E15" s="35"/>
      <c r="F15" s="21"/>
      <c r="G15" s="21"/>
      <c r="H15" s="20"/>
      <c r="I15" s="36"/>
      <c r="J15" s="298"/>
      <c r="K15" s="300"/>
      <c r="L15" s="300"/>
      <c r="M15" s="300"/>
      <c r="N15" s="240">
        <f t="shared" si="0"/>
        <v>0</v>
      </c>
      <c r="O15" s="12"/>
      <c r="P15" s="12"/>
      <c r="S15" s="35" t="str">
        <f t="shared" si="3"/>
        <v>Enter data here</v>
      </c>
      <c r="T15" s="35" t="str">
        <f t="shared" si="4"/>
        <v>Use column to left</v>
      </c>
      <c r="U15" s="35" t="s">
        <v>1148</v>
      </c>
      <c r="V15" s="240" t="str">
        <f t="shared" si="1"/>
        <v>Unfilled fields to left</v>
      </c>
      <c r="X15" s="25"/>
      <c r="Y15" s="12"/>
    </row>
    <row r="16" spans="1:29">
      <c r="B16" s="184" t="s">
        <v>1150</v>
      </c>
      <c r="C16" s="15"/>
      <c r="D16" s="177"/>
      <c r="E16" s="35"/>
      <c r="F16" s="21"/>
      <c r="G16" s="21"/>
      <c r="H16" s="20"/>
      <c r="I16" s="36"/>
      <c r="J16" s="298"/>
      <c r="K16" s="300"/>
      <c r="L16" s="300"/>
      <c r="M16" s="300"/>
      <c r="N16" s="240">
        <f t="shared" si="0"/>
        <v>0</v>
      </c>
      <c r="O16" s="12"/>
      <c r="P16" s="12"/>
      <c r="S16" s="35" t="str">
        <f t="shared" si="3"/>
        <v>Enter data here</v>
      </c>
      <c r="T16" s="35" t="str">
        <f t="shared" si="4"/>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00"/>
      <c r="T17" s="298"/>
      <c r="U17" s="300"/>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1245</v>
      </c>
      <c r="D20" s="177" t="s">
        <v>425</v>
      </c>
      <c r="E20" s="35"/>
      <c r="F20" s="21"/>
      <c r="G20" s="21"/>
      <c r="H20" s="21"/>
      <c r="I20" s="21"/>
      <c r="J20" s="298"/>
      <c r="K20" s="304"/>
      <c r="L20" s="304"/>
      <c r="M20" s="304"/>
      <c r="N20" s="240">
        <f t="shared" ref="N20:N31" si="5">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5"/>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5"/>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L18"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L18"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CE8A0FE5-9B1B-46E9-B8AD-CF36050511A8}">
      <formula1>Flow_units</formula1>
    </dataValidation>
    <dataValidation type="custom" allowBlank="1" showInputMessage="1" showErrorMessage="1" error="Please do not change this formula" prompt="Please do not change this formula" sqref="V6:V1048576 W4 V1:V4 S5:V5" xr:uid="{5819550A-0046-4BCF-88E5-DE181BBA36A6}">
      <formula1>"Please do not change this formula"</formula1>
    </dataValidation>
    <dataValidation type="custom" allowBlank="1" showInputMessage="1" showErrorMessage="1" error="Please do not change this formula" sqref="R6:R19 R23:R1048576 N1:N1048576 O1:R5 O6:Q1048576" xr:uid="{6445A2DE-B142-45A6-B0A4-2C6E596070BB}">
      <formula1>"Please do not change this formula"</formula1>
    </dataValidation>
    <dataValidation type="custom" allowBlank="1" showInputMessage="1" showErrorMessage="1" error="Please do not change" sqref="R20:R22" xr:uid="{2C898F8C-7F08-4D04-B07F-20DFC019B421}">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D523D3ED-4AAB-4C0F-8E67-53465FF6B56A}">
      <formula1>0</formula1>
    </dataValidation>
  </dataValidations>
  <hyperlinks>
    <hyperlink ref="I2:J2" location="'Biomethane Reforming (+CCS)'!A1" display="Go to the next step of this pathway" xr:uid="{A0620B2F-7F01-4DFD-95B3-0C0DFEDF8572}"/>
    <hyperlink ref="I2:K2" location="Biomethane_Reforming_CCS!A1" display="Go to the next step of this pathway" xr:uid="{807E3503-D43F-48B6-9E56-DA178E12DB08}"/>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800-000001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0" id="{00000000-000E-0000-1F00-000013000000}">
            <xm:f>AND(GHG_BIOMETHANE_REFORM!$D$5="Default",Master_Switch="On")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EBB67-621B-4515-98DA-AC9D696B8AAF}">
  <sheetPr codeName="Sheet28">
    <tabColor rgb="FFFF9900"/>
  </sheetPr>
  <dimension ref="A1:AC246"/>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453"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 customWidth="1"/>
    <col min="16" max="16" width="10.14062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ol min="24" max="24" width="26" style="12" customWidth="1"/>
    <col min="26" max="16384" width="7.140625" style="12"/>
  </cols>
  <sheetData>
    <row r="1" spans="1:28" ht="31.9" customHeight="1">
      <c r="A1" s="80" t="str">
        <f>IF(AND(Path&lt;&gt;Units!$B$95,Path&lt;&gt;Units!$B$96,Path&lt;&gt;Units!$B$97,Path&lt;&gt;Units!$B$98,Master_Switch="On"),"User should not fill in this sheet, but switch to other non-blank GHG worksheets","")</f>
        <v>User should not fill in this sheet, but switch to other non-blank GHG worksheets</v>
      </c>
      <c r="E1" s="254"/>
    </row>
    <row r="2" spans="1:28" ht="20.45" customHeight="1">
      <c r="E2" s="254"/>
      <c r="I2" s="735" t="s">
        <v>1031</v>
      </c>
      <c r="J2" s="737"/>
      <c r="K2" s="738"/>
      <c r="L2" s="553"/>
      <c r="M2" s="553"/>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E6" s="254"/>
      <c r="O6" s="12"/>
      <c r="Q6" s="39"/>
    </row>
    <row r="7" spans="1:28">
      <c r="B7" s="144" t="s">
        <v>1051</v>
      </c>
      <c r="C7" s="144"/>
      <c r="D7" s="144"/>
      <c r="E7" s="322"/>
      <c r="F7" s="144"/>
      <c r="G7" s="144"/>
      <c r="H7" s="144"/>
      <c r="I7" s="144"/>
      <c r="J7" s="144"/>
      <c r="K7" s="144"/>
      <c r="L7" s="144"/>
      <c r="M7" s="144"/>
      <c r="N7" s="299"/>
      <c r="O7" s="12"/>
      <c r="Q7" s="551"/>
      <c r="S7" s="18"/>
      <c r="T7" s="18"/>
      <c r="U7" s="18"/>
      <c r="V7" s="40"/>
      <c r="Y7" s="12"/>
    </row>
    <row r="8" spans="1:28">
      <c r="B8" s="16" t="s">
        <v>1052</v>
      </c>
      <c r="C8" s="182" t="s">
        <v>1245</v>
      </c>
      <c r="D8" s="177" t="s">
        <v>425</v>
      </c>
      <c r="E8" s="35"/>
      <c r="F8" s="24"/>
      <c r="G8" s="21"/>
      <c r="H8" s="21"/>
      <c r="I8" s="21"/>
      <c r="J8" s="35"/>
      <c r="K8" s="304"/>
      <c r="L8" s="304"/>
      <c r="M8" s="304"/>
      <c r="N8" s="240">
        <f t="shared" ref="N8:N17" si="0">IF($D8="MWh/yr (LHV)",$E8,$J8*$E8*(1-$L8)/Conversion_kWh_to_MJ)</f>
        <v>0</v>
      </c>
      <c r="O8" s="12"/>
      <c r="Q8" s="550"/>
      <c r="S8" s="40"/>
      <c r="T8" s="40"/>
      <c r="U8" s="40"/>
      <c r="V8" s="40"/>
      <c r="X8" s="21"/>
      <c r="Y8" s="12"/>
    </row>
    <row r="9" spans="1:28">
      <c r="B9" s="16" t="s">
        <v>1054</v>
      </c>
      <c r="C9" s="15" t="s">
        <v>1169</v>
      </c>
      <c r="D9" s="15" t="s">
        <v>425</v>
      </c>
      <c r="E9" s="35">
        <f>Hydrogen_flow</f>
        <v>0</v>
      </c>
      <c r="F9" s="21"/>
      <c r="G9" s="21"/>
      <c r="H9" s="21"/>
      <c r="I9" s="21"/>
      <c r="J9" s="35">
        <v>120</v>
      </c>
      <c r="K9" s="304"/>
      <c r="L9" s="547">
        <v>0</v>
      </c>
      <c r="M9" s="304"/>
      <c r="N9" s="240">
        <f t="shared" si="0"/>
        <v>0</v>
      </c>
      <c r="O9" s="88" t="str">
        <f>IFERROR(N9/N8,"")</f>
        <v/>
      </c>
      <c r="Q9" s="511">
        <f>IF($D9="MWh/yr (LHV)",$E9,$E9*MAX(0, $J9*(1-$L9)-2.441*$L9)/Conversion_kWh_to_MJ)</f>
        <v>0</v>
      </c>
      <c r="R9" s="43" t="str">
        <f>IFERROR(Q9/(SUM($Q$9:$Q$13)),"")</f>
        <v/>
      </c>
      <c r="S9" s="42"/>
      <c r="T9" s="42"/>
      <c r="U9" s="42"/>
      <c r="V9" s="12"/>
      <c r="X9" s="21"/>
      <c r="Y9" s="12"/>
    </row>
    <row r="10" spans="1:28">
      <c r="B10" s="184" t="s">
        <v>1056</v>
      </c>
      <c r="C10" s="182" t="s">
        <v>1057</v>
      </c>
      <c r="D10" s="177" t="s">
        <v>447</v>
      </c>
      <c r="E10" s="35"/>
      <c r="F10" s="21"/>
      <c r="G10" s="21"/>
      <c r="H10" s="20"/>
      <c r="I10" s="33"/>
      <c r="J10" s="298"/>
      <c r="K10" s="300"/>
      <c r="L10" s="300"/>
      <c r="M10" s="300"/>
      <c r="N10" s="240">
        <f t="shared" si="0"/>
        <v>0</v>
      </c>
      <c r="O10" s="12"/>
      <c r="Q10" s="511">
        <f>IF($D10="MWh/yr (LHV)",$E10,$E10*MAX(0, $J10*(1-$L10)-2.441*$L10)/Conversion_kWh_to_MJ)</f>
        <v>0</v>
      </c>
      <c r="R10" s="43" t="str">
        <f t="shared" ref="R10:R13" si="1">IFERROR(Q10/(SUM($Q$9:$Q$13)),"")</f>
        <v/>
      </c>
      <c r="S10" s="42"/>
      <c r="T10" s="42"/>
      <c r="U10" s="42"/>
      <c r="V10" s="19"/>
      <c r="W10" s="23"/>
      <c r="X10" s="21"/>
      <c r="Y10" s="12"/>
    </row>
    <row r="11" spans="1:28">
      <c r="B11" s="184" t="s">
        <v>1056</v>
      </c>
      <c r="C11" s="182" t="s">
        <v>1146</v>
      </c>
      <c r="D11" s="177" t="s">
        <v>447</v>
      </c>
      <c r="E11" s="35"/>
      <c r="F11" s="21"/>
      <c r="G11" s="21"/>
      <c r="H11" s="20"/>
      <c r="I11" s="20"/>
      <c r="J11" s="300"/>
      <c r="K11" s="300"/>
      <c r="L11" s="300"/>
      <c r="M11" s="300"/>
      <c r="N11" s="240">
        <f t="shared" si="0"/>
        <v>0</v>
      </c>
      <c r="O11" s="12"/>
      <c r="Q11" s="511">
        <f>IF($D11="MWh/yr (LHV)",$E11,$E11*MAX(0, $J11*(1-$L11)-2.441*$L11)/Conversion_kWh_to_MJ)</f>
        <v>0</v>
      </c>
      <c r="R11" s="43" t="str">
        <f t="shared" si="1"/>
        <v/>
      </c>
      <c r="S11" s="42"/>
      <c r="T11" s="42"/>
      <c r="U11" s="42"/>
      <c r="V11" s="14"/>
      <c r="W11" s="23"/>
      <c r="X11" s="21"/>
      <c r="Y11" s="12"/>
    </row>
    <row r="12" spans="1:28">
      <c r="B12" s="184" t="s">
        <v>1056</v>
      </c>
      <c r="C12" s="182" t="s">
        <v>1059</v>
      </c>
      <c r="D12" s="177" t="s">
        <v>425</v>
      </c>
      <c r="E12" s="35"/>
      <c r="F12" s="21"/>
      <c r="G12" s="21"/>
      <c r="H12" s="20"/>
      <c r="I12" s="20"/>
      <c r="J12" s="300"/>
      <c r="K12" s="300"/>
      <c r="L12" s="300"/>
      <c r="M12" s="300"/>
      <c r="N12" s="240">
        <f t="shared" si="0"/>
        <v>0</v>
      </c>
      <c r="O12" s="12"/>
      <c r="Q12" s="511">
        <f>IF($D12="MWh/yr (LHV)",$E12,$E12*MAX(0, $J12*(1-$L12)-2.441*$L12)/Conversion_kWh_to_MJ)</f>
        <v>0</v>
      </c>
      <c r="R12" s="43" t="str">
        <f t="shared" si="1"/>
        <v/>
      </c>
      <c r="S12" s="40"/>
      <c r="T12" s="40"/>
      <c r="U12" s="40"/>
      <c r="V12" s="40"/>
      <c r="X12" s="21"/>
      <c r="Y12" s="12"/>
    </row>
    <row r="13" spans="1:28">
      <c r="B13" s="184" t="s">
        <v>1056</v>
      </c>
      <c r="C13" s="182" t="s">
        <v>1060</v>
      </c>
      <c r="D13" s="177" t="s">
        <v>425</v>
      </c>
      <c r="E13" s="35"/>
      <c r="F13" s="21"/>
      <c r="G13" s="21"/>
      <c r="H13" s="20"/>
      <c r="I13" s="20"/>
      <c r="J13" s="300"/>
      <c r="K13" s="300"/>
      <c r="L13" s="300"/>
      <c r="M13" s="300"/>
      <c r="N13" s="240">
        <f t="shared" si="0"/>
        <v>0</v>
      </c>
      <c r="O13" s="12"/>
      <c r="Q13" s="511">
        <f>IF($D13="MWh/yr (LHV)",$E13,$E13*MAX(0, $J13*(1-$L13)-2.441*$L13)/Conversion_kWh_to_MJ)</f>
        <v>0</v>
      </c>
      <c r="R13" s="43" t="str">
        <f t="shared" si="1"/>
        <v/>
      </c>
      <c r="S13" s="40"/>
      <c r="T13" s="40"/>
      <c r="U13" s="40"/>
      <c r="V13" s="40"/>
      <c r="X13" s="21"/>
      <c r="Y13" s="12"/>
    </row>
    <row r="14" spans="1:28" s="14" customFormat="1">
      <c r="B14" s="184" t="s">
        <v>1061</v>
      </c>
      <c r="C14" s="182" t="s">
        <v>1156</v>
      </c>
      <c r="D14" s="177" t="s">
        <v>425</v>
      </c>
      <c r="E14" s="35"/>
      <c r="F14" s="21"/>
      <c r="G14" s="21"/>
      <c r="H14" s="20"/>
      <c r="I14" s="20"/>
      <c r="J14" s="300"/>
      <c r="K14" s="300"/>
      <c r="L14" s="300"/>
      <c r="M14" s="300"/>
      <c r="N14" s="240">
        <f t="shared" si="0"/>
        <v>0</v>
      </c>
      <c r="O14" s="12"/>
      <c r="P14" s="12"/>
      <c r="Q14" s="12"/>
      <c r="R14" s="12"/>
      <c r="S14" s="107"/>
      <c r="T14" s="107"/>
      <c r="U14" s="107"/>
      <c r="V14" s="12"/>
      <c r="W14" s="23"/>
      <c r="X14" s="21"/>
      <c r="Y14" s="23"/>
      <c r="Z14" s="42"/>
      <c r="AB14" s="12"/>
    </row>
    <row r="15" spans="1:28" s="14" customFormat="1">
      <c r="B15" s="184" t="s">
        <v>1061</v>
      </c>
      <c r="C15" s="182" t="s">
        <v>1063</v>
      </c>
      <c r="D15" s="177" t="s">
        <v>425</v>
      </c>
      <c r="E15" s="35"/>
      <c r="F15" s="21"/>
      <c r="G15" s="21"/>
      <c r="H15" s="20"/>
      <c r="I15" s="20"/>
      <c r="J15" s="300"/>
      <c r="K15" s="300"/>
      <c r="L15" s="300"/>
      <c r="M15" s="300"/>
      <c r="N15" s="240">
        <f t="shared" si="0"/>
        <v>0</v>
      </c>
      <c r="O15" s="12"/>
      <c r="P15" s="12"/>
      <c r="Q15" s="12"/>
      <c r="R15" s="12"/>
      <c r="S15" s="107"/>
      <c r="T15" s="107"/>
      <c r="U15" s="107"/>
      <c r="V15" s="12"/>
      <c r="W15" s="23"/>
      <c r="X15" s="21"/>
      <c r="Y15" s="23"/>
      <c r="Z15" s="42"/>
      <c r="AB15" s="12"/>
    </row>
    <row r="16" spans="1:28" s="14" customFormat="1">
      <c r="B16" s="184" t="s">
        <v>1064</v>
      </c>
      <c r="C16" s="182" t="s">
        <v>1065</v>
      </c>
      <c r="D16" s="177" t="s">
        <v>425</v>
      </c>
      <c r="E16" s="35"/>
      <c r="F16" s="21"/>
      <c r="G16" s="21"/>
      <c r="H16" s="20"/>
      <c r="I16" s="36"/>
      <c r="J16" s="298"/>
      <c r="K16" s="300"/>
      <c r="L16" s="300"/>
      <c r="M16" s="300"/>
      <c r="N16" s="240">
        <f t="shared" si="0"/>
        <v>0</v>
      </c>
      <c r="O16" s="12"/>
      <c r="P16" s="12"/>
      <c r="Q16" s="12"/>
      <c r="R16" s="12"/>
      <c r="S16" s="107"/>
      <c r="T16" s="107"/>
      <c r="U16" s="107"/>
      <c r="V16" s="12"/>
      <c r="X16" s="21"/>
    </row>
    <row r="17" spans="1:29" s="14" customFormat="1">
      <c r="B17" s="184" t="s">
        <v>1064</v>
      </c>
      <c r="C17" s="182" t="s">
        <v>1066</v>
      </c>
      <c r="D17" s="177" t="s">
        <v>425</v>
      </c>
      <c r="E17" s="35"/>
      <c r="F17" s="21"/>
      <c r="G17" s="21"/>
      <c r="H17" s="20"/>
      <c r="I17" s="36"/>
      <c r="J17" s="298"/>
      <c r="K17" s="300"/>
      <c r="L17" s="300"/>
      <c r="M17" s="300"/>
      <c r="N17" s="240">
        <f t="shared" si="0"/>
        <v>0</v>
      </c>
      <c r="O17" s="12"/>
      <c r="P17" s="12"/>
      <c r="Q17" s="12"/>
      <c r="R17" s="12"/>
      <c r="S17" s="107"/>
      <c r="T17" s="107"/>
      <c r="U17" s="107"/>
      <c r="V17" s="12"/>
      <c r="X17" s="21"/>
    </row>
    <row r="18" spans="1:29">
      <c r="B18" s="68"/>
      <c r="C18" s="69"/>
      <c r="D18" s="78"/>
      <c r="E18" s="75"/>
      <c r="F18" s="76"/>
      <c r="G18" s="79"/>
      <c r="H18" s="71"/>
      <c r="I18" s="71"/>
      <c r="J18" s="75"/>
      <c r="K18" s="73"/>
      <c r="L18" s="73"/>
      <c r="M18" s="73"/>
      <c r="N18" s="73"/>
      <c r="O18" s="12"/>
      <c r="S18" s="40"/>
      <c r="T18" s="40"/>
      <c r="U18" s="40"/>
      <c r="V18" s="40"/>
      <c r="X18" s="76"/>
      <c r="Y18" s="12"/>
    </row>
    <row r="19" spans="1:29" ht="30.95">
      <c r="B19" s="80" t="str">
        <f>IF(AND(GHG_BIOMETHANE_REFORM!D9="Default",Master_Switch="On"),"Default data selected for the emissions category below, move to the next emissions category within this step","")</f>
        <v/>
      </c>
      <c r="C19" s="69"/>
      <c r="D19" s="78"/>
      <c r="E19" s="75"/>
      <c r="F19" s="76"/>
      <c r="G19" s="79"/>
      <c r="H19" s="71"/>
      <c r="I19" s="71"/>
      <c r="J19" s="75"/>
      <c r="K19" s="73"/>
      <c r="L19" s="73"/>
      <c r="M19" s="73"/>
      <c r="N19" s="73"/>
      <c r="O19" s="12"/>
      <c r="S19" s="40"/>
      <c r="T19" s="40"/>
      <c r="U19" s="40"/>
      <c r="V19" s="40"/>
      <c r="X19" s="76"/>
      <c r="Y19" s="12"/>
    </row>
    <row r="20" spans="1:29">
      <c r="B20" s="144" t="s">
        <v>1171</v>
      </c>
      <c r="C20" s="144"/>
      <c r="D20" s="144"/>
      <c r="E20" s="299"/>
      <c r="F20" s="144"/>
      <c r="G20" s="144"/>
      <c r="H20" s="149"/>
      <c r="I20" s="149"/>
      <c r="J20" s="146"/>
      <c r="K20" s="488"/>
      <c r="L20" s="488"/>
      <c r="M20" s="488"/>
      <c r="N20" s="487"/>
      <c r="O20" s="150"/>
      <c r="P20" s="151"/>
      <c r="Q20" s="151"/>
      <c r="R20" s="151"/>
      <c r="S20" s="476"/>
      <c r="T20" s="476"/>
      <c r="U20" s="476"/>
      <c r="V20" s="152">
        <f>SUM(V21:V27)</f>
        <v>0</v>
      </c>
      <c r="Y20" s="12"/>
    </row>
    <row r="21" spans="1:29">
      <c r="B21" s="184" t="s">
        <v>1069</v>
      </c>
      <c r="C21" s="182" t="s">
        <v>1256</v>
      </c>
      <c r="D21" s="177" t="s">
        <v>447</v>
      </c>
      <c r="E21" s="35"/>
      <c r="F21" s="24"/>
      <c r="G21" s="21"/>
      <c r="H21" s="21"/>
      <c r="I21" s="21"/>
      <c r="J21" s="301"/>
      <c r="K21" s="304"/>
      <c r="L21" s="304"/>
      <c r="M21" s="304"/>
      <c r="N21" s="240">
        <f t="shared" ref="N21:N30" si="2">IF($D21="MWh/yr (LHV)",$E21,$J21*$E21*(1-$L21)/Conversion_kWh_to_MJ)</f>
        <v>0</v>
      </c>
      <c r="O21" s="12"/>
      <c r="S21" s="298" t="str">
        <f t="shared" ref="S21:S30" si="3">IF(B21="", "", IF(D21="MWh/yr (LHV)", "Use column to right", "Enter data here"))</f>
        <v>Use column to right</v>
      </c>
      <c r="T21" s="298" t="e">
        <f>Initial_questions!$E$43*1/Conversion_kWh_to_MJ</f>
        <v>#VALUE!</v>
      </c>
      <c r="U21" s="35" t="s">
        <v>1110</v>
      </c>
      <c r="V21" s="67" t="str">
        <f t="shared" ref="V21:V30" si="4">IFERROR(IF(D21="tonnes/yr", $S21*$E21/($N$9*3.6), $T21*$E21*3.6/($N$9*3.6)), "Unfilled fields to left")</f>
        <v>Unfilled fields to left</v>
      </c>
      <c r="X21" s="21"/>
      <c r="Y21" s="12"/>
    </row>
    <row r="22" spans="1:29">
      <c r="B22" s="184" t="s">
        <v>1069</v>
      </c>
      <c r="C22" s="182" t="s">
        <v>1257</v>
      </c>
      <c r="D22" s="177" t="s">
        <v>447</v>
      </c>
      <c r="E22" s="35"/>
      <c r="F22" s="24"/>
      <c r="G22" s="21"/>
      <c r="H22" s="20"/>
      <c r="I22" s="36"/>
      <c r="J22" s="298"/>
      <c r="K22" s="300"/>
      <c r="L22" s="300"/>
      <c r="M22" s="300"/>
      <c r="N22" s="240">
        <f t="shared" si="2"/>
        <v>0</v>
      </c>
      <c r="O22" s="12"/>
      <c r="S22" s="298" t="str">
        <f t="shared" si="3"/>
        <v>Use column to right</v>
      </c>
      <c r="T22" s="298" t="e">
        <f>Initial_questions!$E$43*1/Conversion_kWh_to_MJ</f>
        <v>#VALUE!</v>
      </c>
      <c r="U22" s="35" t="s">
        <v>1110</v>
      </c>
      <c r="V22" s="67" t="str">
        <f t="shared" si="4"/>
        <v>Unfilled fields to left</v>
      </c>
      <c r="X22" s="25"/>
      <c r="Y22" s="12"/>
    </row>
    <row r="23" spans="1:29">
      <c r="B23" s="184" t="s">
        <v>1069</v>
      </c>
      <c r="C23" s="182" t="s">
        <v>1174</v>
      </c>
      <c r="D23" s="177" t="s">
        <v>447</v>
      </c>
      <c r="E23" s="35"/>
      <c r="F23" s="24"/>
      <c r="G23" s="21"/>
      <c r="H23" s="20"/>
      <c r="I23" s="36"/>
      <c r="J23" s="298"/>
      <c r="K23" s="300"/>
      <c r="L23" s="300"/>
      <c r="M23" s="300"/>
      <c r="N23" s="240">
        <f t="shared" si="2"/>
        <v>0</v>
      </c>
      <c r="O23" s="55"/>
      <c r="S23" s="298" t="str">
        <f t="shared" si="3"/>
        <v>Use column to right</v>
      </c>
      <c r="T23" s="298" t="e">
        <f>Initial_questions!$E$43*1/Conversion_kWh_to_MJ</f>
        <v>#VALUE!</v>
      </c>
      <c r="U23" s="35" t="s">
        <v>1110</v>
      </c>
      <c r="V23" s="67" t="str">
        <f t="shared" si="4"/>
        <v>Unfilled fields to left</v>
      </c>
      <c r="X23" s="25"/>
      <c r="Y23" s="12"/>
    </row>
    <row r="24" spans="1:29" s="14" customFormat="1">
      <c r="B24" s="184" t="s">
        <v>1069</v>
      </c>
      <c r="C24" s="182" t="s">
        <v>1087</v>
      </c>
      <c r="D24" s="177" t="s">
        <v>447</v>
      </c>
      <c r="E24" s="35"/>
      <c r="F24" s="24"/>
      <c r="G24" s="21"/>
      <c r="H24" s="63"/>
      <c r="I24" s="63"/>
      <c r="J24" s="302"/>
      <c r="K24" s="304"/>
      <c r="L24" s="304"/>
      <c r="M24" s="304"/>
      <c r="N24" s="240">
        <f t="shared" si="2"/>
        <v>0</v>
      </c>
      <c r="O24" s="19"/>
      <c r="P24" s="19"/>
      <c r="Q24" s="19"/>
      <c r="R24" s="19"/>
      <c r="S24" s="298" t="str">
        <f t="shared" si="3"/>
        <v>Use column to right</v>
      </c>
      <c r="T24" s="298" t="str">
        <f t="shared" ref="T24:T30" si="5">IF(B24="", "", IF(D24="MWh/yr (LHV)", "Enter data here", "Use column to left"))</f>
        <v>Enter data here</v>
      </c>
      <c r="U24" s="35" t="s">
        <v>1088</v>
      </c>
      <c r="V24" s="67" t="str">
        <f t="shared" si="4"/>
        <v>Unfilled fields to left</v>
      </c>
      <c r="X24" s="21"/>
    </row>
    <row r="25" spans="1:29" s="14" customFormat="1">
      <c r="B25" s="184" t="s">
        <v>1069</v>
      </c>
      <c r="C25" s="182" t="s">
        <v>1089</v>
      </c>
      <c r="D25" s="177" t="s">
        <v>447</v>
      </c>
      <c r="E25" s="35"/>
      <c r="F25" s="24"/>
      <c r="G25" s="21"/>
      <c r="H25" s="63"/>
      <c r="I25" s="63"/>
      <c r="J25" s="302"/>
      <c r="K25" s="304"/>
      <c r="L25" s="304"/>
      <c r="M25" s="304"/>
      <c r="N25" s="240">
        <f t="shared" si="2"/>
        <v>0</v>
      </c>
      <c r="O25" s="19"/>
      <c r="P25" s="19"/>
      <c r="Q25" s="19"/>
      <c r="R25" s="19"/>
      <c r="S25" s="298" t="str">
        <f t="shared" si="3"/>
        <v>Use column to right</v>
      </c>
      <c r="T25" s="298" t="str">
        <f t="shared" si="5"/>
        <v>Enter data here</v>
      </c>
      <c r="U25" s="35" t="s">
        <v>1088</v>
      </c>
      <c r="V25" s="67" t="str">
        <f t="shared" si="4"/>
        <v>Unfilled fields to left</v>
      </c>
      <c r="X25" s="65"/>
    </row>
    <row r="26" spans="1:29">
      <c r="B26" s="184" t="s">
        <v>1090</v>
      </c>
      <c r="C26" s="182" t="s">
        <v>1091</v>
      </c>
      <c r="D26" s="177" t="s">
        <v>425</v>
      </c>
      <c r="E26" s="35"/>
      <c r="F26" s="21"/>
      <c r="G26" s="21"/>
      <c r="H26" s="20"/>
      <c r="I26" s="36"/>
      <c r="J26" s="298"/>
      <c r="K26" s="300"/>
      <c r="L26" s="300"/>
      <c r="M26" s="300"/>
      <c r="N26" s="240">
        <f t="shared" si="2"/>
        <v>0</v>
      </c>
      <c r="O26" s="19"/>
      <c r="P26" s="19"/>
      <c r="Q26" s="19"/>
      <c r="R26" s="19"/>
      <c r="S26" s="298" t="str">
        <f t="shared" si="3"/>
        <v>Enter data here</v>
      </c>
      <c r="T26" s="298" t="str">
        <f t="shared" si="5"/>
        <v>Use column to left</v>
      </c>
      <c r="U26" s="35" t="s">
        <v>1092</v>
      </c>
      <c r="V26" s="67" t="str">
        <f t="shared" si="4"/>
        <v>Unfilled fields to left</v>
      </c>
      <c r="W26" s="19"/>
      <c r="X26" s="25"/>
      <c r="Y26" s="19"/>
      <c r="Z26" s="19"/>
      <c r="AA26" s="19"/>
      <c r="AB26" s="19"/>
      <c r="AC26" s="19"/>
    </row>
    <row r="27" spans="1:29">
      <c r="B27" s="184" t="s">
        <v>1090</v>
      </c>
      <c r="C27" s="182" t="s">
        <v>1093</v>
      </c>
      <c r="D27" s="177" t="s">
        <v>425</v>
      </c>
      <c r="E27" s="35"/>
      <c r="F27" s="21"/>
      <c r="G27" s="21"/>
      <c r="H27" s="20"/>
      <c r="I27" s="36"/>
      <c r="J27" s="298"/>
      <c r="K27" s="300"/>
      <c r="L27" s="300"/>
      <c r="M27" s="300"/>
      <c r="N27" s="240">
        <f t="shared" si="2"/>
        <v>0</v>
      </c>
      <c r="O27" s="19"/>
      <c r="P27" s="19"/>
      <c r="Q27" s="19"/>
      <c r="R27" s="19"/>
      <c r="S27" s="298" t="str">
        <f t="shared" si="3"/>
        <v>Enter data here</v>
      </c>
      <c r="T27" s="298" t="str">
        <f t="shared" si="5"/>
        <v>Use column to left</v>
      </c>
      <c r="U27" s="35" t="s">
        <v>1092</v>
      </c>
      <c r="V27" s="67" t="str">
        <f t="shared" si="4"/>
        <v>Unfilled fields to left</v>
      </c>
      <c r="W27" s="19"/>
      <c r="X27" s="25"/>
      <c r="Y27" s="19"/>
      <c r="Z27" s="19"/>
      <c r="AA27" s="19"/>
      <c r="AB27" s="19"/>
      <c r="AC27" s="19"/>
    </row>
    <row r="28" spans="1:29">
      <c r="B28" s="184" t="s">
        <v>1090</v>
      </c>
      <c r="C28" s="182" t="s">
        <v>1094</v>
      </c>
      <c r="D28" s="177" t="s">
        <v>425</v>
      </c>
      <c r="E28" s="35"/>
      <c r="F28" s="21"/>
      <c r="G28" s="21"/>
      <c r="H28" s="20"/>
      <c r="I28" s="36"/>
      <c r="J28" s="298"/>
      <c r="K28" s="300"/>
      <c r="L28" s="300"/>
      <c r="M28" s="300"/>
      <c r="N28" s="240">
        <f t="shared" si="2"/>
        <v>0</v>
      </c>
      <c r="O28" s="19"/>
      <c r="P28" s="19"/>
      <c r="Q28" s="19"/>
      <c r="R28" s="19"/>
      <c r="S28" s="298" t="str">
        <f t="shared" si="3"/>
        <v>Enter data here</v>
      </c>
      <c r="T28" s="298" t="str">
        <f t="shared" si="5"/>
        <v>Use column to left</v>
      </c>
      <c r="U28" s="35" t="s">
        <v>1092</v>
      </c>
      <c r="V28" s="67" t="str">
        <f t="shared" si="4"/>
        <v>Unfilled fields to left</v>
      </c>
      <c r="W28" s="19"/>
      <c r="X28" s="25"/>
      <c r="Y28" s="19"/>
      <c r="Z28" s="19"/>
      <c r="AA28" s="19"/>
      <c r="AB28" s="19"/>
      <c r="AC28" s="19"/>
    </row>
    <row r="29" spans="1:29">
      <c r="A29" s="19"/>
      <c r="B29" s="16"/>
      <c r="C29" s="15"/>
      <c r="D29" s="177"/>
      <c r="E29" s="35"/>
      <c r="F29" s="21"/>
      <c r="G29" s="21"/>
      <c r="H29" s="20"/>
      <c r="I29" s="36"/>
      <c r="J29" s="298"/>
      <c r="K29" s="300"/>
      <c r="L29" s="300"/>
      <c r="M29" s="300"/>
      <c r="N29" s="240">
        <f t="shared" si="2"/>
        <v>0</v>
      </c>
      <c r="O29" s="19"/>
      <c r="P29" s="19"/>
      <c r="Q29" s="19"/>
      <c r="R29" s="19"/>
      <c r="S29" s="298" t="str">
        <f t="shared" si="3"/>
        <v/>
      </c>
      <c r="T29" s="298" t="str">
        <f t="shared" si="5"/>
        <v/>
      </c>
      <c r="U29" s="35"/>
      <c r="V29" s="67" t="str">
        <f t="shared" si="4"/>
        <v>Unfilled fields to left</v>
      </c>
      <c r="W29" s="19"/>
      <c r="X29" s="25"/>
      <c r="Y29" s="19"/>
      <c r="Z29" s="19"/>
      <c r="AA29" s="19"/>
      <c r="AB29" s="19"/>
      <c r="AC29" s="19"/>
    </row>
    <row r="30" spans="1:29">
      <c r="A30" s="19"/>
      <c r="B30" s="16"/>
      <c r="C30" s="15"/>
      <c r="D30" s="177"/>
      <c r="E30" s="35"/>
      <c r="F30" s="21"/>
      <c r="G30" s="21"/>
      <c r="H30" s="20"/>
      <c r="I30" s="36"/>
      <c r="J30" s="298"/>
      <c r="K30" s="300"/>
      <c r="L30" s="300"/>
      <c r="M30" s="300"/>
      <c r="N30" s="240">
        <f t="shared" si="2"/>
        <v>0</v>
      </c>
      <c r="O30" s="19"/>
      <c r="P30" s="19"/>
      <c r="Q30" s="19"/>
      <c r="R30" s="19"/>
      <c r="S30" s="298" t="str">
        <f t="shared" si="3"/>
        <v/>
      </c>
      <c r="T30" s="298" t="str">
        <f t="shared" si="5"/>
        <v/>
      </c>
      <c r="U30" s="35"/>
      <c r="V30" s="67" t="str">
        <f t="shared" si="4"/>
        <v>Unfilled fields to left</v>
      </c>
      <c r="W30" s="19"/>
      <c r="X30" s="25"/>
      <c r="Y30" s="19"/>
      <c r="Z30" s="19"/>
      <c r="AA30" s="19"/>
      <c r="AB30" s="19"/>
      <c r="AC30" s="19"/>
    </row>
    <row r="31" spans="1:29">
      <c r="C31" s="471"/>
      <c r="D31" s="471"/>
      <c r="E31" s="504"/>
      <c r="F31" s="471"/>
      <c r="G31" s="70"/>
      <c r="H31" s="71"/>
      <c r="I31" s="72"/>
      <c r="J31" s="75"/>
      <c r="K31" s="73"/>
      <c r="L31" s="73"/>
      <c r="M31" s="73"/>
      <c r="N31" s="73"/>
      <c r="O31" s="12"/>
      <c r="S31" s="75"/>
      <c r="T31" s="73"/>
      <c r="U31" s="73"/>
      <c r="V31" s="73"/>
      <c r="X31" s="74"/>
      <c r="Y31" s="12"/>
    </row>
    <row r="32" spans="1:29" ht="30.95">
      <c r="B32" s="80" t="str">
        <f>IF(AND(GHG_BIOMETHANE_REFORM!D10="Default",Master_Switch = "On"),"Default data selected for the emissions category below, move to the next emissions category within this step","")</f>
        <v/>
      </c>
      <c r="C32" s="69"/>
      <c r="D32" s="69"/>
      <c r="E32" s="500"/>
      <c r="F32" s="70"/>
      <c r="G32" s="70"/>
      <c r="H32" s="71"/>
      <c r="I32" s="72"/>
      <c r="J32" s="75"/>
      <c r="K32" s="73"/>
      <c r="L32" s="73"/>
      <c r="M32" s="73"/>
      <c r="N32" s="73"/>
      <c r="O32" s="12"/>
      <c r="S32" s="75"/>
      <c r="T32" s="73"/>
      <c r="U32" s="73"/>
      <c r="V32" s="73"/>
      <c r="X32" s="74"/>
      <c r="Y32" s="12"/>
    </row>
    <row r="33" spans="2:25" ht="16.5">
      <c r="B33" s="144" t="s">
        <v>1175</v>
      </c>
      <c r="C33" s="153"/>
      <c r="D33" s="153"/>
      <c r="E33" s="501"/>
      <c r="F33" s="154"/>
      <c r="G33" s="154"/>
      <c r="H33" s="155"/>
      <c r="I33" s="156"/>
      <c r="J33" s="303"/>
      <c r="K33" s="472"/>
      <c r="L33" s="472"/>
      <c r="M33" s="472"/>
      <c r="N33" s="472"/>
      <c r="O33" s="157"/>
      <c r="P33" s="157"/>
      <c r="Q33" s="157"/>
      <c r="R33" s="157"/>
      <c r="S33" s="303"/>
      <c r="T33" s="472"/>
      <c r="U33" s="472"/>
      <c r="V33" s="152">
        <f>SUM(V34:V43)</f>
        <v>0</v>
      </c>
      <c r="X33" s="74"/>
      <c r="Y33" s="12"/>
    </row>
    <row r="34" spans="2:25">
      <c r="B34" s="16" t="s">
        <v>1096</v>
      </c>
      <c r="C34" s="182" t="s">
        <v>1176</v>
      </c>
      <c r="D34" s="177" t="s">
        <v>425</v>
      </c>
      <c r="E34" s="35"/>
      <c r="F34" s="21"/>
      <c r="G34" s="21"/>
      <c r="H34" s="21"/>
      <c r="I34" s="21"/>
      <c r="J34" s="304"/>
      <c r="K34" s="304"/>
      <c r="L34" s="304"/>
      <c r="M34" s="304"/>
      <c r="N34" s="240">
        <f t="shared" ref="N34:N43" si="6">IF($D34="MWh/yr (LHV)",$E34,$J34*$E34*(1-$L34)/Conversion_kWh_to_MJ)</f>
        <v>0</v>
      </c>
      <c r="O34" s="12"/>
      <c r="S34" s="35" t="str">
        <f t="shared" ref="S34:S43" si="7">IF(B34="", "", IF(D34="MWh/yr (LHV)", "Use column to right", "Enter data here"))</f>
        <v>Enter data here</v>
      </c>
      <c r="T34" s="35" t="str">
        <f t="shared" ref="T34:T43" si="8">IF(B34="", "", IF(D34="MWh/yr (LHV)", "Enter data here", "Use column to left"))</f>
        <v>Use column to left</v>
      </c>
      <c r="U34" s="35" t="s">
        <v>1098</v>
      </c>
      <c r="V34" s="44" t="str">
        <f t="shared" ref="V34:V43" si="9">IFERROR(IF(D34="tonnes/yr", $S34*$E34/($N$9*3.6), $T34*$E34*3.6/($N$9*3.6)), "Unfilled fields to left")</f>
        <v>Unfilled fields to left</v>
      </c>
      <c r="X34" s="21"/>
      <c r="Y34" s="12"/>
    </row>
    <row r="35" spans="2:25">
      <c r="B35" s="16" t="s">
        <v>1099</v>
      </c>
      <c r="C35" s="182" t="s">
        <v>1058</v>
      </c>
      <c r="D35" s="177" t="s">
        <v>425</v>
      </c>
      <c r="E35" s="35"/>
      <c r="F35" s="21"/>
      <c r="G35" s="21"/>
      <c r="H35" s="20"/>
      <c r="I35" s="36"/>
      <c r="J35" s="298"/>
      <c r="K35" s="300"/>
      <c r="L35" s="300"/>
      <c r="M35" s="300"/>
      <c r="N35" s="240">
        <f t="shared" si="6"/>
        <v>0</v>
      </c>
      <c r="O35" s="12"/>
      <c r="S35" s="35" t="str">
        <f t="shared" si="7"/>
        <v>Enter data here</v>
      </c>
      <c r="T35" s="35" t="str">
        <f t="shared" si="8"/>
        <v>Use column to left</v>
      </c>
      <c r="U35" s="35" t="s">
        <v>1098</v>
      </c>
      <c r="V35" s="44" t="str">
        <f t="shared" si="9"/>
        <v>Unfilled fields to left</v>
      </c>
      <c r="X35" s="25"/>
      <c r="Y35" s="12"/>
    </row>
    <row r="36" spans="2:25">
      <c r="B36" s="16" t="s">
        <v>1099</v>
      </c>
      <c r="C36" s="182" t="s">
        <v>1101</v>
      </c>
      <c r="D36" s="177" t="s">
        <v>425</v>
      </c>
      <c r="E36" s="35"/>
      <c r="F36" s="21"/>
      <c r="G36" s="21"/>
      <c r="H36" s="20"/>
      <c r="I36" s="36"/>
      <c r="J36" s="298"/>
      <c r="K36" s="300"/>
      <c r="L36" s="300"/>
      <c r="M36" s="300"/>
      <c r="N36" s="240">
        <f t="shared" si="6"/>
        <v>0</v>
      </c>
      <c r="O36" s="12"/>
      <c r="S36" s="35" t="str">
        <f t="shared" si="7"/>
        <v>Enter data here</v>
      </c>
      <c r="T36" s="35" t="str">
        <f t="shared" si="8"/>
        <v>Use column to left</v>
      </c>
      <c r="U36" s="35" t="s">
        <v>1098</v>
      </c>
      <c r="V36" s="44" t="str">
        <f t="shared" si="9"/>
        <v>Unfilled fields to left</v>
      </c>
      <c r="X36" s="25"/>
      <c r="Y36" s="12"/>
    </row>
    <row r="37" spans="2:25">
      <c r="B37" s="16" t="s">
        <v>1099</v>
      </c>
      <c r="C37" s="182"/>
      <c r="D37" s="177"/>
      <c r="E37" s="35"/>
      <c r="F37" s="21"/>
      <c r="G37" s="21"/>
      <c r="H37" s="20"/>
      <c r="I37" s="36"/>
      <c r="J37" s="298"/>
      <c r="K37" s="300"/>
      <c r="L37" s="300"/>
      <c r="M37" s="300"/>
      <c r="N37" s="240">
        <f t="shared" si="6"/>
        <v>0</v>
      </c>
      <c r="O37" s="12"/>
      <c r="S37" s="35" t="str">
        <f t="shared" si="7"/>
        <v>Enter data here</v>
      </c>
      <c r="T37" s="35" t="str">
        <f t="shared" si="8"/>
        <v>Use column to left</v>
      </c>
      <c r="U37" s="35" t="s">
        <v>1098</v>
      </c>
      <c r="V37" s="44" t="str">
        <f t="shared" si="9"/>
        <v>Unfilled fields to left</v>
      </c>
      <c r="X37" s="25"/>
      <c r="Y37" s="12"/>
    </row>
    <row r="38" spans="2:25">
      <c r="B38" s="16" t="s">
        <v>1102</v>
      </c>
      <c r="C38" s="182" t="s">
        <v>1103</v>
      </c>
      <c r="D38" s="177" t="s">
        <v>425</v>
      </c>
      <c r="E38" s="35"/>
      <c r="F38" s="21"/>
      <c r="G38" s="21"/>
      <c r="H38" s="20"/>
      <c r="I38" s="36"/>
      <c r="J38" s="298"/>
      <c r="K38" s="300"/>
      <c r="L38" s="300"/>
      <c r="M38" s="300"/>
      <c r="N38" s="240">
        <f t="shared" si="6"/>
        <v>0</v>
      </c>
      <c r="O38" s="12"/>
      <c r="S38" s="35" t="str">
        <f t="shared" si="7"/>
        <v>Enter data here</v>
      </c>
      <c r="T38" s="35" t="str">
        <f t="shared" si="8"/>
        <v>Use column to left</v>
      </c>
      <c r="U38" s="35" t="s">
        <v>1098</v>
      </c>
      <c r="V38" s="44" t="str">
        <f t="shared" si="9"/>
        <v>Unfilled fields to left</v>
      </c>
      <c r="X38" s="25"/>
      <c r="Y38" s="12"/>
    </row>
    <row r="39" spans="2:25">
      <c r="B39" s="16" t="s">
        <v>1102</v>
      </c>
      <c r="C39" s="15"/>
      <c r="D39" s="177"/>
      <c r="E39" s="35"/>
      <c r="F39" s="21"/>
      <c r="G39" s="21"/>
      <c r="H39" s="20"/>
      <c r="I39" s="36"/>
      <c r="J39" s="298"/>
      <c r="K39" s="300"/>
      <c r="L39" s="300"/>
      <c r="M39" s="300"/>
      <c r="N39" s="240">
        <f t="shared" si="6"/>
        <v>0</v>
      </c>
      <c r="O39" s="12"/>
      <c r="S39" s="35" t="str">
        <f t="shared" si="7"/>
        <v>Enter data here</v>
      </c>
      <c r="T39" s="35" t="str">
        <f t="shared" si="8"/>
        <v>Use column to left</v>
      </c>
      <c r="U39" s="35" t="s">
        <v>1098</v>
      </c>
      <c r="V39" s="44" t="str">
        <f t="shared" si="9"/>
        <v>Unfilled fields to left</v>
      </c>
      <c r="X39" s="25"/>
      <c r="Y39" s="12"/>
    </row>
    <row r="40" spans="2:25">
      <c r="B40" s="16"/>
      <c r="C40" s="15"/>
      <c r="D40" s="177"/>
      <c r="E40" s="35"/>
      <c r="F40" s="54"/>
      <c r="G40" s="21"/>
      <c r="H40" s="20"/>
      <c r="I40" s="36"/>
      <c r="J40" s="298"/>
      <c r="K40" s="300"/>
      <c r="L40" s="300"/>
      <c r="M40" s="300"/>
      <c r="N40" s="240">
        <f t="shared" si="6"/>
        <v>0</v>
      </c>
      <c r="O40" s="12"/>
      <c r="S40" s="35" t="str">
        <f t="shared" si="7"/>
        <v/>
      </c>
      <c r="T40" s="35" t="str">
        <f t="shared" si="8"/>
        <v/>
      </c>
      <c r="U40" s="35"/>
      <c r="V40" s="44" t="str">
        <f t="shared" si="9"/>
        <v>Unfilled fields to left</v>
      </c>
      <c r="X40" s="25"/>
      <c r="Y40" s="12"/>
    </row>
    <row r="41" spans="2:25">
      <c r="B41" s="16"/>
      <c r="C41" s="15"/>
      <c r="D41" s="177"/>
      <c r="E41" s="35"/>
      <c r="F41" s="54"/>
      <c r="G41" s="21"/>
      <c r="H41" s="20"/>
      <c r="I41" s="36"/>
      <c r="J41" s="298"/>
      <c r="K41" s="300"/>
      <c r="L41" s="300"/>
      <c r="M41" s="300"/>
      <c r="N41" s="240">
        <f t="shared" si="6"/>
        <v>0</v>
      </c>
      <c r="O41" s="12"/>
      <c r="S41" s="35" t="str">
        <f t="shared" si="7"/>
        <v/>
      </c>
      <c r="T41" s="35" t="str">
        <f t="shared" si="8"/>
        <v/>
      </c>
      <c r="U41" s="35"/>
      <c r="V41" s="44" t="str">
        <f t="shared" si="9"/>
        <v>Unfilled fields to left</v>
      </c>
      <c r="X41" s="25"/>
      <c r="Y41" s="12"/>
    </row>
    <row r="42" spans="2:25">
      <c r="B42" s="16"/>
      <c r="C42" s="15"/>
      <c r="D42" s="177"/>
      <c r="E42" s="35"/>
      <c r="F42" s="54"/>
      <c r="G42" s="21"/>
      <c r="H42" s="20"/>
      <c r="I42" s="36"/>
      <c r="J42" s="298"/>
      <c r="K42" s="300"/>
      <c r="L42" s="300"/>
      <c r="M42" s="300"/>
      <c r="N42" s="240">
        <f t="shared" si="6"/>
        <v>0</v>
      </c>
      <c r="O42" s="12"/>
      <c r="S42" s="35" t="str">
        <f t="shared" si="7"/>
        <v/>
      </c>
      <c r="T42" s="35" t="str">
        <f t="shared" si="8"/>
        <v/>
      </c>
      <c r="U42" s="35"/>
      <c r="V42" s="44" t="str">
        <f t="shared" si="9"/>
        <v>Unfilled fields to left</v>
      </c>
      <c r="X42" s="25"/>
      <c r="Y42" s="12"/>
    </row>
    <row r="43" spans="2:25">
      <c r="B43" s="16"/>
      <c r="C43" s="15"/>
      <c r="D43" s="177"/>
      <c r="E43" s="35"/>
      <c r="F43" s="21"/>
      <c r="G43" s="21"/>
      <c r="H43" s="20"/>
      <c r="I43" s="36"/>
      <c r="J43" s="298"/>
      <c r="K43" s="300"/>
      <c r="L43" s="300"/>
      <c r="M43" s="300"/>
      <c r="N43" s="240">
        <f t="shared" si="6"/>
        <v>0</v>
      </c>
      <c r="O43" s="12"/>
      <c r="S43" s="35" t="str">
        <f t="shared" si="7"/>
        <v/>
      </c>
      <c r="T43" s="35" t="str">
        <f t="shared" si="8"/>
        <v/>
      </c>
      <c r="U43" s="35"/>
      <c r="V43" s="44" t="str">
        <f t="shared" si="9"/>
        <v>Unfilled fields to left</v>
      </c>
      <c r="X43" s="25"/>
      <c r="Y43" s="12"/>
    </row>
    <row r="44" spans="2:25">
      <c r="B44" s="14"/>
      <c r="C44" s="83"/>
      <c r="D44" s="83"/>
      <c r="E44" s="494"/>
      <c r="F44" s="84"/>
      <c r="G44" s="85"/>
      <c r="H44" s="86"/>
      <c r="I44" s="86"/>
      <c r="J44" s="87"/>
      <c r="K44" s="87"/>
      <c r="L44" s="87"/>
      <c r="M44" s="87"/>
      <c r="N44" s="87"/>
      <c r="O44" s="28"/>
      <c r="P44" s="14"/>
      <c r="Q44" s="14"/>
      <c r="R44" s="14"/>
      <c r="S44" s="87"/>
      <c r="T44" s="87"/>
      <c r="U44" s="87"/>
      <c r="V44" s="87"/>
      <c r="X44" s="27"/>
      <c r="Y44" s="12"/>
    </row>
    <row r="45" spans="2:25" s="14" customFormat="1" ht="16.5">
      <c r="B45" s="144" t="s">
        <v>1179</v>
      </c>
      <c r="C45" s="153"/>
      <c r="D45" s="153"/>
      <c r="E45" s="501"/>
      <c r="F45" s="154"/>
      <c r="G45" s="154"/>
      <c r="H45" s="155"/>
      <c r="I45" s="156"/>
      <c r="J45" s="303"/>
      <c r="K45" s="472"/>
      <c r="L45" s="472"/>
      <c r="M45" s="472"/>
      <c r="N45" s="472"/>
      <c r="O45" s="157"/>
      <c r="P45" s="157"/>
      <c r="Q45" s="157"/>
      <c r="R45" s="157"/>
      <c r="S45" s="303"/>
      <c r="T45" s="472"/>
      <c r="U45" s="472"/>
      <c r="V45" s="152">
        <f>SUM(V46:V50)</f>
        <v>0</v>
      </c>
      <c r="X45" s="70"/>
    </row>
    <row r="46" spans="2:25" s="14" customFormat="1">
      <c r="B46" s="16" t="s">
        <v>1105</v>
      </c>
      <c r="C46" s="182" t="s">
        <v>1258</v>
      </c>
      <c r="D46" s="177" t="s">
        <v>425</v>
      </c>
      <c r="E46" s="35"/>
      <c r="F46" s="24"/>
      <c r="G46" s="21"/>
      <c r="H46" s="21"/>
      <c r="I46" s="21"/>
      <c r="J46" s="304"/>
      <c r="K46" s="304"/>
      <c r="L46" s="304"/>
      <c r="M46" s="304"/>
      <c r="N46" s="240">
        <f>IF($D46="MWh/yr (LHV)",$E46,$J46*$E46*(1-$L46)/Conversion_kWh_to_MJ)</f>
        <v>0</v>
      </c>
      <c r="O46" s="12"/>
      <c r="P46" s="12"/>
      <c r="Q46" s="12"/>
      <c r="R46" s="12"/>
      <c r="S46" s="298">
        <v>0</v>
      </c>
      <c r="T46" s="473"/>
      <c r="U46" s="35" t="s">
        <v>1248</v>
      </c>
      <c r="V46" s="240" t="str">
        <f>IFERROR(IF(D46="tonnes/yr", $S46*$E46/($N$9*3.6), $T46*$E46*3.6/($N$9*3.6)), "Unfilled fields to left")</f>
        <v>Unfilled fields to left</v>
      </c>
      <c r="X46" s="21"/>
    </row>
    <row r="47" spans="2:25" s="14" customFormat="1">
      <c r="B47" s="16" t="s">
        <v>1105</v>
      </c>
      <c r="C47" s="182" t="s">
        <v>1259</v>
      </c>
      <c r="D47" s="177" t="s">
        <v>425</v>
      </c>
      <c r="E47" s="35"/>
      <c r="F47" s="63"/>
      <c r="G47" s="63"/>
      <c r="H47" s="63"/>
      <c r="I47" s="63"/>
      <c r="J47" s="302"/>
      <c r="K47" s="304"/>
      <c r="L47" s="304"/>
      <c r="M47" s="304"/>
      <c r="N47" s="240">
        <f>IF($D47="MWh/yr (LHV)",$E47,$J47*$E47*(1-$L47)/Conversion_kWh_to_MJ)</f>
        <v>0</v>
      </c>
      <c r="O47" s="12"/>
      <c r="P47" s="12"/>
      <c r="Q47" s="12"/>
      <c r="R47" s="12"/>
      <c r="S47" s="35">
        <v>1000</v>
      </c>
      <c r="T47" s="514"/>
      <c r="U47" s="35" t="s">
        <v>1158</v>
      </c>
      <c r="V47" s="240" t="str">
        <f>IFERROR(IF(D47="tonnes/yr", $S47*$E47/($N$9*3.6), $T47*$E47*3.6/($N$9*3.6)), "Unfilled fields to left")</f>
        <v>Unfilled fields to left</v>
      </c>
      <c r="X47" s="21"/>
    </row>
    <row r="48" spans="2:25" s="14" customFormat="1">
      <c r="B48" s="64"/>
      <c r="C48" s="15"/>
      <c r="D48" s="177"/>
      <c r="E48" s="35"/>
      <c r="F48" s="21"/>
      <c r="G48" s="21"/>
      <c r="H48" s="63"/>
      <c r="I48" s="63"/>
      <c r="J48" s="302"/>
      <c r="K48" s="304"/>
      <c r="L48" s="304"/>
      <c r="M48" s="304"/>
      <c r="N48" s="240">
        <f>IF($D48="MWh/yr (LHV)",$E48,$J48*$E48*(1-$L48)/Conversion_kWh_to_MJ)</f>
        <v>0</v>
      </c>
      <c r="O48" s="19"/>
      <c r="P48" s="19"/>
      <c r="Q48" s="19"/>
      <c r="R48" s="19"/>
      <c r="S48" s="300"/>
      <c r="T48" s="473"/>
      <c r="U48" s="300"/>
      <c r="V48" s="240" t="str">
        <f>IFERROR(IF(D48="tonnes/yr", $S48*$E48/($N$9*3.6), $T48*$E48*3.6/($N$9*3.6)), "Unfilled fields to left")</f>
        <v>Unfilled fields to left</v>
      </c>
      <c r="X48" s="65"/>
    </row>
    <row r="49" spans="2:25" s="14" customFormat="1">
      <c r="B49" s="64"/>
      <c r="C49" s="15"/>
      <c r="D49" s="177"/>
      <c r="E49" s="35"/>
      <c r="F49" s="21"/>
      <c r="G49" s="21"/>
      <c r="H49" s="21"/>
      <c r="I49" s="21"/>
      <c r="J49" s="304"/>
      <c r="K49" s="304"/>
      <c r="L49" s="304"/>
      <c r="M49" s="304"/>
      <c r="N49" s="240">
        <f>IF($D49="MWh/yr (LHV)",$E49,$J49*$E49*(1-$L49)/Conversion_kWh_to_MJ)</f>
        <v>0</v>
      </c>
      <c r="O49" s="19"/>
      <c r="P49" s="19"/>
      <c r="Q49" s="19"/>
      <c r="R49" s="19"/>
      <c r="S49" s="306"/>
      <c r="T49" s="473"/>
      <c r="U49" s="300"/>
      <c r="V49" s="240" t="str">
        <f>IFERROR(IF(D49="tonnes/yr", $S49*$E49/($N$9*3.6), $T49*$E49*3.6/($N$9*3.6)), "Unfilled fields to left")</f>
        <v>Unfilled fields to left</v>
      </c>
      <c r="X49" s="65"/>
    </row>
    <row r="50" spans="2:25" s="14" customFormat="1">
      <c r="B50" s="64"/>
      <c r="C50" s="15"/>
      <c r="D50" s="177"/>
      <c r="E50" s="35"/>
      <c r="F50" s="21"/>
      <c r="G50" s="21"/>
      <c r="H50" s="21"/>
      <c r="I50" s="21"/>
      <c r="J50" s="304"/>
      <c r="K50" s="304"/>
      <c r="L50" s="304"/>
      <c r="M50" s="304"/>
      <c r="N50" s="240">
        <f>IF($D50="MWh/yr (LHV)",$E50,$J50*$E50*(1-$L50)/Conversion_kWh_to_MJ)</f>
        <v>0</v>
      </c>
      <c r="O50" s="19"/>
      <c r="P50" s="19"/>
      <c r="Q50" s="19"/>
      <c r="R50" s="19"/>
      <c r="S50" s="306"/>
      <c r="T50" s="473"/>
      <c r="U50" s="300"/>
      <c r="V50" s="240" t="str">
        <f>IFERROR(IF(D50="tonnes/yr", $S50*$E50/($N$9*3.6), $T50*$E50*3.6/($N$9*3.6)), "Unfilled fields to left")</f>
        <v>Unfilled fields to left</v>
      </c>
      <c r="X50" s="65"/>
    </row>
    <row r="51" spans="2:25" s="14" customFormat="1">
      <c r="B51" s="68"/>
      <c r="C51" s="69"/>
      <c r="D51" s="69"/>
      <c r="E51" s="500"/>
      <c r="F51" s="70"/>
      <c r="G51" s="70"/>
      <c r="H51" s="70"/>
      <c r="I51" s="70"/>
      <c r="J51" s="141"/>
      <c r="K51" s="141"/>
      <c r="L51" s="141"/>
      <c r="M51" s="141"/>
      <c r="N51" s="73"/>
      <c r="O51" s="19"/>
      <c r="P51" s="19"/>
      <c r="Q51" s="19"/>
      <c r="R51" s="19"/>
      <c r="S51" s="73"/>
      <c r="T51" s="73"/>
      <c r="U51" s="73"/>
      <c r="V51" s="73"/>
      <c r="X51" s="70"/>
    </row>
    <row r="52" spans="2:25" s="14" customFormat="1" ht="16.5">
      <c r="B52" s="144" t="s">
        <v>1108</v>
      </c>
      <c r="C52" s="153"/>
      <c r="D52" s="153"/>
      <c r="E52" s="501"/>
      <c r="F52" s="154"/>
      <c r="G52" s="154"/>
      <c r="H52" s="155"/>
      <c r="I52" s="156"/>
      <c r="J52" s="303"/>
      <c r="K52" s="472"/>
      <c r="L52" s="472"/>
      <c r="M52" s="472"/>
      <c r="N52" s="472"/>
      <c r="O52" s="157"/>
      <c r="P52" s="157"/>
      <c r="Q52" s="157"/>
      <c r="R52" s="157"/>
      <c r="S52" s="303"/>
      <c r="T52" s="472"/>
      <c r="U52" s="472"/>
      <c r="V52" s="152">
        <f>SUM(V53:V58)</f>
        <v>0</v>
      </c>
      <c r="X52" s="70"/>
    </row>
    <row r="53" spans="2:25" s="14" customFormat="1">
      <c r="B53" s="184" t="s">
        <v>1069</v>
      </c>
      <c r="C53" s="182" t="s">
        <v>1109</v>
      </c>
      <c r="D53" s="177" t="s">
        <v>447</v>
      </c>
      <c r="E53" s="35"/>
      <c r="F53" s="24"/>
      <c r="G53" s="21"/>
      <c r="H53" s="63"/>
      <c r="I53" s="63"/>
      <c r="J53" s="302"/>
      <c r="K53" s="304"/>
      <c r="L53" s="304"/>
      <c r="M53" s="304"/>
      <c r="N53" s="240">
        <f t="shared" ref="N53:N58" si="10">IF($D53="MWh/yr (LHV)",$E53,$J53*$E53*(1-$L53)/Conversion_kWh_to_MJ)</f>
        <v>0</v>
      </c>
      <c r="O53" s="19"/>
      <c r="P53" s="19"/>
      <c r="Q53" s="19"/>
      <c r="R53" s="19"/>
      <c r="S53" s="298" t="str">
        <f>IF(B53="", "", IF(D53="MWh/yr (LHV)", "Use column to right", "Enter data here"))</f>
        <v>Use column to right</v>
      </c>
      <c r="T53" s="298" t="e">
        <f>Initial_questions!$E$43*1/Conversion_kWh_to_MJ</f>
        <v>#VALUE!</v>
      </c>
      <c r="U53" s="35" t="s">
        <v>1110</v>
      </c>
      <c r="V53" s="240" t="str">
        <f t="shared" ref="V53:V58" si="11">IFERROR(IF(D53="tonnes/yr", $S53*$E53/($N$9*3.6), $T53*$E53*3.6/($N$9*3.6)), "Unfilled fields to left")</f>
        <v>Unfilled fields to left</v>
      </c>
      <c r="X53" s="21"/>
    </row>
    <row r="54" spans="2:25" s="14" customFormat="1">
      <c r="B54" s="184" t="s">
        <v>1069</v>
      </c>
      <c r="C54" s="182" t="s">
        <v>1111</v>
      </c>
      <c r="D54" s="177" t="s">
        <v>447</v>
      </c>
      <c r="E54" s="35"/>
      <c r="F54" s="24"/>
      <c r="G54" s="21"/>
      <c r="H54" s="63"/>
      <c r="I54" s="63"/>
      <c r="J54" s="302"/>
      <c r="K54" s="304"/>
      <c r="L54" s="304"/>
      <c r="M54" s="304"/>
      <c r="N54" s="240">
        <f t="shared" si="10"/>
        <v>0</v>
      </c>
      <c r="O54" s="19"/>
      <c r="P54" s="19"/>
      <c r="Q54" s="19"/>
      <c r="R54" s="19"/>
      <c r="S54" s="298" t="str">
        <f>IF(B54="", "", IF(D54="MWh/yr (LHV)", "Use column to right", "Enter data here"))</f>
        <v>Use column to right</v>
      </c>
      <c r="T54" s="298" t="e">
        <f>INDEX(Proj_grid_intensity_kWh,MATCH(Operations_year,Proj_grid_year,0))/Conversion_kWh_to_MJ</f>
        <v>#N/A</v>
      </c>
      <c r="U54" s="35" t="s">
        <v>1112</v>
      </c>
      <c r="V54" s="240" t="str">
        <f t="shared" si="11"/>
        <v>Unfilled fields to left</v>
      </c>
      <c r="X54" s="65"/>
    </row>
    <row r="55" spans="2:25" s="14" customFormat="1">
      <c r="B55" s="184" t="s">
        <v>1069</v>
      </c>
      <c r="C55" s="182" t="s">
        <v>1113</v>
      </c>
      <c r="D55" s="177" t="s">
        <v>425</v>
      </c>
      <c r="E55" s="35"/>
      <c r="F55" s="24"/>
      <c r="G55" s="21"/>
      <c r="H55" s="63"/>
      <c r="I55" s="63"/>
      <c r="J55" s="302"/>
      <c r="K55" s="304"/>
      <c r="L55" s="304"/>
      <c r="M55" s="304"/>
      <c r="N55" s="240">
        <f t="shared" si="10"/>
        <v>0</v>
      </c>
      <c r="O55" s="19"/>
      <c r="P55" s="19"/>
      <c r="Q55" s="19"/>
      <c r="R55" s="19"/>
      <c r="S55" s="298" t="str">
        <f>IF(B55="", "", IF(D55="MWh/yr (LHV)", "Use column to right", "Enter data here"))</f>
        <v>Enter data here</v>
      </c>
      <c r="T55" s="298" t="str">
        <f>IF(B55="", "", IF(D55="MWh/yr (LHV)", "Enter data here", "Use column to left"))</f>
        <v>Use column to left</v>
      </c>
      <c r="U55" s="35" t="s">
        <v>1114</v>
      </c>
      <c r="V55" s="240" t="str">
        <f t="shared" si="11"/>
        <v>Unfilled fields to left</v>
      </c>
      <c r="X55" s="65"/>
    </row>
    <row r="56" spans="2:25">
      <c r="B56" s="184" t="s">
        <v>1069</v>
      </c>
      <c r="C56" s="182" t="s">
        <v>1115</v>
      </c>
      <c r="D56" s="177" t="s">
        <v>425</v>
      </c>
      <c r="E56" s="35"/>
      <c r="F56" s="21"/>
      <c r="G56" s="21"/>
      <c r="H56" s="21"/>
      <c r="I56" s="21"/>
      <c r="J56" s="304"/>
      <c r="K56" s="304"/>
      <c r="L56" s="304"/>
      <c r="M56" s="304"/>
      <c r="N56" s="240">
        <f t="shared" si="10"/>
        <v>0</v>
      </c>
      <c r="O56" s="12"/>
      <c r="S56" s="298" t="str">
        <f>IF(B56="", "", IF(D56="MWh/yr (LHV)", "Use column to right", "Enter data here"))</f>
        <v>Enter data here</v>
      </c>
      <c r="T56" s="298" t="str">
        <f>IF(B56="", "", IF(D56="MWh/yr (LHV)", "Enter data here", "Use column to left"))</f>
        <v>Use column to left</v>
      </c>
      <c r="U56" s="35" t="s">
        <v>1114</v>
      </c>
      <c r="V56" s="240" t="str">
        <f t="shared" si="11"/>
        <v>Unfilled fields to left</v>
      </c>
      <c r="X56" s="21"/>
      <c r="Y56" s="12"/>
    </row>
    <row r="57" spans="2:25">
      <c r="B57" s="184" t="s">
        <v>1069</v>
      </c>
      <c r="C57" s="182" t="s">
        <v>1116</v>
      </c>
      <c r="D57" s="177" t="s">
        <v>447</v>
      </c>
      <c r="E57" s="35"/>
      <c r="F57" s="21"/>
      <c r="G57" s="21"/>
      <c r="H57" s="21"/>
      <c r="I57" s="21"/>
      <c r="J57" s="304"/>
      <c r="K57" s="304"/>
      <c r="L57" s="304"/>
      <c r="M57" s="304"/>
      <c r="N57" s="240">
        <f t="shared" si="10"/>
        <v>0</v>
      </c>
      <c r="O57" s="12"/>
      <c r="S57" s="298" t="str">
        <f>IF(B57="", "", IF(D57="MWh/yr (LHV)", "Use column to right", "Enter data here"))</f>
        <v>Use column to right</v>
      </c>
      <c r="T57" s="298" t="e">
        <f>INDEX(Proj_grid_intensity_kWh,MATCH(Operations_year,Proj_grid_year,0))/Conversion_kWh_to_MJ</f>
        <v>#N/A</v>
      </c>
      <c r="U57" s="35" t="s">
        <v>1112</v>
      </c>
      <c r="V57" s="240" t="str">
        <f t="shared" si="11"/>
        <v>Unfilled fields to left</v>
      </c>
      <c r="X57" s="21"/>
      <c r="Y57" s="12"/>
    </row>
    <row r="58" spans="2:25">
      <c r="B58" s="16"/>
      <c r="C58" s="15"/>
      <c r="D58" s="177"/>
      <c r="E58" s="35"/>
      <c r="F58" s="21"/>
      <c r="G58" s="21"/>
      <c r="H58" s="21"/>
      <c r="I58" s="21"/>
      <c r="J58" s="304"/>
      <c r="K58" s="304"/>
      <c r="L58" s="304"/>
      <c r="M58" s="304"/>
      <c r="N58" s="240">
        <f t="shared" si="10"/>
        <v>0</v>
      </c>
      <c r="O58" s="12"/>
      <c r="S58" s="300"/>
      <c r="T58" s="300"/>
      <c r="U58" s="300"/>
      <c r="V58" s="240" t="str">
        <f t="shared" si="11"/>
        <v>Unfilled fields to left</v>
      </c>
      <c r="X58" s="21"/>
      <c r="Y58" s="12"/>
    </row>
    <row r="59" spans="2:25" s="14" customFormat="1">
      <c r="B59" s="68"/>
      <c r="C59" s="69"/>
      <c r="D59" s="69"/>
      <c r="E59" s="141"/>
      <c r="F59" s="70"/>
      <c r="G59" s="70"/>
      <c r="H59" s="71"/>
      <c r="I59" s="71"/>
      <c r="J59" s="73"/>
      <c r="K59" s="73"/>
      <c r="L59" s="73"/>
      <c r="M59" s="73"/>
      <c r="N59" s="73"/>
      <c r="O59" s="12"/>
      <c r="P59" s="12"/>
      <c r="Q59" s="12"/>
      <c r="R59" s="12"/>
      <c r="S59" s="73"/>
      <c r="T59" s="73"/>
      <c r="U59" s="73"/>
      <c r="V59" s="73"/>
      <c r="X59" s="70"/>
    </row>
    <row r="60" spans="2:25" s="14" customFormat="1" ht="16.5">
      <c r="B60" s="144" t="s">
        <v>1117</v>
      </c>
      <c r="C60" s="153"/>
      <c r="D60" s="153"/>
      <c r="E60" s="501"/>
      <c r="F60" s="154"/>
      <c r="G60" s="154"/>
      <c r="H60" s="155"/>
      <c r="I60" s="156"/>
      <c r="J60" s="303"/>
      <c r="K60" s="472"/>
      <c r="L60" s="472"/>
      <c r="M60" s="472"/>
      <c r="N60" s="472"/>
      <c r="O60" s="157"/>
      <c r="P60" s="157"/>
      <c r="Q60" s="157"/>
      <c r="R60" s="157"/>
      <c r="S60" s="303"/>
      <c r="T60" s="472"/>
      <c r="U60" s="472"/>
      <c r="V60" s="152">
        <f>SUM(V61:V65)</f>
        <v>0</v>
      </c>
      <c r="X60" s="70"/>
    </row>
    <row r="61" spans="2:25" s="14" customFormat="1">
      <c r="B61" s="184" t="s">
        <v>1118</v>
      </c>
      <c r="C61" s="182" t="s">
        <v>1260</v>
      </c>
      <c r="D61" s="177" t="s">
        <v>425</v>
      </c>
      <c r="E61" s="35">
        <f>E46*$E$80</f>
        <v>0</v>
      </c>
      <c r="F61" s="63"/>
      <c r="G61" s="63"/>
      <c r="H61" s="63"/>
      <c r="I61" s="63"/>
      <c r="J61" s="302"/>
      <c r="K61" s="304"/>
      <c r="L61" s="304"/>
      <c r="M61" s="304"/>
      <c r="N61" s="240">
        <f>IF($D61="MWh/yr (LHV)",$E61,$J61*$E61*(1-$L61)/Conversion_kWh_to_MJ)</f>
        <v>0</v>
      </c>
      <c r="O61" s="12"/>
      <c r="P61" s="12"/>
      <c r="Q61" s="12"/>
      <c r="R61" s="12"/>
      <c r="S61" s="298">
        <v>-1000</v>
      </c>
      <c r="T61" s="473"/>
      <c r="U61" s="35" t="s">
        <v>1251</v>
      </c>
      <c r="V61" s="240" t="str">
        <f>IFERROR(IF(D61="tonnes/yr", $S61*$E61/($N$9*3.6), $T61*$E61*3.6/($N$9*3.6)), "Unfilled fields to left")</f>
        <v>Unfilled fields to left</v>
      </c>
      <c r="X61" s="21"/>
    </row>
    <row r="62" spans="2:25" s="14" customFormat="1">
      <c r="B62" s="184" t="s">
        <v>1118</v>
      </c>
      <c r="C62" s="182" t="s">
        <v>1181</v>
      </c>
      <c r="D62" s="177" t="s">
        <v>425</v>
      </c>
      <c r="E62" s="35">
        <f>E47*$E$80</f>
        <v>0</v>
      </c>
      <c r="F62" s="21"/>
      <c r="G62" s="21"/>
      <c r="H62" s="63"/>
      <c r="I62" s="63"/>
      <c r="J62" s="302"/>
      <c r="K62" s="304"/>
      <c r="L62" s="304"/>
      <c r="M62" s="304"/>
      <c r="N62" s="240">
        <f>IF($D62="MWh/yr (LHV)",$E62,$J62*$E62*(1-$L62)/Conversion_kWh_to_MJ)</f>
        <v>0</v>
      </c>
      <c r="O62" s="19"/>
      <c r="P62" s="19"/>
      <c r="Q62" s="19"/>
      <c r="R62" s="19"/>
      <c r="S62" s="298">
        <v>-1000</v>
      </c>
      <c r="T62" s="473"/>
      <c r="U62" s="35" t="s">
        <v>1182</v>
      </c>
      <c r="V62" s="240" t="str">
        <f>IFERROR(IF(D62="tonnes/yr", $S62*$E62/($N$9*3.6), $T62*$E62*3.6/($N$9*3.6)), "Unfilled fields to left")</f>
        <v>Unfilled fields to left</v>
      </c>
      <c r="X62" s="65"/>
    </row>
    <row r="63" spans="2:25" s="14" customFormat="1">
      <c r="B63" s="64"/>
      <c r="C63" s="15"/>
      <c r="D63" s="177"/>
      <c r="E63" s="35"/>
      <c r="F63" s="21"/>
      <c r="G63" s="21"/>
      <c r="H63" s="63"/>
      <c r="I63" s="63"/>
      <c r="J63" s="302"/>
      <c r="K63" s="304"/>
      <c r="L63" s="304"/>
      <c r="M63" s="304"/>
      <c r="N63" s="240">
        <f>IF($D63="MWh/yr (LHV)",$E63,$J63*$E63*(1-$L63)/Conversion_kWh_to_MJ)</f>
        <v>0</v>
      </c>
      <c r="O63" s="19"/>
      <c r="P63" s="19"/>
      <c r="Q63" s="19"/>
      <c r="R63" s="19"/>
      <c r="S63" s="300"/>
      <c r="T63" s="473"/>
      <c r="U63" s="300"/>
      <c r="V63" s="240" t="str">
        <f>IFERROR(IF(D63="tonnes/yr", $S63*$E63/($N$9*3.6), $T63*$E63*3.6/($N$9*3.6)), "Unfilled fields to left")</f>
        <v>Unfilled fields to left</v>
      </c>
      <c r="X63" s="65"/>
    </row>
    <row r="64" spans="2:25" s="14" customFormat="1">
      <c r="B64" s="64"/>
      <c r="C64" s="15"/>
      <c r="D64" s="177"/>
      <c r="E64" s="35"/>
      <c r="F64" s="21"/>
      <c r="G64" s="21"/>
      <c r="H64" s="21"/>
      <c r="I64" s="21"/>
      <c r="J64" s="304"/>
      <c r="K64" s="304"/>
      <c r="L64" s="304"/>
      <c r="M64" s="304"/>
      <c r="N64" s="240">
        <f>IF($D64="MWh/yr (LHV)",$E64,$J64*$E64*(1-$L64)/Conversion_kWh_to_MJ)</f>
        <v>0</v>
      </c>
      <c r="O64" s="19"/>
      <c r="P64" s="19"/>
      <c r="Q64" s="19"/>
      <c r="R64" s="19"/>
      <c r="S64" s="306"/>
      <c r="T64" s="473"/>
      <c r="U64" s="300"/>
      <c r="V64" s="240" t="str">
        <f>IFERROR(IF(D64="tonnes/yr", $S64*$E64/($N$9*3.6), $T64*$E64*3.6/($N$9*3.6)), "Unfilled fields to left")</f>
        <v>Unfilled fields to left</v>
      </c>
      <c r="X64" s="65"/>
    </row>
    <row r="65" spans="2:25" s="14" customFormat="1">
      <c r="B65" s="64"/>
      <c r="C65" s="15"/>
      <c r="D65" s="177"/>
      <c r="E65" s="35"/>
      <c r="F65" s="21"/>
      <c r="G65" s="21"/>
      <c r="H65" s="21"/>
      <c r="I65" s="21"/>
      <c r="J65" s="304"/>
      <c r="K65" s="304"/>
      <c r="L65" s="304"/>
      <c r="M65" s="304"/>
      <c r="N65" s="240">
        <f>IF($D65="MWh/yr (LHV)",$E65,$J65*$E65*(1-$L65)/Conversion_kWh_to_MJ)</f>
        <v>0</v>
      </c>
      <c r="O65" s="19"/>
      <c r="P65" s="19"/>
      <c r="Q65" s="19"/>
      <c r="R65" s="19"/>
      <c r="S65" s="306"/>
      <c r="T65" s="473"/>
      <c r="U65" s="300"/>
      <c r="V65" s="240" t="str">
        <f>IFERROR(IF(D65="tonnes/yr", $S65*$E65/($N$9*3.6), $T65*$E65*3.6/($N$9*3.6)), "Unfilled fields to left")</f>
        <v>Unfilled fields to left</v>
      </c>
      <c r="X65" s="65"/>
    </row>
    <row r="66" spans="2:25" s="14" customFormat="1">
      <c r="B66" s="68"/>
      <c r="C66" s="69"/>
      <c r="D66" s="69"/>
      <c r="E66" s="141"/>
      <c r="F66" s="70"/>
      <c r="G66" s="70"/>
      <c r="H66" s="71"/>
      <c r="I66" s="71"/>
      <c r="J66" s="73"/>
      <c r="K66" s="73"/>
      <c r="L66" s="73"/>
      <c r="M66" s="73"/>
      <c r="N66" s="73"/>
      <c r="O66" s="12"/>
      <c r="P66" s="12"/>
      <c r="Q66" s="12"/>
      <c r="R66" s="12"/>
      <c r="S66" s="73"/>
      <c r="T66" s="73"/>
      <c r="U66" s="73"/>
      <c r="V66" s="73"/>
      <c r="X66" s="70"/>
    </row>
    <row r="67" spans="2:25" s="14" customFormat="1" ht="16.5">
      <c r="B67" s="144" t="s">
        <v>132</v>
      </c>
      <c r="C67" s="153"/>
      <c r="D67" s="153"/>
      <c r="E67" s="501"/>
      <c r="F67" s="154"/>
      <c r="G67" s="154"/>
      <c r="H67" s="155"/>
      <c r="I67" s="156"/>
      <c r="J67" s="303"/>
      <c r="K67" s="472"/>
      <c r="L67" s="472"/>
      <c r="M67" s="472"/>
      <c r="N67" s="472"/>
      <c r="O67" s="157"/>
      <c r="P67" s="157"/>
      <c r="Q67" s="157"/>
      <c r="R67" s="157"/>
      <c r="S67" s="303"/>
      <c r="T67" s="472"/>
      <c r="U67" s="472"/>
      <c r="V67" s="152">
        <f>SUM(V68:V75)</f>
        <v>0</v>
      </c>
      <c r="X67" s="70"/>
    </row>
    <row r="68" spans="2:25" s="14" customFormat="1">
      <c r="B68" s="16" t="s">
        <v>1120</v>
      </c>
      <c r="C68" s="182" t="s">
        <v>1121</v>
      </c>
      <c r="D68" s="177" t="s">
        <v>425</v>
      </c>
      <c r="E68" s="35"/>
      <c r="F68" s="21"/>
      <c r="G68" s="21"/>
      <c r="H68" s="21"/>
      <c r="I68" s="21"/>
      <c r="J68" s="304"/>
      <c r="K68" s="304"/>
      <c r="L68" s="304"/>
      <c r="M68" s="304"/>
      <c r="N68" s="240">
        <f t="shared" ref="N68:N75" si="12">IF($D68="MWh/yr (LHV)",$E68,$J68*$E68*(1-$L68)/Conversion_kWh_to_MJ)</f>
        <v>0</v>
      </c>
      <c r="O68" s="12"/>
      <c r="P68" s="12"/>
      <c r="Q68" s="12"/>
      <c r="R68" s="12"/>
      <c r="S68" s="35">
        <v>28000</v>
      </c>
      <c r="T68" s="514"/>
      <c r="U68" s="35" t="s">
        <v>1107</v>
      </c>
      <c r="V68" s="240" t="str">
        <f t="shared" ref="V68:V75" si="13">IFERROR(IF(D68="tonnes/yr", $S68*$E68/($N$9*3.6), $T68*$E68*3.6/($N$9*3.6)), "Unfilled fields to left")</f>
        <v>Unfilled fields to left</v>
      </c>
      <c r="X68" s="21"/>
    </row>
    <row r="69" spans="2:25" s="14" customFormat="1">
      <c r="B69" s="64" t="s">
        <v>1122</v>
      </c>
      <c r="C69" s="182" t="s">
        <v>1123</v>
      </c>
      <c r="D69" s="177" t="s">
        <v>425</v>
      </c>
      <c r="E69" s="35"/>
      <c r="F69" s="65"/>
      <c r="G69" s="65"/>
      <c r="H69" s="66"/>
      <c r="I69" s="66"/>
      <c r="J69" s="306"/>
      <c r="K69" s="306"/>
      <c r="L69" s="306"/>
      <c r="M69" s="306"/>
      <c r="N69" s="240">
        <f t="shared" si="12"/>
        <v>0</v>
      </c>
      <c r="O69" s="19"/>
      <c r="P69" s="19"/>
      <c r="Q69" s="19"/>
      <c r="R69" s="19"/>
      <c r="S69" s="35">
        <v>265000</v>
      </c>
      <c r="T69" s="514"/>
      <c r="U69" s="479" t="s">
        <v>1107</v>
      </c>
      <c r="V69" s="240" t="str">
        <f t="shared" si="13"/>
        <v>Unfilled fields to left</v>
      </c>
      <c r="X69" s="65"/>
    </row>
    <row r="70" spans="2:25" s="14" customFormat="1">
      <c r="B70" s="64" t="s">
        <v>1124</v>
      </c>
      <c r="C70" s="182" t="s">
        <v>1125</v>
      </c>
      <c r="D70" s="177" t="s">
        <v>425</v>
      </c>
      <c r="E70" s="35"/>
      <c r="F70" s="65"/>
      <c r="G70" s="65"/>
      <c r="H70" s="66"/>
      <c r="I70" s="66"/>
      <c r="J70" s="306"/>
      <c r="K70" s="306"/>
      <c r="L70" s="306"/>
      <c r="M70" s="306"/>
      <c r="N70" s="240">
        <f t="shared" si="12"/>
        <v>0</v>
      </c>
      <c r="O70" s="19"/>
      <c r="P70" s="19"/>
      <c r="Q70" s="19"/>
      <c r="R70" s="19"/>
      <c r="S70" s="35">
        <v>23500000</v>
      </c>
      <c r="T70" s="514"/>
      <c r="U70" s="479" t="s">
        <v>1107</v>
      </c>
      <c r="V70" s="240" t="str">
        <f t="shared" si="13"/>
        <v>Unfilled fields to left</v>
      </c>
      <c r="X70" s="65"/>
    </row>
    <row r="71" spans="2:25" s="14" customFormat="1">
      <c r="B71" s="64" t="s">
        <v>1126</v>
      </c>
      <c r="C71" s="182" t="s">
        <v>1127</v>
      </c>
      <c r="D71" s="177" t="s">
        <v>425</v>
      </c>
      <c r="E71" s="35"/>
      <c r="F71" s="65"/>
      <c r="G71" s="65"/>
      <c r="H71" s="66"/>
      <c r="I71" s="66"/>
      <c r="J71" s="306"/>
      <c r="K71" s="306"/>
      <c r="L71" s="306"/>
      <c r="M71" s="306"/>
      <c r="N71" s="240">
        <f t="shared" si="12"/>
        <v>0</v>
      </c>
      <c r="O71" s="19"/>
      <c r="P71" s="19"/>
      <c r="Q71" s="19"/>
      <c r="R71" s="19"/>
      <c r="S71" s="515" t="s">
        <v>1128</v>
      </c>
      <c r="T71" s="514"/>
      <c r="U71" s="479"/>
      <c r="V71" s="240" t="str">
        <f t="shared" si="13"/>
        <v>Unfilled fields to left</v>
      </c>
      <c r="X71" s="65"/>
    </row>
    <row r="72" spans="2:25" s="14" customFormat="1">
      <c r="B72" s="64" t="s">
        <v>1126</v>
      </c>
      <c r="C72" s="182" t="s">
        <v>1127</v>
      </c>
      <c r="D72" s="177" t="s">
        <v>425</v>
      </c>
      <c r="E72" s="35"/>
      <c r="F72" s="65"/>
      <c r="G72" s="65"/>
      <c r="H72" s="66"/>
      <c r="I72" s="66"/>
      <c r="J72" s="306"/>
      <c r="K72" s="306"/>
      <c r="L72" s="306"/>
      <c r="M72" s="306"/>
      <c r="N72" s="240">
        <f t="shared" si="12"/>
        <v>0</v>
      </c>
      <c r="O72" s="19"/>
      <c r="P72" s="19"/>
      <c r="Q72" s="19"/>
      <c r="R72" s="19"/>
      <c r="S72" s="515" t="s">
        <v>1128</v>
      </c>
      <c r="T72" s="514"/>
      <c r="U72" s="479"/>
      <c r="V72" s="240" t="str">
        <f t="shared" si="13"/>
        <v>Unfilled fields to left</v>
      </c>
      <c r="X72" s="65"/>
    </row>
    <row r="73" spans="2:25" s="14" customFormat="1">
      <c r="B73" s="64" t="s">
        <v>1126</v>
      </c>
      <c r="C73" s="182" t="s">
        <v>1127</v>
      </c>
      <c r="D73" s="177" t="s">
        <v>425</v>
      </c>
      <c r="E73" s="35"/>
      <c r="F73" s="65"/>
      <c r="G73" s="65"/>
      <c r="H73" s="66"/>
      <c r="I73" s="66"/>
      <c r="J73" s="306"/>
      <c r="K73" s="306"/>
      <c r="L73" s="306"/>
      <c r="M73" s="306"/>
      <c r="N73" s="240">
        <f t="shared" si="12"/>
        <v>0</v>
      </c>
      <c r="O73" s="19"/>
      <c r="P73" s="19"/>
      <c r="Q73" s="19"/>
      <c r="R73" s="19"/>
      <c r="S73" s="515" t="s">
        <v>1128</v>
      </c>
      <c r="T73" s="514"/>
      <c r="U73" s="479"/>
      <c r="V73" s="240" t="str">
        <f t="shared" si="13"/>
        <v>Unfilled fields to left</v>
      </c>
      <c r="X73" s="65"/>
    </row>
    <row r="74" spans="2:25" s="14" customFormat="1">
      <c r="B74" s="64"/>
      <c r="C74" s="15"/>
      <c r="D74" s="178"/>
      <c r="E74" s="496"/>
      <c r="F74" s="65"/>
      <c r="G74" s="65"/>
      <c r="H74" s="66"/>
      <c r="I74" s="66"/>
      <c r="J74" s="306"/>
      <c r="K74" s="306"/>
      <c r="L74" s="306"/>
      <c r="M74" s="306"/>
      <c r="N74" s="240">
        <f t="shared" si="12"/>
        <v>0</v>
      </c>
      <c r="O74" s="19"/>
      <c r="P74" s="19"/>
      <c r="Q74" s="19"/>
      <c r="R74" s="19"/>
      <c r="S74" s="516"/>
      <c r="T74" s="473"/>
      <c r="U74" s="306"/>
      <c r="V74" s="240" t="str">
        <f t="shared" si="13"/>
        <v>Unfilled fields to left</v>
      </c>
      <c r="X74" s="65"/>
    </row>
    <row r="75" spans="2:25" s="14" customFormat="1">
      <c r="B75" s="64"/>
      <c r="C75" s="15"/>
      <c r="D75" s="178"/>
      <c r="E75" s="496"/>
      <c r="F75" s="65"/>
      <c r="G75" s="65"/>
      <c r="H75" s="66"/>
      <c r="I75" s="66"/>
      <c r="J75" s="306"/>
      <c r="K75" s="306"/>
      <c r="L75" s="306"/>
      <c r="M75" s="306"/>
      <c r="N75" s="240">
        <f t="shared" si="12"/>
        <v>0</v>
      </c>
      <c r="O75" s="19"/>
      <c r="P75" s="19"/>
      <c r="Q75" s="19"/>
      <c r="R75" s="19"/>
      <c r="S75" s="516"/>
      <c r="T75" s="473"/>
      <c r="U75" s="306"/>
      <c r="V75" s="240" t="str">
        <f t="shared" si="13"/>
        <v>Unfilled fields to left</v>
      </c>
      <c r="X75" s="65"/>
    </row>
    <row r="76" spans="2:25">
      <c r="C76" s="17"/>
      <c r="D76" s="17"/>
      <c r="E76" s="139"/>
      <c r="F76" s="17"/>
      <c r="H76" s="18"/>
      <c r="I76" s="18"/>
      <c r="J76" s="40"/>
      <c r="K76" s="40"/>
      <c r="L76" s="40"/>
      <c r="M76" s="40"/>
      <c r="N76" s="40"/>
      <c r="O76" s="12"/>
      <c r="S76" s="40"/>
      <c r="T76" s="40"/>
      <c r="U76" s="40"/>
      <c r="V76" s="40"/>
      <c r="Y76" s="12"/>
    </row>
    <row r="77" spans="2:25">
      <c r="E77" s="113"/>
      <c r="I77" s="12"/>
      <c r="J77" s="107"/>
      <c r="K77" s="107"/>
      <c r="L77" s="107"/>
      <c r="M77" s="107"/>
      <c r="N77" s="107"/>
      <c r="O77" s="12"/>
      <c r="S77" s="39"/>
      <c r="T77" s="39"/>
      <c r="U77" s="38" t="s">
        <v>1162</v>
      </c>
      <c r="V77" s="152">
        <f>IF(OR(COUNTIF(Initial_questions!$E$112,"Default"), COUNTIF(Initial_questions!$E$114:$E$115,"Default")),"Default data selected",SUM(V20,V33,V45,V52,V60,V67))</f>
        <v>0</v>
      </c>
      <c r="Y77" s="12"/>
    </row>
    <row r="78" spans="2:25">
      <c r="B78" s="144" t="s">
        <v>133</v>
      </c>
      <c r="C78" s="158"/>
      <c r="D78" s="158"/>
      <c r="E78" s="495"/>
      <c r="I78" s="12"/>
      <c r="J78" s="107"/>
      <c r="K78" s="107"/>
      <c r="L78" s="107"/>
      <c r="M78" s="107"/>
      <c r="N78" s="107"/>
      <c r="O78" s="12"/>
      <c r="S78" s="107"/>
      <c r="T78" s="107"/>
      <c r="U78" s="107"/>
      <c r="V78" s="12"/>
      <c r="Y78" s="12"/>
    </row>
    <row r="79" spans="2:25">
      <c r="B79" s="16" t="s">
        <v>1134</v>
      </c>
      <c r="C79" s="15" t="s">
        <v>1135</v>
      </c>
      <c r="D79" s="15" t="s">
        <v>1136</v>
      </c>
      <c r="E79" s="497"/>
      <c r="I79" s="12"/>
      <c r="J79" s="107"/>
      <c r="K79" s="107"/>
      <c r="L79" s="107"/>
      <c r="M79" s="107"/>
      <c r="N79" s="107"/>
      <c r="O79" s="12"/>
      <c r="S79" s="107"/>
      <c r="T79" s="107"/>
      <c r="U79" s="107"/>
      <c r="V79" s="12"/>
      <c r="X79" s="25"/>
      <c r="Y79" s="12"/>
    </row>
    <row r="80" spans="2:25">
      <c r="B80" s="16" t="s">
        <v>1139</v>
      </c>
      <c r="C80" s="15" t="s">
        <v>1184</v>
      </c>
      <c r="D80" s="15" t="s">
        <v>897</v>
      </c>
      <c r="E80" s="507">
        <f>Initial_questions!$E$102</f>
        <v>0</v>
      </c>
      <c r="G80" s="19"/>
      <c r="H80" s="12"/>
      <c r="I80" s="12"/>
      <c r="J80" s="107"/>
      <c r="K80" s="107"/>
      <c r="L80" s="107"/>
      <c r="M80" s="107"/>
      <c r="N80" s="107"/>
      <c r="O80" s="12"/>
      <c r="S80" s="107"/>
      <c r="T80" s="107"/>
      <c r="U80" s="107"/>
      <c r="V80" s="12"/>
      <c r="X80" s="25"/>
      <c r="Y80" s="12"/>
    </row>
    <row r="81" spans="2:25">
      <c r="B81" s="16"/>
      <c r="C81" s="15"/>
      <c r="D81" s="15"/>
      <c r="E81" s="507"/>
      <c r="H81" s="12"/>
      <c r="I81" s="12"/>
      <c r="J81" s="107"/>
      <c r="K81" s="107"/>
      <c r="L81" s="107"/>
      <c r="M81" s="107"/>
      <c r="N81" s="107"/>
      <c r="O81" s="12"/>
      <c r="S81" s="107"/>
      <c r="T81" s="107"/>
      <c r="U81" s="107"/>
      <c r="V81" s="12"/>
      <c r="X81" s="25"/>
      <c r="Y81" s="12"/>
    </row>
    <row r="82" spans="2:25">
      <c r="B82" s="16"/>
      <c r="C82" s="15"/>
      <c r="D82" s="15"/>
      <c r="E82" s="497"/>
      <c r="H82" s="12"/>
      <c r="I82" s="12"/>
      <c r="J82" s="107"/>
      <c r="K82" s="107"/>
      <c r="L82" s="107"/>
      <c r="M82" s="107"/>
      <c r="N82" s="107"/>
      <c r="O82" s="12"/>
      <c r="S82" s="39"/>
      <c r="T82" s="39"/>
      <c r="U82" s="39"/>
      <c r="X82" s="25"/>
    </row>
    <row r="83" spans="2:25">
      <c r="E83" s="113"/>
      <c r="H83" s="12"/>
      <c r="I83" s="12"/>
      <c r="J83" s="107"/>
      <c r="K83" s="107"/>
      <c r="L83" s="107"/>
      <c r="M83" s="107"/>
      <c r="N83" s="107"/>
      <c r="O83" s="12"/>
      <c r="S83" s="39"/>
      <c r="T83" s="39"/>
      <c r="U83" s="39"/>
    </row>
    <row r="84" spans="2:25">
      <c r="E84" s="113"/>
      <c r="J84" s="39"/>
      <c r="K84" s="39"/>
      <c r="L84" s="39"/>
      <c r="M84" s="39"/>
      <c r="S84" s="39"/>
      <c r="T84" s="39"/>
      <c r="U84" s="39"/>
    </row>
    <row r="85" spans="2:25">
      <c r="E85" s="113"/>
      <c r="J85" s="39"/>
      <c r="K85" s="39"/>
      <c r="L85" s="39"/>
      <c r="M85" s="39"/>
      <c r="S85" s="39"/>
      <c r="T85" s="39"/>
      <c r="U85" s="39"/>
    </row>
    <row r="86" spans="2:25">
      <c r="E86" s="113"/>
      <c r="J86" s="39"/>
      <c r="K86" s="39"/>
      <c r="L86" s="39"/>
      <c r="M86" s="39"/>
      <c r="S86" s="39"/>
      <c r="T86" s="39"/>
      <c r="U86" s="39"/>
    </row>
    <row r="87" spans="2:25">
      <c r="E87" s="113"/>
      <c r="J87" s="39"/>
      <c r="K87" s="39"/>
      <c r="L87" s="39"/>
      <c r="M87" s="39"/>
      <c r="S87" s="39"/>
      <c r="T87" s="39"/>
      <c r="U87" s="39"/>
    </row>
    <row r="88" spans="2:25">
      <c r="E88" s="113"/>
      <c r="J88" s="39"/>
      <c r="K88" s="39"/>
      <c r="L88" s="39"/>
      <c r="M88" s="39"/>
      <c r="S88" s="39"/>
      <c r="T88" s="39"/>
      <c r="U88" s="39"/>
    </row>
    <row r="89" spans="2:25">
      <c r="E89" s="113"/>
      <c r="J89" s="39"/>
      <c r="K89" s="39"/>
      <c r="L89" s="39"/>
      <c r="M89" s="39"/>
      <c r="S89" s="39"/>
      <c r="T89" s="39"/>
      <c r="U89" s="39"/>
    </row>
    <row r="90" spans="2:25">
      <c r="E90" s="113"/>
      <c r="J90" s="39"/>
      <c r="K90" s="39"/>
      <c r="L90" s="39"/>
      <c r="M90" s="39"/>
      <c r="S90" s="39"/>
      <c r="T90" s="39"/>
      <c r="U90" s="39"/>
    </row>
    <row r="91" spans="2:25">
      <c r="E91" s="113"/>
      <c r="J91" s="39"/>
      <c r="K91" s="39"/>
      <c r="L91" s="39"/>
      <c r="M91" s="39"/>
      <c r="S91" s="39"/>
      <c r="T91" s="39"/>
      <c r="U91" s="39"/>
    </row>
    <row r="92" spans="2:25">
      <c r="E92" s="113"/>
      <c r="J92" s="39"/>
      <c r="K92" s="39"/>
      <c r="L92" s="39"/>
      <c r="M92" s="39"/>
      <c r="S92" s="39"/>
      <c r="T92" s="39"/>
      <c r="U92" s="39"/>
    </row>
    <row r="93" spans="2:25">
      <c r="E93" s="113"/>
      <c r="J93" s="39"/>
      <c r="K93" s="39"/>
      <c r="L93" s="39"/>
      <c r="M93" s="39"/>
      <c r="S93" s="39"/>
      <c r="T93" s="39"/>
      <c r="U93" s="39"/>
    </row>
    <row r="94" spans="2:25">
      <c r="E94" s="113"/>
      <c r="J94" s="39"/>
      <c r="K94" s="39"/>
      <c r="L94" s="39"/>
      <c r="M94" s="39"/>
      <c r="S94" s="39"/>
      <c r="T94" s="39"/>
      <c r="U94" s="39"/>
    </row>
    <row r="95" spans="2:25">
      <c r="E95" s="113"/>
      <c r="J95" s="39"/>
      <c r="K95" s="39"/>
      <c r="L95" s="39"/>
      <c r="M95" s="39"/>
      <c r="S95" s="39"/>
      <c r="T95" s="39"/>
      <c r="U95" s="39"/>
    </row>
    <row r="96" spans="2:25">
      <c r="E96" s="113"/>
      <c r="J96" s="39"/>
      <c r="K96" s="39"/>
      <c r="L96" s="39"/>
      <c r="M96" s="39"/>
      <c r="S96" s="39"/>
      <c r="T96" s="39"/>
      <c r="U96" s="39"/>
    </row>
    <row r="97" spans="5:21">
      <c r="E97" s="113"/>
      <c r="J97" s="39"/>
      <c r="K97" s="39"/>
      <c r="L97" s="39"/>
      <c r="M97" s="39"/>
      <c r="S97" s="39"/>
      <c r="T97" s="39"/>
      <c r="U97" s="39"/>
    </row>
    <row r="98" spans="5:21">
      <c r="E98" s="113"/>
      <c r="J98" s="39"/>
      <c r="K98" s="39"/>
      <c r="L98" s="39"/>
      <c r="M98" s="39"/>
      <c r="S98" s="39"/>
      <c r="T98" s="39"/>
      <c r="U98" s="39"/>
    </row>
    <row r="99" spans="5:21">
      <c r="E99" s="113"/>
      <c r="J99" s="39"/>
      <c r="K99" s="39"/>
      <c r="L99" s="39"/>
      <c r="M99" s="39"/>
      <c r="S99" s="39"/>
      <c r="T99" s="39"/>
      <c r="U99" s="39"/>
    </row>
    <row r="100" spans="5:21">
      <c r="E100" s="113"/>
      <c r="J100" s="39"/>
      <c r="K100" s="39"/>
      <c r="L100" s="39"/>
      <c r="M100" s="39"/>
      <c r="S100" s="39"/>
      <c r="T100" s="39"/>
      <c r="U100" s="39"/>
    </row>
    <row r="101" spans="5:21">
      <c r="E101" s="113"/>
      <c r="J101" s="39"/>
      <c r="K101" s="39"/>
      <c r="L101" s="39"/>
      <c r="M101" s="39"/>
      <c r="S101" s="39"/>
      <c r="T101" s="39"/>
      <c r="U101" s="39"/>
    </row>
    <row r="102" spans="5:21">
      <c r="E102" s="113"/>
      <c r="J102" s="39"/>
      <c r="K102" s="39"/>
      <c r="L102" s="39"/>
      <c r="M102" s="39"/>
      <c r="S102" s="39"/>
      <c r="T102" s="39"/>
      <c r="U102" s="39"/>
    </row>
    <row r="103" spans="5:21">
      <c r="E103" s="113"/>
      <c r="J103" s="39"/>
      <c r="K103" s="39"/>
      <c r="L103" s="39"/>
      <c r="M103" s="39"/>
      <c r="S103" s="39"/>
      <c r="T103" s="39"/>
      <c r="U103" s="39"/>
    </row>
    <row r="104" spans="5:21">
      <c r="E104" s="113"/>
      <c r="J104" s="39"/>
      <c r="K104" s="39"/>
      <c r="L104" s="39"/>
      <c r="M104" s="39"/>
      <c r="S104" s="39"/>
      <c r="T104" s="39"/>
      <c r="U104" s="39"/>
    </row>
    <row r="105" spans="5:21">
      <c r="E105" s="113"/>
      <c r="J105" s="39"/>
      <c r="K105" s="39"/>
      <c r="L105" s="39"/>
      <c r="M105" s="39"/>
      <c r="S105" s="39"/>
      <c r="T105" s="39"/>
      <c r="U105" s="39"/>
    </row>
    <row r="106" spans="5:21">
      <c r="E106" s="113"/>
      <c r="J106" s="39"/>
      <c r="K106" s="39"/>
      <c r="L106" s="39"/>
      <c r="M106" s="39"/>
      <c r="S106" s="39"/>
      <c r="T106" s="39"/>
      <c r="U106" s="39"/>
    </row>
    <row r="107" spans="5:21">
      <c r="E107" s="113"/>
      <c r="J107" s="39"/>
      <c r="K107" s="39"/>
      <c r="L107" s="39"/>
      <c r="M107" s="39"/>
      <c r="S107" s="39"/>
      <c r="T107" s="39"/>
      <c r="U107" s="39"/>
    </row>
    <row r="108" spans="5:21">
      <c r="E108" s="113"/>
      <c r="J108" s="39"/>
      <c r="K108" s="39"/>
      <c r="L108" s="39"/>
      <c r="M108" s="39"/>
      <c r="S108" s="39"/>
      <c r="T108" s="39"/>
      <c r="U108" s="39"/>
    </row>
    <row r="109" spans="5:21">
      <c r="E109" s="113"/>
      <c r="J109" s="39"/>
      <c r="K109" s="39"/>
      <c r="L109" s="39"/>
      <c r="M109" s="39"/>
      <c r="S109" s="39"/>
      <c r="T109" s="39"/>
      <c r="U109" s="39"/>
    </row>
    <row r="110" spans="5:21">
      <c r="E110" s="113"/>
      <c r="J110" s="39"/>
      <c r="K110" s="39"/>
      <c r="L110" s="39"/>
      <c r="M110" s="39"/>
      <c r="S110" s="39"/>
      <c r="T110" s="39"/>
      <c r="U110" s="39"/>
    </row>
    <row r="111" spans="5:21">
      <c r="E111" s="113"/>
      <c r="J111" s="39"/>
      <c r="K111" s="39"/>
      <c r="L111" s="39"/>
      <c r="M111" s="39"/>
      <c r="S111" s="39"/>
      <c r="T111" s="39"/>
      <c r="U111" s="39"/>
    </row>
    <row r="112" spans="5:21">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S123" s="39"/>
      <c r="T123" s="39"/>
      <c r="U123" s="39"/>
    </row>
    <row r="124" spans="5:21">
      <c r="E124" s="113"/>
      <c r="S124" s="39"/>
      <c r="T124" s="39"/>
      <c r="U124" s="39"/>
    </row>
    <row r="125" spans="5:21">
      <c r="E125" s="113"/>
      <c r="S125" s="39"/>
      <c r="T125" s="39"/>
      <c r="U125" s="39"/>
    </row>
    <row r="126" spans="5:21">
      <c r="E126" s="113"/>
      <c r="S126" s="39"/>
      <c r="T126" s="39"/>
      <c r="U126" s="39"/>
    </row>
    <row r="127" spans="5:21">
      <c r="E127" s="113"/>
      <c r="S127" s="39"/>
      <c r="T127" s="39"/>
      <c r="U127" s="39"/>
    </row>
    <row r="128" spans="5:21">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254"/>
      <c r="S148" s="39"/>
      <c r="T148" s="39"/>
      <c r="U148" s="39"/>
    </row>
    <row r="149" spans="5:21">
      <c r="E149" s="254"/>
      <c r="S149" s="39"/>
      <c r="T149" s="39"/>
      <c r="U149" s="39"/>
    </row>
    <row r="150" spans="5:21">
      <c r="E150" s="254"/>
      <c r="S150" s="39"/>
      <c r="T150" s="39"/>
      <c r="U150" s="39"/>
    </row>
    <row r="151" spans="5:21">
      <c r="E151" s="254"/>
      <c r="S151" s="39"/>
      <c r="T151" s="39"/>
      <c r="U151" s="39"/>
    </row>
    <row r="152" spans="5:21">
      <c r="E152" s="254"/>
      <c r="S152" s="39"/>
      <c r="T152" s="39"/>
      <c r="U152" s="39"/>
    </row>
    <row r="153" spans="5:21">
      <c r="E153" s="254"/>
      <c r="S153" s="39"/>
      <c r="T153" s="39"/>
      <c r="U153" s="39"/>
    </row>
    <row r="154" spans="5:21">
      <c r="E154" s="254"/>
      <c r="S154" s="39"/>
      <c r="T154" s="39"/>
      <c r="U154" s="39"/>
    </row>
    <row r="155" spans="5:21">
      <c r="E155" s="254"/>
      <c r="S155" s="39"/>
      <c r="T155" s="39"/>
      <c r="U155" s="39"/>
    </row>
    <row r="156" spans="5:21">
      <c r="E156" s="254"/>
      <c r="S156" s="39"/>
      <c r="T156" s="39"/>
      <c r="U156" s="39"/>
    </row>
    <row r="157" spans="5:21">
      <c r="E157" s="254"/>
      <c r="S157" s="39"/>
      <c r="T157" s="39"/>
      <c r="U157" s="39"/>
    </row>
    <row r="158" spans="5:21">
      <c r="E158" s="254"/>
      <c r="S158" s="39"/>
      <c r="T158" s="39"/>
      <c r="U158" s="39"/>
    </row>
    <row r="159" spans="5:21">
      <c r="E159" s="254"/>
      <c r="S159" s="39"/>
      <c r="T159" s="39"/>
      <c r="U159" s="39"/>
    </row>
    <row r="160" spans="5:21">
      <c r="E160" s="254"/>
      <c r="S160" s="39"/>
      <c r="T160" s="39"/>
      <c r="U160" s="39"/>
    </row>
    <row r="161" spans="5:21">
      <c r="E161" s="254"/>
      <c r="S161" s="39"/>
      <c r="T161" s="39"/>
      <c r="U161" s="39"/>
    </row>
    <row r="162" spans="5:21">
      <c r="E162" s="254"/>
      <c r="S162" s="39"/>
      <c r="T162" s="39"/>
      <c r="U162" s="39"/>
    </row>
    <row r="163" spans="5:21">
      <c r="E163" s="254"/>
      <c r="S163" s="39"/>
      <c r="T163" s="39"/>
      <c r="U163" s="39"/>
    </row>
    <row r="164" spans="5:21">
      <c r="E164" s="254"/>
      <c r="S164" s="39"/>
      <c r="T164" s="39"/>
      <c r="U164" s="39"/>
    </row>
    <row r="165" spans="5:21">
      <c r="E165" s="254"/>
      <c r="S165" s="39"/>
      <c r="T165" s="39"/>
      <c r="U165" s="39"/>
    </row>
    <row r="166" spans="5:21">
      <c r="E166" s="254"/>
      <c r="S166" s="39"/>
      <c r="T166" s="39"/>
      <c r="U166" s="39"/>
    </row>
    <row r="167" spans="5:21">
      <c r="E167" s="254"/>
      <c r="S167" s="39"/>
      <c r="T167" s="39"/>
      <c r="U167" s="39"/>
    </row>
    <row r="168" spans="5:21">
      <c r="E168" s="254"/>
      <c r="S168" s="39"/>
      <c r="T168" s="39"/>
      <c r="U168" s="39"/>
    </row>
    <row r="169" spans="5:21">
      <c r="E169" s="254"/>
      <c r="S169" s="39"/>
      <c r="T169" s="39"/>
      <c r="U169" s="39"/>
    </row>
    <row r="170" spans="5:21">
      <c r="E170" s="254"/>
      <c r="S170" s="39"/>
      <c r="T170" s="39"/>
      <c r="U170" s="39"/>
    </row>
    <row r="171" spans="5:21">
      <c r="E171" s="254"/>
      <c r="S171" s="39"/>
      <c r="T171" s="39"/>
      <c r="U171" s="39"/>
    </row>
    <row r="172" spans="5:21">
      <c r="E172" s="254"/>
      <c r="S172" s="39"/>
      <c r="T172" s="39"/>
      <c r="U172" s="39"/>
    </row>
    <row r="173" spans="5:21">
      <c r="E173" s="254"/>
      <c r="S173" s="39"/>
      <c r="T173" s="39"/>
      <c r="U173" s="39"/>
    </row>
    <row r="174" spans="5:21">
      <c r="E174" s="254"/>
      <c r="S174" s="39"/>
      <c r="T174" s="39"/>
      <c r="U174" s="39"/>
    </row>
    <row r="175" spans="5:21">
      <c r="E175" s="254"/>
      <c r="S175" s="39"/>
      <c r="T175" s="39"/>
      <c r="U175" s="39"/>
    </row>
    <row r="176" spans="5:21">
      <c r="E176" s="254"/>
      <c r="S176" s="39"/>
      <c r="T176" s="39"/>
      <c r="U176" s="39"/>
    </row>
    <row r="177" spans="5:21">
      <c r="E177" s="254"/>
      <c r="S177" s="39"/>
      <c r="T177" s="39"/>
      <c r="U177" s="39"/>
    </row>
    <row r="178" spans="5:21">
      <c r="E178" s="254"/>
      <c r="S178" s="39"/>
      <c r="T178" s="39"/>
      <c r="U178" s="39"/>
    </row>
    <row r="179" spans="5:21">
      <c r="E179" s="254"/>
      <c r="S179" s="39"/>
      <c r="T179" s="39"/>
      <c r="U179" s="39"/>
    </row>
    <row r="180" spans="5:21">
      <c r="E180" s="254"/>
      <c r="S180" s="39"/>
      <c r="T180" s="39"/>
      <c r="U180" s="39"/>
    </row>
    <row r="181" spans="5:21">
      <c r="E181" s="254"/>
      <c r="S181" s="39"/>
      <c r="T181" s="39"/>
      <c r="U181" s="39"/>
    </row>
    <row r="182" spans="5:21">
      <c r="E182" s="254"/>
      <c r="S182" s="39"/>
      <c r="T182" s="39"/>
      <c r="U182" s="39"/>
    </row>
    <row r="183" spans="5:21">
      <c r="E183" s="254"/>
      <c r="S183" s="39"/>
      <c r="T183" s="39"/>
      <c r="U183" s="39"/>
    </row>
    <row r="184" spans="5:21">
      <c r="E184" s="254"/>
      <c r="S184" s="39"/>
      <c r="T184" s="39"/>
      <c r="U184" s="39"/>
    </row>
    <row r="185" spans="5:21">
      <c r="E185" s="254"/>
      <c r="S185" s="39"/>
      <c r="T185" s="39"/>
      <c r="U185" s="39"/>
    </row>
    <row r="186" spans="5:21">
      <c r="E186" s="254"/>
      <c r="S186" s="39"/>
      <c r="T186" s="39"/>
      <c r="U186" s="39"/>
    </row>
    <row r="187" spans="5:21">
      <c r="E187" s="254"/>
      <c r="S187" s="39"/>
      <c r="T187" s="39"/>
      <c r="U187" s="39"/>
    </row>
    <row r="188" spans="5:21">
      <c r="E188" s="254"/>
      <c r="S188" s="39"/>
      <c r="T188" s="39"/>
      <c r="U188" s="39"/>
    </row>
    <row r="189" spans="5:21">
      <c r="E189" s="254"/>
      <c r="S189" s="39"/>
      <c r="T189" s="39"/>
      <c r="U189" s="39"/>
    </row>
    <row r="190" spans="5:21">
      <c r="E190" s="254"/>
    </row>
    <row r="191" spans="5:21">
      <c r="E191" s="254"/>
    </row>
    <row r="192" spans="5:21">
      <c r="E192" s="254"/>
    </row>
    <row r="193" spans="5:5">
      <c r="E193" s="254"/>
    </row>
    <row r="194" spans="5:5">
      <c r="E194" s="254"/>
    </row>
    <row r="195" spans="5:5">
      <c r="E195" s="254"/>
    </row>
    <row r="196" spans="5:5">
      <c r="E196" s="254"/>
    </row>
    <row r="197" spans="5:5">
      <c r="E197" s="254"/>
    </row>
    <row r="198" spans="5:5">
      <c r="E198" s="254"/>
    </row>
    <row r="199" spans="5:5">
      <c r="E199" s="254"/>
    </row>
    <row r="200" spans="5:5">
      <c r="E200" s="254"/>
    </row>
    <row r="201" spans="5:5">
      <c r="E201" s="254"/>
    </row>
    <row r="202" spans="5:5">
      <c r="E202" s="254"/>
    </row>
    <row r="203" spans="5:5">
      <c r="E203" s="254"/>
    </row>
    <row r="204" spans="5:5">
      <c r="E204" s="254"/>
    </row>
    <row r="205" spans="5:5">
      <c r="E205" s="254"/>
    </row>
    <row r="206" spans="5:5">
      <c r="E206" s="254"/>
    </row>
    <row r="207" spans="5:5">
      <c r="E207" s="254"/>
    </row>
    <row r="208" spans="5:5">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sheetData>
  <customSheetViews>
    <customSheetView guid="{F03309BC-D3FA-4CF2-833B-D6D9A95FE1FB}" showGridLines="0" state="hidden">
      <pane xSplit="3" ySplit="5" topLeftCell="P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P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34:D43 D53:D58 D68:D75 D46:D51 D61:D65 D21:D30 D8 D10:D17" xr:uid="{F7C261C2-F8EE-4682-9FB4-6E7BE9670080}">
      <formula1>Flow_units</formula1>
    </dataValidation>
    <dataValidation type="custom" allowBlank="1" showInputMessage="1" showErrorMessage="1" error="Please do not change this formula" prompt="Please do not change this formula" sqref="V1:V4 W4 O6:Q1048576 V6:V1048576 R6:R8 R14:R1048576 N1:N1048576 O1:R4 S5:V5" xr:uid="{03A18783-B640-4366-9577-A519B7EFF4B4}">
      <formula1>"Please do not change this formula"</formula1>
    </dataValidation>
    <dataValidation type="custom" allowBlank="1" showInputMessage="1" showErrorMessage="1" error="Please do not change" sqref="R9:R13" xr:uid="{CA850ADD-AF26-429E-B894-833C773000AB}">
      <formula1>"Please do not change"</formula1>
    </dataValidation>
    <dataValidation type="custom" allowBlank="1" showInputMessage="1" showErrorMessage="1" error="Please do not change this formula" sqref="O5:R5" xr:uid="{9F00DC41-88F8-40F0-9924-2C3C2477AD6E}">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59 S68:T76" xr:uid="{4519C48E-40EB-4C40-81D4-291EBB33FC5B}">
      <formula1>0</formula1>
    </dataValidation>
  </dataValidations>
  <hyperlinks>
    <hyperlink ref="I2:J2" location="GHG_BIOMETHANE_REFORM!A1" display="Go to the summary tab of this pathway" xr:uid="{2D856E90-EBF0-490C-BF88-3621FA8EE73A}"/>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47" id="{00000000-000E-0000-2900-00002F000000}">
            <xm:f>AND(Path&lt;&gt;Units!$B$95,Path&lt;&gt;Units!$B$96,Path&lt;&gt;Units!$B$97,Path&lt;&gt;Units!$B$98,Master_Switch="On")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52" id="{F43779FB-3418-432C-B4CB-9C0999CC129F}">
            <xm:f>AND(GHG_BIOMETHANE_REFORM!$D$9="Default",Master_Switch="On")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51" id="{7FDE2F77-C3D2-44A4-896C-A44E2D0C13B4}">
            <xm:f>AND(GHG_BIOMETHANE_REFORM!$D$10="Default",Master_Switch="On")</xm:f>
            <x14:dxf>
              <font>
                <color theme="0"/>
              </font>
              <fill>
                <patternFill>
                  <bgColor theme="0"/>
                </patternFill>
              </fill>
              <border>
                <left/>
                <right/>
                <top/>
                <bottom/>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C95CF71-13ED-40BB-B998-64F4F3C512FF}">
          <x14:formula1>
            <xm:f>Units!$Z$84</xm:f>
          </x14:formula1>
          <xm:sqref>D9</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37C87-1CC7-4868-9384-B48655036424}">
  <sheetPr codeName="Sheet47">
    <tabColor rgb="FFCCFF66"/>
  </sheetPr>
  <dimension ref="A1:AC190"/>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7.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28515625" customWidth="1"/>
    <col min="16" max="16" width="7.14062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4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4"/>
      <c r="I2" s="735" t="s">
        <v>1141</v>
      </c>
      <c r="J2" s="737"/>
      <c r="K2" s="738"/>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84" t="s">
        <v>1069</v>
      </c>
      <c r="C8" s="15"/>
      <c r="D8" s="177"/>
      <c r="E8" s="35"/>
      <c r="F8" s="24"/>
      <c r="G8" s="21"/>
      <c r="H8" s="20"/>
      <c r="I8" s="36"/>
      <c r="J8" s="298"/>
      <c r="K8" s="300"/>
      <c r="L8" s="300"/>
      <c r="M8" s="300"/>
      <c r="N8" s="240">
        <f t="shared" ref="N8:N17" si="0">IF($D8="MWh/yr (LHV)",$E8,$J8*$E8*(1-$L8)/Conversion_kWh_to_MJ)</f>
        <v>0</v>
      </c>
      <c r="O8" s="12"/>
      <c r="S8" s="300"/>
      <c r="T8" s="298"/>
      <c r="U8" s="300"/>
      <c r="V8" s="240" t="str">
        <f t="shared" ref="V8:V17" si="1">IFERROR(IF(D8="tonnes/yr", $S8*$E8/($N$20*3.6), $T8*$E8*3.6/($N$20*3.6)), "Unfilled fields to left")</f>
        <v>Unfilled fields to left</v>
      </c>
      <c r="X8" s="25"/>
      <c r="Y8" s="12"/>
    </row>
    <row r="9" spans="1:29">
      <c r="B9" s="184" t="s">
        <v>1069</v>
      </c>
      <c r="C9" s="182" t="s">
        <v>1146</v>
      </c>
      <c r="D9" s="177" t="s">
        <v>447</v>
      </c>
      <c r="E9" s="35"/>
      <c r="F9" s="24"/>
      <c r="G9" s="21"/>
      <c r="H9" s="20"/>
      <c r="I9" s="36"/>
      <c r="J9" s="298"/>
      <c r="K9" s="300"/>
      <c r="L9" s="300"/>
      <c r="M9" s="300"/>
      <c r="N9" s="240">
        <f t="shared" si="0"/>
        <v>0</v>
      </c>
      <c r="O9" s="12"/>
      <c r="S9" s="35" t="str">
        <f t="shared" ref="S9:S17" si="2">IF(B9="", "", IF(D9="MWh/yr (LHV)", "Use column to right", "Enter data here"))</f>
        <v>Use column to right</v>
      </c>
      <c r="T9" s="35" t="e">
        <f>INDEX(Proj_grid_intensity_kWh,MATCH(Operations_year,Proj_grid_year,0))/Conversion_kWh_to_MJ</f>
        <v>#N/A</v>
      </c>
      <c r="U9" s="35" t="s">
        <v>1112</v>
      </c>
      <c r="V9" s="240" t="str">
        <f t="shared" si="1"/>
        <v>Unfilled fields to left</v>
      </c>
      <c r="X9" s="25"/>
      <c r="Y9" s="12"/>
    </row>
    <row r="10" spans="1:29">
      <c r="B10" s="184" t="s">
        <v>1090</v>
      </c>
      <c r="C10" s="182" t="s">
        <v>1091</v>
      </c>
      <c r="D10" s="177" t="s">
        <v>425</v>
      </c>
      <c r="E10" s="35"/>
      <c r="F10" s="24"/>
      <c r="G10" s="21"/>
      <c r="H10" s="20"/>
      <c r="I10" s="36"/>
      <c r="J10" s="298"/>
      <c r="K10" s="300"/>
      <c r="L10" s="300"/>
      <c r="M10" s="300"/>
      <c r="N10" s="240">
        <f t="shared" si="0"/>
        <v>0</v>
      </c>
      <c r="O10" s="12"/>
      <c r="S10" s="35" t="str">
        <f t="shared" si="2"/>
        <v>Enter data here</v>
      </c>
      <c r="T10" s="35" t="str">
        <f t="shared" ref="T10:T17" si="3">IF(B10="", "", IF(D10="MWh/yr (LHV)", "Enter data here", "Use column to left"))</f>
        <v>Use column to left</v>
      </c>
      <c r="U10" s="35" t="s">
        <v>1148</v>
      </c>
      <c r="V10" s="240" t="str">
        <f t="shared" si="1"/>
        <v>Unfilled fields to left</v>
      </c>
      <c r="W10" s="91"/>
      <c r="X10" s="25"/>
      <c r="Y10" s="12"/>
    </row>
    <row r="11" spans="1:29">
      <c r="B11" s="184" t="s">
        <v>1090</v>
      </c>
      <c r="C11" s="182" t="s">
        <v>1093</v>
      </c>
      <c r="D11" s="177" t="s">
        <v>425</v>
      </c>
      <c r="E11" s="35"/>
      <c r="F11" s="21"/>
      <c r="G11" s="21"/>
      <c r="H11" s="20"/>
      <c r="I11" s="36"/>
      <c r="J11" s="298"/>
      <c r="K11" s="300"/>
      <c r="L11" s="300"/>
      <c r="M11" s="300"/>
      <c r="N11" s="240">
        <f t="shared" si="0"/>
        <v>0</v>
      </c>
      <c r="O11" s="12"/>
      <c r="S11" s="35" t="str">
        <f t="shared" si="2"/>
        <v>Enter data here</v>
      </c>
      <c r="T11" s="35" t="str">
        <f t="shared" si="3"/>
        <v>Use column to left</v>
      </c>
      <c r="U11" s="35" t="s">
        <v>1148</v>
      </c>
      <c r="V11" s="240" t="str">
        <f t="shared" si="1"/>
        <v>Unfilled fields to left</v>
      </c>
      <c r="X11" s="25"/>
      <c r="Y11" s="12"/>
    </row>
    <row r="12" spans="1:29">
      <c r="B12" s="184" t="s">
        <v>1099</v>
      </c>
      <c r="C12" s="182" t="s">
        <v>1058</v>
      </c>
      <c r="D12" s="177" t="s">
        <v>425</v>
      </c>
      <c r="E12" s="35"/>
      <c r="F12" s="21"/>
      <c r="G12" s="21"/>
      <c r="H12" s="20"/>
      <c r="I12" s="36"/>
      <c r="J12" s="298"/>
      <c r="K12" s="300"/>
      <c r="L12" s="300"/>
      <c r="M12" s="300"/>
      <c r="N12" s="240">
        <f t="shared" si="0"/>
        <v>0</v>
      </c>
      <c r="O12" s="12"/>
      <c r="S12" s="35" t="str">
        <f t="shared" si="2"/>
        <v>Enter data here</v>
      </c>
      <c r="T12" s="35" t="str">
        <f t="shared" si="3"/>
        <v>Use column to left</v>
      </c>
      <c r="U12" s="35" t="s">
        <v>1148</v>
      </c>
      <c r="V12" s="240" t="str">
        <f t="shared" si="1"/>
        <v>Unfilled fields to left</v>
      </c>
      <c r="X12" s="25"/>
      <c r="Y12" s="12"/>
    </row>
    <row r="13" spans="1:29">
      <c r="B13" s="184" t="s">
        <v>1099</v>
      </c>
      <c r="C13" s="182" t="s">
        <v>1149</v>
      </c>
      <c r="D13" s="177" t="s">
        <v>425</v>
      </c>
      <c r="E13" s="35"/>
      <c r="F13" s="21"/>
      <c r="G13" s="21"/>
      <c r="H13" s="20"/>
      <c r="I13" s="36"/>
      <c r="J13" s="298"/>
      <c r="K13" s="300"/>
      <c r="L13" s="300"/>
      <c r="M13" s="300"/>
      <c r="N13" s="240">
        <f t="shared" si="0"/>
        <v>0</v>
      </c>
      <c r="O13" s="12"/>
      <c r="S13" s="35" t="str">
        <f t="shared" si="2"/>
        <v>Enter data here</v>
      </c>
      <c r="T13" s="35" t="str">
        <f t="shared" si="3"/>
        <v>Use column to left</v>
      </c>
      <c r="U13" s="35" t="s">
        <v>1148</v>
      </c>
      <c r="V13" s="240" t="str">
        <f t="shared" si="1"/>
        <v>Unfilled fields to left</v>
      </c>
      <c r="X13" s="25"/>
      <c r="Y13" s="12"/>
    </row>
    <row r="14" spans="1:29">
      <c r="B14" s="184" t="s">
        <v>1225</v>
      </c>
      <c r="C14" s="182" t="s">
        <v>1103</v>
      </c>
      <c r="D14" s="177" t="s">
        <v>425</v>
      </c>
      <c r="E14" s="35"/>
      <c r="F14" s="21"/>
      <c r="G14" s="21"/>
      <c r="H14" s="20"/>
      <c r="I14" s="36"/>
      <c r="J14" s="298"/>
      <c r="K14" s="300"/>
      <c r="L14" s="300"/>
      <c r="M14" s="300"/>
      <c r="N14" s="240">
        <f t="shared" si="0"/>
        <v>0</v>
      </c>
      <c r="O14" s="12"/>
      <c r="S14" s="35" t="str">
        <f t="shared" si="2"/>
        <v>Enter data here</v>
      </c>
      <c r="T14" s="35" t="str">
        <f t="shared" si="3"/>
        <v>Use column to left</v>
      </c>
      <c r="U14" s="35" t="s">
        <v>1148</v>
      </c>
      <c r="V14" s="240" t="str">
        <f t="shared" si="1"/>
        <v>Unfilled fields to left</v>
      </c>
      <c r="X14" s="25"/>
      <c r="Y14" s="12"/>
    </row>
    <row r="15" spans="1:29">
      <c r="B15" s="184" t="s">
        <v>1225</v>
      </c>
      <c r="C15" s="182" t="s">
        <v>1261</v>
      </c>
      <c r="D15" s="177" t="s">
        <v>425</v>
      </c>
      <c r="E15" s="35"/>
      <c r="F15" s="21"/>
      <c r="G15" s="21"/>
      <c r="H15" s="20"/>
      <c r="I15" s="36"/>
      <c r="J15" s="298"/>
      <c r="K15" s="300"/>
      <c r="L15" s="300"/>
      <c r="M15" s="300"/>
      <c r="N15" s="240">
        <f t="shared" si="0"/>
        <v>0</v>
      </c>
      <c r="O15" s="12"/>
      <c r="S15" s="35" t="str">
        <f t="shared" si="2"/>
        <v>Enter data here</v>
      </c>
      <c r="T15" s="35" t="str">
        <f t="shared" si="3"/>
        <v>Use column to left</v>
      </c>
      <c r="U15" s="35" t="s">
        <v>1148</v>
      </c>
      <c r="V15" s="240" t="str">
        <f t="shared" si="1"/>
        <v>Unfilled fields to left</v>
      </c>
      <c r="X15" s="25"/>
      <c r="Y15" s="12"/>
    </row>
    <row r="16" spans="1:29">
      <c r="B16" s="184"/>
      <c r="C16" s="182"/>
      <c r="D16" s="177"/>
      <c r="E16" s="35"/>
      <c r="F16" s="21"/>
      <c r="G16" s="21"/>
      <c r="H16" s="20"/>
      <c r="I16" s="36"/>
      <c r="J16" s="298"/>
      <c r="K16" s="300"/>
      <c r="L16" s="300"/>
      <c r="M16" s="300"/>
      <c r="N16" s="240">
        <f t="shared" si="0"/>
        <v>0</v>
      </c>
      <c r="O16" s="12"/>
      <c r="S16" s="35" t="str">
        <f t="shared" si="2"/>
        <v/>
      </c>
      <c r="T16" s="35" t="str">
        <f t="shared" si="3"/>
        <v/>
      </c>
      <c r="U16" s="35"/>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2"/>
        <v/>
      </c>
      <c r="T17" s="35" t="str">
        <f t="shared" si="3"/>
        <v/>
      </c>
      <c r="U17" s="35"/>
      <c r="V17" s="240" t="str">
        <f t="shared" si="1"/>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1262</v>
      </c>
      <c r="D20" s="177" t="s">
        <v>425</v>
      </c>
      <c r="E20" s="35"/>
      <c r="F20" s="24"/>
      <c r="G20" s="21"/>
      <c r="H20" s="21"/>
      <c r="I20" s="21"/>
      <c r="J20" s="298"/>
      <c r="K20" s="304"/>
      <c r="L20" s="304"/>
      <c r="M20" s="304"/>
      <c r="N20" s="240">
        <f t="shared" ref="N20:N32" si="4">IF($D20="MWh/yr (LHV)",$E20,$J20*$E20*(1-$L20)/Conversion_kWh_to_MJ)</f>
        <v>0</v>
      </c>
      <c r="O20" s="244" t="s">
        <v>563</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1228</v>
      </c>
      <c r="C27" s="182" t="s">
        <v>1229</v>
      </c>
      <c r="D27" s="177" t="s">
        <v>425</v>
      </c>
      <c r="E27" s="35"/>
      <c r="F27" s="34"/>
      <c r="G27" s="21"/>
      <c r="H27" s="20"/>
      <c r="I27" s="36"/>
      <c r="J27" s="298"/>
      <c r="K27" s="300"/>
      <c r="L27" s="300"/>
      <c r="M27" s="300"/>
      <c r="N27" s="240">
        <f t="shared" si="4"/>
        <v>0</v>
      </c>
      <c r="O27" s="12"/>
      <c r="P27" s="12"/>
      <c r="Q27" s="12"/>
      <c r="R27" s="12"/>
      <c r="S27" s="524">
        <f>1*1000</f>
        <v>1000</v>
      </c>
      <c r="T27" s="473"/>
      <c r="U27" s="526" t="s">
        <v>1107</v>
      </c>
      <c r="V27" s="240" t="str">
        <f t="shared" ref="V27:V32" si="6">IFERROR(IF(D27="tonnes/yr", $S27*$E27/($N$20*3.6), $T27*$E27*3.6/($N$20*3.6)), "Unfilled fields to left")</f>
        <v>Unfilled fields to left</v>
      </c>
      <c r="X27" s="21"/>
    </row>
    <row r="28" spans="2:29" s="14" customFormat="1">
      <c r="B28" s="184" t="s">
        <v>1228</v>
      </c>
      <c r="C28" s="182" t="s">
        <v>1230</v>
      </c>
      <c r="D28" s="177" t="s">
        <v>425</v>
      </c>
      <c r="E28" s="35"/>
      <c r="F28" s="34"/>
      <c r="G28" s="21"/>
      <c r="H28" s="20"/>
      <c r="I28" s="36"/>
      <c r="J28" s="298"/>
      <c r="K28" s="300"/>
      <c r="L28" s="300"/>
      <c r="M28" s="300"/>
      <c r="N28" s="240">
        <f t="shared" si="4"/>
        <v>0</v>
      </c>
      <c r="O28" s="12"/>
      <c r="P28" s="12"/>
      <c r="Q28" s="12"/>
      <c r="R28" s="12"/>
      <c r="S28" s="524">
        <f>1*1000</f>
        <v>1000</v>
      </c>
      <c r="T28" s="473"/>
      <c r="U28" s="526" t="s">
        <v>1107</v>
      </c>
      <c r="V28" s="240" t="str">
        <f t="shared" si="6"/>
        <v>Unfilled fields to left</v>
      </c>
      <c r="X28" s="21"/>
    </row>
    <row r="29" spans="2:29" s="14" customFormat="1">
      <c r="B29" s="184" t="s">
        <v>1161</v>
      </c>
      <c r="C29" s="182" t="s">
        <v>1231</v>
      </c>
      <c r="D29" s="177" t="s">
        <v>425</v>
      </c>
      <c r="E29" s="35"/>
      <c r="F29" s="34"/>
      <c r="G29" s="21"/>
      <c r="H29" s="20"/>
      <c r="I29" s="36"/>
      <c r="J29" s="298"/>
      <c r="K29" s="300"/>
      <c r="L29" s="300"/>
      <c r="M29" s="300"/>
      <c r="N29" s="240">
        <f t="shared" si="4"/>
        <v>0</v>
      </c>
      <c r="O29" s="12"/>
      <c r="P29" s="12"/>
      <c r="Q29" s="12"/>
      <c r="R29" s="12"/>
      <c r="S29" s="524">
        <f>28*1000</f>
        <v>28000</v>
      </c>
      <c r="T29" s="473"/>
      <c r="U29" s="526" t="s">
        <v>1107</v>
      </c>
      <c r="V29" s="240" t="str">
        <f t="shared" si="6"/>
        <v>Unfilled fields to left</v>
      </c>
      <c r="X29" s="21"/>
    </row>
    <row r="30" spans="2:29" s="14" customFormat="1">
      <c r="B30" s="184" t="s">
        <v>1161</v>
      </c>
      <c r="C30" s="182" t="s">
        <v>1123</v>
      </c>
      <c r="D30" s="177" t="s">
        <v>425</v>
      </c>
      <c r="E30" s="35"/>
      <c r="F30" s="34"/>
      <c r="G30" s="21"/>
      <c r="H30" s="20"/>
      <c r="I30" s="36"/>
      <c r="J30" s="298"/>
      <c r="K30" s="300"/>
      <c r="L30" s="300"/>
      <c r="M30" s="300"/>
      <c r="N30" s="240">
        <f t="shared" si="4"/>
        <v>0</v>
      </c>
      <c r="O30" s="12"/>
      <c r="P30" s="12"/>
      <c r="Q30" s="12"/>
      <c r="R30" s="12"/>
      <c r="S30" s="524">
        <v>265000</v>
      </c>
      <c r="T30" s="473"/>
      <c r="U30" s="526" t="s">
        <v>1107</v>
      </c>
      <c r="V30" s="240" t="str">
        <f t="shared" si="6"/>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524"/>
      <c r="T31" s="473"/>
      <c r="U31" s="527"/>
      <c r="V31" s="240" t="str">
        <f t="shared" si="6"/>
        <v>Unfilled fields to left</v>
      </c>
      <c r="X31" s="21"/>
    </row>
    <row r="32" spans="2:29" s="14" customFormat="1">
      <c r="B32" s="16"/>
      <c r="C32" s="15"/>
      <c r="D32" s="177"/>
      <c r="E32" s="35"/>
      <c r="F32" s="21"/>
      <c r="G32" s="21"/>
      <c r="H32" s="20"/>
      <c r="I32" s="36"/>
      <c r="J32" s="298"/>
      <c r="K32" s="300"/>
      <c r="L32" s="300"/>
      <c r="M32" s="300"/>
      <c r="N32" s="240">
        <f t="shared" si="4"/>
        <v>0</v>
      </c>
      <c r="O32" s="12"/>
      <c r="P32" s="12"/>
      <c r="Q32" s="12"/>
      <c r="R32" s="12"/>
      <c r="S32" s="524"/>
      <c r="T32" s="473"/>
      <c r="U32" s="527"/>
      <c r="V32" s="240" t="str">
        <f t="shared" si="6"/>
        <v>Unfilled fields to left</v>
      </c>
      <c r="X32" s="21"/>
    </row>
    <row r="33" spans="2:25" s="19" customFormat="1">
      <c r="C33" s="17"/>
      <c r="D33" s="17"/>
      <c r="E33" s="139"/>
      <c r="F33" s="17"/>
      <c r="H33" s="18"/>
      <c r="I33" s="18"/>
      <c r="J33" s="40"/>
      <c r="K33" s="40"/>
      <c r="L33" s="40"/>
      <c r="M33" s="40"/>
      <c r="N33" s="40"/>
      <c r="S33" s="40"/>
      <c r="T33" s="40"/>
      <c r="U33" s="40"/>
      <c r="V33" s="40"/>
    </row>
    <row r="34" spans="2:25" s="19" customFormat="1">
      <c r="B34" s="144" t="s">
        <v>1232</v>
      </c>
      <c r="C34" s="144"/>
      <c r="D34" s="144"/>
      <c r="E34" s="299"/>
      <c r="F34" s="144"/>
      <c r="G34" s="144"/>
      <c r="H34" s="144"/>
      <c r="I34" s="144"/>
      <c r="J34" s="299"/>
      <c r="K34" s="299"/>
      <c r="L34" s="299"/>
      <c r="M34" s="299"/>
      <c r="N34" s="299"/>
      <c r="S34" s="40"/>
      <c r="T34" s="40"/>
      <c r="U34" s="40"/>
      <c r="V34" s="40"/>
    </row>
    <row r="35" spans="2:25" s="19" customFormat="1">
      <c r="B35" s="184" t="s">
        <v>1233</v>
      </c>
      <c r="C35" s="182" t="s">
        <v>1234</v>
      </c>
      <c r="D35" s="177" t="s">
        <v>425</v>
      </c>
      <c r="E35" s="35" t="e">
        <f>E43/E42*E20</f>
        <v>#DIV/0!</v>
      </c>
      <c r="F35" s="24"/>
      <c r="G35" s="21"/>
      <c r="H35" s="20"/>
      <c r="I35" s="20"/>
      <c r="J35" s="298"/>
      <c r="K35" s="300"/>
      <c r="L35" s="300"/>
      <c r="M35" s="300"/>
      <c r="N35" s="562" t="s">
        <v>563</v>
      </c>
      <c r="S35" s="298">
        <v>1000</v>
      </c>
      <c r="T35" s="473"/>
      <c r="U35" s="35" t="s">
        <v>1107</v>
      </c>
      <c r="V35" s="240" t="str">
        <f>IFERROR(IF(D35="tonnes/yr", $S35*$E35/($N$20*3.6), $T35*$E35*3.6/($N$20*3.6)), "Unfilled fields to left")</f>
        <v>Unfilled fields to left</v>
      </c>
      <c r="X35" s="24"/>
    </row>
    <row r="36" spans="2:25" s="19" customFormat="1">
      <c r="B36" s="16"/>
      <c r="C36" s="15"/>
      <c r="D36" s="177"/>
      <c r="E36" s="35"/>
      <c r="F36" s="21"/>
      <c r="G36" s="21"/>
      <c r="H36" s="20"/>
      <c r="I36" s="36"/>
      <c r="J36" s="298"/>
      <c r="K36" s="300"/>
      <c r="L36" s="300"/>
      <c r="M36" s="300"/>
      <c r="N36" s="562" t="s">
        <v>563</v>
      </c>
      <c r="S36" s="300"/>
      <c r="T36" s="473"/>
      <c r="U36" s="300"/>
      <c r="V36" s="240" t="str">
        <f>IFERROR(IF(D36="tonnes/yr", $S36*$E36/($N$20*3.6), $T36*$E36*3.6/($N$20*3.6)), "Unfilled fields to left")</f>
        <v>Unfilled fields to left</v>
      </c>
      <c r="X36" s="25"/>
    </row>
    <row r="37" spans="2:25" s="19" customFormat="1">
      <c r="C37" s="17"/>
      <c r="D37" s="17"/>
      <c r="E37" s="139"/>
      <c r="F37" s="17"/>
      <c r="H37" s="18"/>
      <c r="I37" s="18"/>
      <c r="J37" s="40"/>
      <c r="K37" s="40"/>
      <c r="L37" s="40"/>
      <c r="M37" s="40"/>
      <c r="N37" s="40"/>
      <c r="S37" s="40"/>
      <c r="T37" s="40"/>
      <c r="U37" s="40"/>
      <c r="V37" s="40"/>
    </row>
    <row r="38" spans="2:25" s="19" customFormat="1">
      <c r="C38" s="17"/>
      <c r="D38" s="17"/>
      <c r="E38" s="139"/>
      <c r="F38" s="17"/>
      <c r="H38" s="18"/>
      <c r="I38" s="18"/>
      <c r="J38" s="40"/>
      <c r="K38" s="40"/>
      <c r="L38" s="40"/>
      <c r="M38" s="40"/>
      <c r="N38" s="40"/>
      <c r="S38" s="40"/>
      <c r="T38" s="40"/>
      <c r="U38" s="40"/>
      <c r="V38" s="40"/>
    </row>
    <row r="39" spans="2:25" s="19" customFormat="1">
      <c r="D39" s="17"/>
      <c r="E39" s="139"/>
      <c r="H39" s="126"/>
      <c r="I39" s="126"/>
      <c r="J39" s="125"/>
      <c r="K39" s="125"/>
      <c r="L39" s="125"/>
      <c r="M39" s="125"/>
      <c r="N39" s="125"/>
      <c r="S39" s="125"/>
      <c r="T39" s="125"/>
      <c r="U39" s="38" t="s">
        <v>1162</v>
      </c>
      <c r="V39" s="152">
        <f>SUM(V7:V38)</f>
        <v>0</v>
      </c>
    </row>
    <row r="40" spans="2:25">
      <c r="B40" s="144" t="s">
        <v>133</v>
      </c>
      <c r="C40" s="158"/>
      <c r="D40" s="158"/>
      <c r="E40" s="495"/>
      <c r="I40" s="12"/>
      <c r="J40" s="107"/>
      <c r="K40" s="107"/>
      <c r="L40" s="107"/>
      <c r="M40" s="107"/>
      <c r="N40" s="107"/>
      <c r="O40" s="12"/>
      <c r="S40" s="107"/>
      <c r="T40" s="107"/>
      <c r="U40" s="107"/>
      <c r="Y40" s="12"/>
    </row>
    <row r="41" spans="2:25">
      <c r="B41" s="16" t="s">
        <v>1134</v>
      </c>
      <c r="C41" s="15" t="s">
        <v>1135</v>
      </c>
      <c r="D41" s="15" t="s">
        <v>1136</v>
      </c>
      <c r="E41" s="497"/>
      <c r="G41" s="19"/>
      <c r="H41" s="12"/>
      <c r="I41" s="12"/>
      <c r="J41" s="107"/>
      <c r="K41" s="107"/>
      <c r="L41" s="107"/>
      <c r="M41" s="107"/>
      <c r="N41" s="107"/>
      <c r="O41" s="12"/>
      <c r="S41" s="107"/>
      <c r="T41" s="107"/>
      <c r="U41" s="107"/>
      <c r="V41" s="12"/>
      <c r="X41" s="25"/>
      <c r="Y41" s="12"/>
    </row>
    <row r="42" spans="2:25">
      <c r="B42" s="16" t="s">
        <v>1235</v>
      </c>
      <c r="C42" s="15" t="s">
        <v>1235</v>
      </c>
      <c r="D42" s="15" t="s">
        <v>1236</v>
      </c>
      <c r="E42" s="497"/>
      <c r="H42" s="12"/>
      <c r="I42" s="12"/>
      <c r="J42" s="107"/>
      <c r="K42" s="107"/>
      <c r="L42" s="107"/>
      <c r="M42" s="107"/>
      <c r="N42" s="107"/>
      <c r="O42" s="12"/>
      <c r="S42" s="107"/>
      <c r="T42" s="107"/>
      <c r="U42" s="107"/>
      <c r="V42" s="12"/>
      <c r="X42" s="25"/>
      <c r="Y42" s="12"/>
    </row>
    <row r="43" spans="2:25">
      <c r="B43" s="16" t="s">
        <v>1237</v>
      </c>
      <c r="C43" s="15" t="s">
        <v>1238</v>
      </c>
      <c r="D43" s="15" t="s">
        <v>1239</v>
      </c>
      <c r="E43" s="497"/>
      <c r="J43" s="39"/>
      <c r="K43" s="39"/>
      <c r="L43" s="39"/>
      <c r="M43" s="39"/>
      <c r="S43" s="39"/>
      <c r="T43" s="39"/>
      <c r="U43" s="39"/>
      <c r="X43" s="25"/>
    </row>
    <row r="44" spans="2:25">
      <c r="B44" s="16"/>
      <c r="C44" s="15"/>
      <c r="D44" s="15"/>
      <c r="E44" s="503"/>
      <c r="J44" s="39"/>
      <c r="K44" s="39"/>
      <c r="L44" s="39"/>
      <c r="M44" s="39"/>
      <c r="S44" s="39"/>
      <c r="T44" s="39"/>
      <c r="U44" s="39"/>
      <c r="X44" s="25"/>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F03309BC-D3FA-4CF2-833B-D6D9A95FE1FB}" showGridLines="0" state="hidden">
      <pane xSplit="3" ySplit="5" topLeftCell="Q11"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Q11"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35:D36 D8:D17 D20:D32" xr:uid="{CBBDBBCA-ADE8-45DC-98EB-B34334A10155}">
      <formula1>Flow_units</formula1>
    </dataValidation>
    <dataValidation type="custom" allowBlank="1" showInputMessage="1" showErrorMessage="1" error="Please do not change this formula" prompt="Please do not change this formula" sqref="W4 Q23:R1048576 P1:R4 V1:V4 V6:V1048576 O4 R6:R19 P21:P1048576 O6:O20 Q20:Q22 S5:V5 N1:N34 N37:N1048576" xr:uid="{46499973-AEC8-430D-B244-EECCC65C7185}">
      <formula1>"Please do not change this formula"</formula1>
    </dataValidation>
    <dataValidation type="custom" allowBlank="1" showInputMessage="1" showErrorMessage="1" error="Please do not change this formula" sqref="O5:R5" xr:uid="{8F1634B4-3F5A-4544-BB1D-9EF796B2C1DB}">
      <formula1>"Please do not change this formula"</formula1>
    </dataValidation>
    <dataValidation type="custom" allowBlank="1" showInputMessage="1" showErrorMessage="1" error="Please do not change" sqref="R20:R22" xr:uid="{7A7EA0BC-5A9A-4854-8BC6-1605F1EF3C66}">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4" xr:uid="{CFC0D6FA-5876-48A5-8453-60EC184F21C1}">
      <formula1>0</formula1>
    </dataValidation>
  </dataValidations>
  <hyperlinks>
    <hyperlink ref="I2:J2" location="'Biomass Transport'!A1" display="Go to the next step of this pathway" xr:uid="{96D45221-5F40-4D0B-8945-3C29F069E7C1}"/>
    <hyperlink ref="I2:K2" location="Biomass_Harvesting!A1" display="Go to the next step of this pathway" xr:uid="{53413711-7069-4CB4-84E7-2A693E2C605A}"/>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6" id="{00000000-000E-0000-2A00-00001A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66" id="{8E32836F-B520-4D09-A53F-62647D24D922}">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D6F66-8861-42A1-8784-22337880EFC9}">
  <sheetPr codeName="Sheet48">
    <tabColor rgb="FFCCFF66"/>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42578125" customWidth="1"/>
    <col min="16" max="16" width="8.14062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4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1262</v>
      </c>
      <c r="D8" s="177" t="s">
        <v>425</v>
      </c>
      <c r="E8" s="35"/>
      <c r="F8" s="24"/>
      <c r="G8" s="21"/>
      <c r="H8" s="21"/>
      <c r="I8" s="21"/>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4"/>
      <c r="G9" s="21"/>
      <c r="H9" s="20"/>
      <c r="I9" s="36"/>
      <c r="J9" s="298"/>
      <c r="K9" s="300"/>
      <c r="L9" s="300"/>
      <c r="M9" s="300"/>
      <c r="N9" s="240">
        <f t="shared" si="0"/>
        <v>0</v>
      </c>
      <c r="O9" s="12"/>
      <c r="S9" s="35" t="str">
        <f>IF(B9="", "", IF(D9="MWh/yr (LHV)", "Use column to right", "Enter data here"))</f>
        <v>Use column to right</v>
      </c>
      <c r="T9" s="35" t="e">
        <f>INDEX(Proj_grid_intensity_kWh,MATCH(Operations_year,Proj_grid_year,0))/Conversion_kWh_to_MJ</f>
        <v>#N/A</v>
      </c>
      <c r="U9" s="35" t="s">
        <v>1112</v>
      </c>
      <c r="V9" s="261" t="str">
        <f t="shared" ref="V9:V17" si="1">IFERROR(IF(D9="tonnes/yr", $S9*$E9/($N$20*3.6), $T9*$E9*3.6/($N$20*3.6)), "Unfilled fields to left")</f>
        <v>Unfilled fields to left</v>
      </c>
      <c r="X9" s="25"/>
      <c r="Y9" s="12"/>
    </row>
    <row r="10" spans="1:29">
      <c r="B10" s="184" t="s">
        <v>1069</v>
      </c>
      <c r="C10" s="182"/>
      <c r="D10" s="177"/>
      <c r="E10" s="35"/>
      <c r="F10" s="24"/>
      <c r="G10" s="21"/>
      <c r="H10" s="20"/>
      <c r="I10" s="36"/>
      <c r="J10" s="298"/>
      <c r="K10" s="300"/>
      <c r="L10" s="300"/>
      <c r="M10" s="300"/>
      <c r="N10" s="240">
        <f t="shared" si="0"/>
        <v>0</v>
      </c>
      <c r="O10" s="12"/>
      <c r="S10" s="35" t="str">
        <f t="shared" ref="S10" si="2">IF(B10="", "", IF(D10="MWh/yr (LHV)", "Use column to right", "Enter data here"))</f>
        <v>Enter data here</v>
      </c>
      <c r="T10" s="35" t="str">
        <f t="shared" ref="T10" si="3">IF(B10="", "", IF(D10="MWh/yr (LHV)", "Enter data here", "Use column to left"))</f>
        <v>Use column to left</v>
      </c>
      <c r="U10" s="35" t="s">
        <v>1148</v>
      </c>
      <c r="V10" s="261" t="str">
        <f t="shared" si="1"/>
        <v>Unfilled fields to left</v>
      </c>
      <c r="X10" s="25"/>
      <c r="Y10" s="12"/>
    </row>
    <row r="11" spans="1:29">
      <c r="B11" s="184" t="s">
        <v>1090</v>
      </c>
      <c r="C11" s="182" t="s">
        <v>1091</v>
      </c>
      <c r="D11" s="177" t="s">
        <v>425</v>
      </c>
      <c r="E11" s="35"/>
      <c r="F11" s="35"/>
      <c r="G11" s="21"/>
      <c r="H11" s="20"/>
      <c r="I11" s="36"/>
      <c r="J11" s="298"/>
      <c r="K11" s="300"/>
      <c r="L11" s="300"/>
      <c r="M11" s="300"/>
      <c r="N11" s="240">
        <f t="shared" si="0"/>
        <v>0</v>
      </c>
      <c r="O11" s="12"/>
      <c r="S11" s="35" t="str">
        <f t="shared" ref="S11:S17" si="4">IF(B11="", "", IF(D11="MWh/yr (LHV)", "Use column to right", "Enter data here"))</f>
        <v>Enter data here</v>
      </c>
      <c r="T11" s="35" t="str">
        <f t="shared" ref="T11:T17" si="5">IF(B11="", "", IF(D11="MWh/yr (LHV)", "Enter data here", "Use column to left"))</f>
        <v>Use column to left</v>
      </c>
      <c r="U11" s="35" t="s">
        <v>1148</v>
      </c>
      <c r="V11" s="261" t="str">
        <f t="shared" si="1"/>
        <v>Unfilled fields to left</v>
      </c>
      <c r="W11" s="91"/>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4"/>
        <v>Enter data here</v>
      </c>
      <c r="T12" s="35" t="str">
        <f t="shared" si="5"/>
        <v>Use column to left</v>
      </c>
      <c r="U12" s="35" t="s">
        <v>1148</v>
      </c>
      <c r="V12" s="261"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4"/>
        <v>Enter data here</v>
      </c>
      <c r="T13" s="35" t="str">
        <f t="shared" si="5"/>
        <v>Use column to left</v>
      </c>
      <c r="U13" s="35" t="s">
        <v>1148</v>
      </c>
      <c r="V13" s="261"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4"/>
        <v>Enter data here</v>
      </c>
      <c r="T14" s="35" t="str">
        <f t="shared" si="5"/>
        <v>Use column to left</v>
      </c>
      <c r="U14" s="35" t="s">
        <v>1148</v>
      </c>
      <c r="V14" s="261" t="str">
        <f t="shared" si="1"/>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S15" s="35" t="str">
        <f t="shared" si="4"/>
        <v>Enter data here</v>
      </c>
      <c r="T15" s="35" t="str">
        <f t="shared" si="5"/>
        <v>Use column to left</v>
      </c>
      <c r="U15" s="35" t="s">
        <v>1148</v>
      </c>
      <c r="V15" s="261" t="str">
        <f t="shared" si="1"/>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S16" s="35" t="str">
        <f t="shared" si="4"/>
        <v>Enter data here</v>
      </c>
      <c r="T16" s="35" t="str">
        <f t="shared" si="5"/>
        <v>Use column to left</v>
      </c>
      <c r="U16" s="35" t="s">
        <v>1148</v>
      </c>
      <c r="V16" s="261" t="str">
        <f t="shared" si="1"/>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4"/>
        <v/>
      </c>
      <c r="T17" s="35" t="str">
        <f t="shared" si="5"/>
        <v/>
      </c>
      <c r="U17" s="35"/>
      <c r="V17" s="261" t="str">
        <f t="shared" si="1"/>
        <v>Unfilled fields to left</v>
      </c>
      <c r="X17" s="25"/>
      <c r="Y17" s="12"/>
    </row>
    <row r="18" spans="2:29">
      <c r="C18" s="17"/>
      <c r="D18" s="17"/>
      <c r="E18" s="502"/>
      <c r="F18" s="26"/>
      <c r="G18" s="27"/>
      <c r="H18" s="22"/>
      <c r="I18" s="22"/>
      <c r="J18" s="41"/>
      <c r="K18" s="41"/>
      <c r="L18" s="41"/>
      <c r="M18" s="41"/>
      <c r="N18" s="41"/>
      <c r="O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1263</v>
      </c>
      <c r="D20" s="177" t="s">
        <v>425</v>
      </c>
      <c r="E20" s="35"/>
      <c r="F20" s="24"/>
      <c r="G20" s="21"/>
      <c r="H20" s="21"/>
      <c r="I20" s="21"/>
      <c r="J20" s="298"/>
      <c r="K20" s="304"/>
      <c r="L20" s="304"/>
      <c r="M20" s="304"/>
      <c r="N20" s="240">
        <f t="shared" ref="N20:N31" si="6">IF($D20="MWh/yr (LHV)",$E20,$J20*$E20*(1-$L20)/Conversion_kWh_to_MJ)</f>
        <v>0</v>
      </c>
      <c r="O20" s="244" t="str">
        <f>IFERROR(N20/N8,"")</f>
        <v/>
      </c>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61"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61" t="str">
        <f>IFERROR(IF(D28="tonnes/yr", $S28*$E28/($N$20*3.6), $T28*$E28*3.6/($N$20*3.6)), "Unfilled fields to left")</f>
        <v>Unfilled fields to left</v>
      </c>
      <c r="X28" s="21"/>
    </row>
    <row r="29" spans="2:29" s="14" customFormat="1">
      <c r="B29" s="184" t="s">
        <v>1161</v>
      </c>
      <c r="C29" s="182" t="s">
        <v>1123</v>
      </c>
      <c r="D29" s="177" t="s">
        <v>425</v>
      </c>
      <c r="E29" s="35"/>
      <c r="F29" s="24"/>
      <c r="G29" s="21"/>
      <c r="H29" s="20"/>
      <c r="I29" s="36"/>
      <c r="J29" s="298"/>
      <c r="K29" s="300"/>
      <c r="L29" s="300"/>
      <c r="M29" s="300"/>
      <c r="N29" s="240">
        <f t="shared" si="6"/>
        <v>0</v>
      </c>
      <c r="O29" s="12"/>
      <c r="P29" s="12"/>
      <c r="Q29" s="12"/>
      <c r="R29" s="12"/>
      <c r="S29" s="35">
        <v>265000</v>
      </c>
      <c r="T29" s="514"/>
      <c r="U29" s="35" t="s">
        <v>1107</v>
      </c>
      <c r="V29" s="261"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61"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61" t="str">
        <f>IFERROR(IF(D31="tonnes/yr", $S31*$E31/($N$20*3.6), $T31*$E31*3.6/($N$20*3.6)), "Unfilled fields to left")</f>
        <v>Unfilled fields to left</v>
      </c>
      <c r="X31" s="21"/>
    </row>
    <row r="32" spans="2:29">
      <c r="C32" s="17"/>
      <c r="D32" s="17"/>
      <c r="E32" s="139"/>
      <c r="F32" s="17"/>
      <c r="H32" s="18"/>
      <c r="I32" s="18"/>
      <c r="J32" s="40"/>
      <c r="K32" s="40"/>
      <c r="L32" s="40"/>
      <c r="M32" s="40"/>
      <c r="N32" s="40"/>
      <c r="O32" s="12"/>
      <c r="S32" s="40"/>
      <c r="T32" s="40"/>
      <c r="U32" s="40"/>
      <c r="V32" s="139"/>
      <c r="Y32" s="12"/>
    </row>
    <row r="33" spans="2:25">
      <c r="D33" s="17"/>
      <c r="E33" s="139"/>
      <c r="J33" s="39"/>
      <c r="K33" s="39"/>
      <c r="L33" s="39"/>
      <c r="M33" s="39"/>
      <c r="O33" s="12"/>
      <c r="S33" s="39"/>
      <c r="T33" s="39"/>
      <c r="U33" s="38" t="s">
        <v>1162</v>
      </c>
      <c r="V33" s="152">
        <f>SUM(V7:V32)</f>
        <v>0</v>
      </c>
      <c r="Y33" s="12"/>
    </row>
    <row r="34" spans="2:25">
      <c r="B34" s="144" t="s">
        <v>133</v>
      </c>
      <c r="C34" s="158"/>
      <c r="D34" s="158"/>
      <c r="E34" s="495"/>
      <c r="I34" s="12"/>
      <c r="J34" s="107"/>
      <c r="K34" s="107"/>
      <c r="L34" s="107"/>
      <c r="M34" s="107"/>
      <c r="N34" s="107"/>
      <c r="O34" s="12"/>
      <c r="S34" s="107"/>
      <c r="T34" s="107"/>
      <c r="U34" s="107"/>
      <c r="Y34" s="12"/>
    </row>
    <row r="35" spans="2:25">
      <c r="B35" s="16" t="s">
        <v>1134</v>
      </c>
      <c r="C35" s="15" t="s">
        <v>1135</v>
      </c>
      <c r="D35" s="15" t="s">
        <v>1136</v>
      </c>
      <c r="E35" s="497"/>
      <c r="G35" s="19"/>
      <c r="H35" s="12"/>
      <c r="I35" s="12"/>
      <c r="J35" s="107"/>
      <c r="K35" s="107"/>
      <c r="L35" s="107"/>
      <c r="M35" s="107"/>
      <c r="N35" s="107"/>
      <c r="O35" s="12"/>
      <c r="S35" s="107"/>
      <c r="T35" s="107"/>
      <c r="U35" s="107"/>
      <c r="V35" s="12"/>
      <c r="X35" s="25"/>
      <c r="Y35" s="12"/>
    </row>
    <row r="36" spans="2:25">
      <c r="B36" s="16"/>
      <c r="C36" s="15"/>
      <c r="D36" s="15"/>
      <c r="E36" s="503"/>
      <c r="H36" s="12"/>
      <c r="I36" s="12"/>
      <c r="J36" s="107"/>
      <c r="K36" s="107"/>
      <c r="L36" s="107"/>
      <c r="M36" s="107"/>
      <c r="N36" s="107"/>
      <c r="O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Q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8D80B4DC-6E04-4014-9DEE-F1140D090844}">
      <formula1>Flow_units</formula1>
    </dataValidation>
    <dataValidation type="custom" allowBlank="1" showInputMessage="1" showErrorMessage="1" error="Please do not change this formula" prompt="Please do not change this formula" sqref="V6:V1048576 W4 V1:V4 R6:R19 P1:R4 Q23:R1048576 N1:N7 N18:N19 P21:P1048576 N32:N1048576 O4 O6:O19 S5:V5" xr:uid="{8C07081E-5C34-4230-B715-F813AA0549FF}">
      <formula1>"Please do not change this formula"</formula1>
    </dataValidation>
    <dataValidation type="custom" allowBlank="1" showInputMessage="1" showErrorMessage="1" error="Please do not change this formula" sqref="Q20:Q22 N8:N17 N20:N31 O20 O5:R5" xr:uid="{5B1FEEFA-565E-403B-91F5-AC34660EC076}">
      <formula1>"Please do not change this formula"</formula1>
    </dataValidation>
    <dataValidation type="custom" allowBlank="1" showInputMessage="1" showErrorMessage="1" error="Please do not change" sqref="R20:R22" xr:uid="{A51861B7-D097-4A2A-8084-3D7B42D328AD}">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4F3EFB14-5861-4DE1-AF01-0EFC178DA070}">
      <formula1>0</formula1>
    </dataValidation>
  </dataValidations>
  <hyperlinks>
    <hyperlink ref="I2:J2" location="'Biomass Transport'!A1" display="Go to the next step of this pathway" xr:uid="{77ABACC9-2A6A-4FF2-9F22-863C7A3780DA}"/>
    <hyperlink ref="I2:K2" location="Biomass_Collection!A1" display="Go to the next step of this pathway" xr:uid="{23DB318D-ADA7-4F76-8654-DA173D549DB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09" id="{00000000-000E-0000-2B00-0000D1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10" id="{E01E4553-8278-4D07-B3B4-29BD62A0A51E}">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227F1-A303-4CFF-A3E2-2950B5DC72C4}">
  <sheetPr codeName="Sheet29">
    <tabColor rgb="FFCCFF66"/>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42578125" customWidth="1"/>
    <col min="16" max="16" width="8.14062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45" customHeight="1">
      <c r="B2" s="80" t="str">
        <f>IF(AND(GHG_BIOMASS_GASIFICATION!$D$5="Default",Master_Switch="On"),"Default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1264</v>
      </c>
      <c r="D8" s="177" t="s">
        <v>425</v>
      </c>
      <c r="E8" s="35"/>
      <c r="F8" s="24"/>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1146</v>
      </c>
      <c r="D9" s="177" t="s">
        <v>447</v>
      </c>
      <c r="E9" s="35"/>
      <c r="F9" s="24"/>
      <c r="G9" s="21"/>
      <c r="H9" s="20"/>
      <c r="I9" s="36"/>
      <c r="J9" s="298"/>
      <c r="K9" s="300"/>
      <c r="L9" s="300"/>
      <c r="M9" s="300"/>
      <c r="N9" s="240">
        <f t="shared" si="0"/>
        <v>0</v>
      </c>
      <c r="O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4"/>
      <c r="G10" s="21"/>
      <c r="H10" s="20"/>
      <c r="I10" s="36"/>
      <c r="J10" s="298"/>
      <c r="K10" s="300"/>
      <c r="L10" s="300"/>
      <c r="M10" s="300"/>
      <c r="N10" s="240">
        <f t="shared" si="0"/>
        <v>0</v>
      </c>
      <c r="O10" s="12"/>
      <c r="S10" s="35" t="str">
        <f t="shared" ref="S10" si="2">IF(B10="", "", IF(D10="MWh/yr (LHV)", "Use column to right", "Enter data here"))</f>
        <v>Enter data here</v>
      </c>
      <c r="T10" s="35" t="str">
        <f t="shared" ref="T10" si="3">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35"/>
      <c r="G11" s="21"/>
      <c r="H11" s="20"/>
      <c r="I11" s="36"/>
      <c r="J11" s="298"/>
      <c r="K11" s="300"/>
      <c r="L11" s="300"/>
      <c r="M11" s="300"/>
      <c r="N11" s="240">
        <f t="shared" si="0"/>
        <v>0</v>
      </c>
      <c r="O11" s="12"/>
      <c r="S11" s="35" t="str">
        <f t="shared" ref="S11:S17" si="4">IF(B11="", "", IF(D11="MWh/yr (LHV)", "Use column to right", "Enter data here"))</f>
        <v>Enter data here</v>
      </c>
      <c r="T11" s="35" t="str">
        <f t="shared" ref="T11:T17" si="5">IF(B11="", "", IF(D11="MWh/yr (LHV)", "Enter data here", "Use column to left"))</f>
        <v>Use column to left</v>
      </c>
      <c r="U11" s="35" t="s">
        <v>1148</v>
      </c>
      <c r="V11" s="240" t="str">
        <f t="shared" si="1"/>
        <v>Unfilled fields to left</v>
      </c>
      <c r="W11" s="91"/>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4"/>
        <v>Enter data here</v>
      </c>
      <c r="T12" s="35" t="str">
        <f t="shared" si="5"/>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4"/>
        <v>Enter data here</v>
      </c>
      <c r="T13" s="35" t="str">
        <f t="shared" si="5"/>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4"/>
        <v>Enter data here</v>
      </c>
      <c r="T14" s="35" t="str">
        <f t="shared" si="5"/>
        <v>Use column to left</v>
      </c>
      <c r="U14" s="35" t="s">
        <v>1148</v>
      </c>
      <c r="V14" s="240" t="str">
        <f t="shared" si="1"/>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S15" s="35" t="str">
        <f t="shared" si="4"/>
        <v>Enter data here</v>
      </c>
      <c r="T15" s="35" t="str">
        <f t="shared" si="5"/>
        <v>Use column to left</v>
      </c>
      <c r="U15" s="35" t="s">
        <v>1148</v>
      </c>
      <c r="V15" s="240" t="str">
        <f t="shared" si="1"/>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S16" s="35" t="str">
        <f t="shared" si="4"/>
        <v>Enter data here</v>
      </c>
      <c r="T16" s="35" t="str">
        <f t="shared" si="5"/>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4"/>
        <v/>
      </c>
      <c r="T17" s="35" t="str">
        <f t="shared" si="5"/>
        <v/>
      </c>
      <c r="U17" s="35"/>
      <c r="V17" s="240" t="str">
        <f t="shared" si="1"/>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1265</v>
      </c>
      <c r="D20" s="177" t="s">
        <v>425</v>
      </c>
      <c r="E20" s="35"/>
      <c r="F20" s="21"/>
      <c r="G20" s="21"/>
      <c r="H20" s="21"/>
      <c r="I20" s="21"/>
      <c r="J20" s="298"/>
      <c r="K20" s="304"/>
      <c r="L20" s="304"/>
      <c r="M20" s="304"/>
      <c r="N20" s="240">
        <f t="shared" ref="N20:N31" si="6">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298">
        <v>1000</v>
      </c>
      <c r="T27" s="473"/>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298">
        <f>28*1000</f>
        <v>28000</v>
      </c>
      <c r="T28" s="473"/>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4"/>
      <c r="G29" s="21"/>
      <c r="H29" s="20"/>
      <c r="I29" s="36"/>
      <c r="J29" s="298"/>
      <c r="K29" s="300"/>
      <c r="L29" s="300"/>
      <c r="M29" s="300"/>
      <c r="N29" s="240">
        <f t="shared" si="6"/>
        <v>0</v>
      </c>
      <c r="O29" s="12"/>
      <c r="P29" s="12"/>
      <c r="Q29" s="12"/>
      <c r="R29" s="12"/>
      <c r="S29" s="298">
        <f>265*1000</f>
        <v>265000</v>
      </c>
      <c r="T29" s="473"/>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S32" s="40"/>
      <c r="T32" s="40"/>
      <c r="U32" s="40"/>
      <c r="V32" s="40"/>
      <c r="Y32" s="12"/>
    </row>
    <row r="33" spans="2:25">
      <c r="D33" s="17"/>
      <c r="E33" s="139"/>
      <c r="J33" s="39"/>
      <c r="K33" s="39"/>
      <c r="L33" s="39"/>
      <c r="M33" s="39"/>
      <c r="O33" s="12"/>
      <c r="S33" s="39"/>
      <c r="T33" s="39"/>
      <c r="U33" s="38" t="s">
        <v>1162</v>
      </c>
      <c r="V33" s="152">
        <f>SUM(V7:V32)</f>
        <v>0</v>
      </c>
      <c r="Y33" s="12"/>
    </row>
    <row r="34" spans="2:25">
      <c r="B34" s="144" t="s">
        <v>133</v>
      </c>
      <c r="C34" s="158"/>
      <c r="D34" s="158"/>
      <c r="E34" s="495"/>
      <c r="I34" s="12"/>
      <c r="J34" s="107"/>
      <c r="K34" s="107"/>
      <c r="L34" s="107"/>
      <c r="M34" s="107"/>
      <c r="N34" s="107"/>
      <c r="O34" s="12"/>
      <c r="S34" s="107"/>
      <c r="T34" s="107"/>
      <c r="U34" s="107"/>
      <c r="Y34" s="12"/>
    </row>
    <row r="35" spans="2:25">
      <c r="B35" s="16" t="s">
        <v>1134</v>
      </c>
      <c r="C35" s="15" t="s">
        <v>1135</v>
      </c>
      <c r="D35" s="15" t="s">
        <v>1136</v>
      </c>
      <c r="E35" s="497"/>
      <c r="G35" s="19"/>
      <c r="H35" s="12"/>
      <c r="I35" s="12"/>
      <c r="J35" s="107"/>
      <c r="K35" s="107"/>
      <c r="L35" s="107"/>
      <c r="M35" s="107"/>
      <c r="N35" s="107"/>
      <c r="O35" s="12"/>
      <c r="S35" s="107"/>
      <c r="T35" s="107"/>
      <c r="U35" s="107"/>
      <c r="V35" s="12"/>
      <c r="X35" s="25"/>
      <c r="Y35" s="12"/>
    </row>
    <row r="36" spans="2:25">
      <c r="B36" s="16"/>
      <c r="C36" s="15"/>
      <c r="D36" s="15"/>
      <c r="E36" s="503"/>
      <c r="H36" s="12"/>
      <c r="I36" s="12"/>
      <c r="J36" s="107"/>
      <c r="K36" s="107"/>
      <c r="L36" s="107"/>
      <c r="M36" s="107"/>
      <c r="N36" s="107"/>
      <c r="O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H8"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H8"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D7F5CBA1-1FD5-4B22-8842-6C224FBB1F68}">
      <formula1>Flow_units</formula1>
    </dataValidation>
    <dataValidation type="custom" allowBlank="1" showInputMessage="1" showErrorMessage="1" error="Please do not change this formula" prompt="Please do not change this formula" sqref="N32:N1048576 V6:V1048576 W4 V1:V4 P1:R4 Q23:R1048576 R6:R19 N1:N7 N18:N19 P21:P1048576 O4 O6:O19 S5:V5" xr:uid="{9F9BAB33-8EE8-4900-A0D7-4C648EB00C5D}">
      <formula1>"Please do not change this formula"</formula1>
    </dataValidation>
    <dataValidation type="custom" allowBlank="1" showInputMessage="1" showErrorMessage="1" error="Please do not change this formula" sqref="Q20:Q22 N8:N17 N20:N31 O20 O5:R5" xr:uid="{F6959AA9-FC74-41EB-820D-AB9BC56D9869}">
      <formula1>"Please do not change this formula"</formula1>
    </dataValidation>
    <dataValidation type="custom" allowBlank="1" showInputMessage="1" showErrorMessage="1" error="Please do not change" sqref="R20:R22" xr:uid="{D7090CAF-5CE1-4FF3-8426-421892722B11}">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537170C2-4F4F-4D45-83CA-1E2F4CDC83CC}">
      <formula1>0</formula1>
    </dataValidation>
  </dataValidations>
  <hyperlinks>
    <hyperlink ref="I2:J2" location="'Biomass Transport'!A1" display="Go to the next step of this pathway" xr:uid="{3728A8DB-5383-4307-95D3-03EC834182FC}"/>
    <hyperlink ref="I2:K2" location="Biomass_Transport!A1" display="Go to the next step of this pathway" xr:uid="{2086B946-7A55-4314-BCB5-0308CAC63770}"/>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C00-000001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18" id="{00000000-000E-0000-2300-000011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1D81A-B7D5-4DDE-9AFB-A046C724DD3E}">
  <sheetPr codeName="Sheet30">
    <tabColor rgb="FFCCFF66"/>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45" customHeight="1">
      <c r="B2" s="80" t="str">
        <f>IF(AND(GHG_BIOMASS_GASIFICATION!$D$5="Default",Master_Switch="On"),"Default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1265</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 t="shared" ref="S10" si="2">IF(B10="", "", IF(D10="MWh/yr (LHV)", "Use column to right", "Enter data here"))</f>
        <v>Enter data here</v>
      </c>
      <c r="T10" s="35" t="str">
        <f t="shared" ref="T10" si="3">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4"/>
      <c r="G11" s="21"/>
      <c r="H11" s="20"/>
      <c r="I11" s="36"/>
      <c r="J11" s="298"/>
      <c r="K11" s="300"/>
      <c r="L11" s="300"/>
      <c r="M11" s="300"/>
      <c r="N11" s="240">
        <f t="shared" si="0"/>
        <v>0</v>
      </c>
      <c r="O11" s="12"/>
      <c r="P11" s="12"/>
      <c r="S11" s="35" t="str">
        <f t="shared" ref="S11:S17" si="4">IF(B11="", "", IF(D11="MWh/yr (LHV)", "Use column to right", "Enter data here"))</f>
        <v>Enter data here</v>
      </c>
      <c r="T11" s="35" t="str">
        <f t="shared" ref="T11:T17" si="5">IF(B11="", "", IF(D11="MWh/yr (LHV)", "Enter data here", "Use column to left"))</f>
        <v>Use column to left</v>
      </c>
      <c r="U11" s="35" t="s">
        <v>1148</v>
      </c>
      <c r="V11" s="240" t="str">
        <f t="shared" si="1"/>
        <v>Unfilled fields to left</v>
      </c>
      <c r="W11" s="91"/>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4"/>
        <v>Enter data here</v>
      </c>
      <c r="T12" s="35" t="str">
        <f t="shared" si="5"/>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4"/>
        <v>Enter data here</v>
      </c>
      <c r="T13" s="35" t="str">
        <f t="shared" si="5"/>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4"/>
        <v>Enter data here</v>
      </c>
      <c r="T14" s="35" t="str">
        <f t="shared" si="5"/>
        <v>Use column to left</v>
      </c>
      <c r="U14" s="35" t="s">
        <v>1148</v>
      </c>
      <c r="V14" s="240" t="str">
        <f t="shared" si="1"/>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4"/>
        <v>Enter data here</v>
      </c>
      <c r="T15" s="35" t="str">
        <f t="shared" si="5"/>
        <v>Use column to left</v>
      </c>
      <c r="U15" s="35" t="s">
        <v>1148</v>
      </c>
      <c r="V15" s="240" t="str">
        <f t="shared" si="1"/>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4"/>
        <v>Enter data here</v>
      </c>
      <c r="T16" s="35" t="str">
        <f t="shared" si="5"/>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4"/>
        <v/>
      </c>
      <c r="T17" s="35" t="str">
        <f t="shared" si="5"/>
        <v/>
      </c>
      <c r="U17" s="35"/>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1265</v>
      </c>
      <c r="D20" s="177" t="s">
        <v>425</v>
      </c>
      <c r="E20" s="35"/>
      <c r="F20" s="21"/>
      <c r="G20" s="21"/>
      <c r="H20" s="21"/>
      <c r="I20" s="21"/>
      <c r="J20" s="298"/>
      <c r="K20" s="304"/>
      <c r="L20" s="304"/>
      <c r="M20" s="304"/>
      <c r="N20" s="240">
        <f t="shared" ref="N20:N31" si="6">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6"/>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J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J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34F9D7AD-3723-426E-81C9-06608190343A}">
      <formula1>Flow_units</formula1>
    </dataValidation>
    <dataValidation type="custom" allowBlank="1" showInputMessage="1" showErrorMessage="1" error="Please do not change this formula" prompt="Please do not change this formula" sqref="V6:V1048576 W4 V1:V4 S5:V5" xr:uid="{C10AFCA0-0889-41A6-9B0C-C500BEC572C2}">
      <formula1>"Please do not change this formula"</formula1>
    </dataValidation>
    <dataValidation type="custom" allowBlank="1" showInputMessage="1" showErrorMessage="1" error="Please do not change this formula" sqref="R6:R19 R23:R1048576 N1:N1048576 O1:R5 O6:Q1048576" xr:uid="{639A0909-DD44-411B-96A8-C45C6DA01557}">
      <formula1>"Please do not change this formula"</formula1>
    </dataValidation>
    <dataValidation type="custom" allowBlank="1" showInputMessage="1" showErrorMessage="1" error="Please do not change" sqref="R20:R22" xr:uid="{0AF3FDB1-E808-4D13-8862-772DAD4F8B26}">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005A4CBC-5682-4321-B92E-BD45AC87A37B}">
      <formula1>0</formula1>
    </dataValidation>
  </dataValidations>
  <hyperlinks>
    <hyperlink ref="I2:J2" location="'Biomass Pre-Processing'!A1" display="Go to the next step of this pathway" xr:uid="{AC21E326-B167-414C-94AA-F2C071B042A5}"/>
    <hyperlink ref="I2:K2" location="'Biomass_Pre-Processing'!A1" display="Go to the next step of this pathway" xr:uid="{7E187848-98A3-4CEC-A65F-E6DB996A151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D00-000001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5" id="{00000000-000E-0000-2400-000018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8169E-69F2-4643-97B7-BF3922B7A3D5}">
  <sheetPr codeName="Sheet31">
    <tabColor rgb="FFCCFF66"/>
  </sheetPr>
  <dimension ref="A1:AC191"/>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7.85546875" customWidth="1"/>
    <col min="16" max="16" width="9.2851562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45" customHeight="1">
      <c r="B2" s="80" t="str">
        <f>IF(AND(GHG_BIOMASS_GASIFICATION!$D$5="Default",Master_Switch="On"),"Default data selected for this step, move to the next step of the pathway","")</f>
        <v/>
      </c>
      <c r="E2" s="254"/>
      <c r="I2" s="735" t="s">
        <v>1141</v>
      </c>
      <c r="J2" s="737"/>
      <c r="K2" s="738"/>
      <c r="L2" s="39"/>
      <c r="M2" s="39"/>
    </row>
    <row r="3" spans="1:29" ht="15" customHeight="1">
      <c r="E3" s="254"/>
      <c r="L3" s="39"/>
      <c r="M3" s="39"/>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1265</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1266</v>
      </c>
      <c r="D9" s="177" t="s">
        <v>447</v>
      </c>
      <c r="E9" s="35"/>
      <c r="F9" s="21"/>
      <c r="G9" s="21"/>
      <c r="H9" s="20"/>
      <c r="I9" s="36"/>
      <c r="J9" s="298"/>
      <c r="K9" s="300"/>
      <c r="L9" s="300"/>
      <c r="M9" s="300"/>
      <c r="N9" s="240">
        <f t="shared" si="0"/>
        <v>0</v>
      </c>
      <c r="O9" s="12"/>
      <c r="S9" s="35" t="str">
        <f t="shared" ref="S9:S17" si="1">IF(B9="", "", IF(D9="MWh/yr (LHV)", "Use column to right", "Enter data here"))</f>
        <v>Use column to right</v>
      </c>
      <c r="T9" s="35"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35" t="str">
        <f t="shared" si="1"/>
        <v>Enter data here</v>
      </c>
      <c r="T11" s="35" t="str">
        <f t="shared" si="3"/>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1"/>
        <v>Enter data here</v>
      </c>
      <c r="T12" s="35" t="str">
        <f t="shared" si="3"/>
        <v>Use column to left</v>
      </c>
      <c r="U12" s="35" t="s">
        <v>1148</v>
      </c>
      <c r="V12" s="240"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1"/>
        <v>Enter data here</v>
      </c>
      <c r="T14" s="35" t="str">
        <f t="shared" si="3"/>
        <v>Use column to left</v>
      </c>
      <c r="U14" s="35" t="s">
        <v>1148</v>
      </c>
      <c r="V14" s="240"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S15" s="35" t="str">
        <f t="shared" si="1"/>
        <v>Enter data here</v>
      </c>
      <c r="T15" s="35" t="str">
        <f t="shared" si="3"/>
        <v>Use column to left</v>
      </c>
      <c r="U15" s="35" t="s">
        <v>1148</v>
      </c>
      <c r="V15" s="240" t="str">
        <f t="shared" si="2"/>
        <v>Unfilled fields to left</v>
      </c>
      <c r="X15" s="25"/>
      <c r="Y15" s="12"/>
    </row>
    <row r="16" spans="1:29">
      <c r="B16" s="184" t="s">
        <v>1225</v>
      </c>
      <c r="C16" s="182" t="s">
        <v>1267</v>
      </c>
      <c r="D16" s="177" t="s">
        <v>425</v>
      </c>
      <c r="E16" s="35"/>
      <c r="F16" s="21"/>
      <c r="G16" s="21"/>
      <c r="H16" s="20"/>
      <c r="I16" s="36"/>
      <c r="J16" s="298"/>
      <c r="K16" s="300"/>
      <c r="L16" s="300"/>
      <c r="M16" s="300"/>
      <c r="N16" s="240">
        <f t="shared" si="0"/>
        <v>0</v>
      </c>
      <c r="O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1268</v>
      </c>
      <c r="D20" s="177" t="s">
        <v>425</v>
      </c>
      <c r="E20" s="35"/>
      <c r="F20" s="21"/>
      <c r="G20" s="21"/>
      <c r="H20" s="21"/>
      <c r="I20" s="21"/>
      <c r="J20" s="298"/>
      <c r="K20" s="304"/>
      <c r="L20" s="304"/>
      <c r="M20" s="304"/>
      <c r="N20" s="240">
        <f t="shared" ref="N20:N34"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1269</v>
      </c>
      <c r="D27" s="177" t="s">
        <v>425</v>
      </c>
      <c r="E27" s="35"/>
      <c r="F27" s="34"/>
      <c r="G27" s="21"/>
      <c r="H27" s="20"/>
      <c r="I27" s="36"/>
      <c r="J27" s="298"/>
      <c r="K27" s="300"/>
      <c r="L27" s="300"/>
      <c r="M27" s="300"/>
      <c r="N27" s="240">
        <f t="shared" si="4"/>
        <v>0</v>
      </c>
      <c r="O27" s="12"/>
      <c r="P27" s="12"/>
      <c r="Q27" s="12"/>
      <c r="R27" s="12"/>
      <c r="S27" s="530">
        <v>0</v>
      </c>
      <c r="T27" s="514"/>
      <c r="U27" s="526" t="s">
        <v>1248</v>
      </c>
      <c r="V27" s="240" t="str">
        <f t="shared" ref="V27:V34" si="6">IFERROR(IF(D27="tonnes/yr", $S27*$E27/($N$20*3.6), $T27*$E27*3.6/($N$20*3.6)), "Unfilled fields to left")</f>
        <v>Unfilled fields to left</v>
      </c>
      <c r="X27" s="21"/>
    </row>
    <row r="28" spans="2:29" s="14" customFormat="1">
      <c r="B28" s="184" t="s">
        <v>1105</v>
      </c>
      <c r="C28" s="182" t="s">
        <v>1270</v>
      </c>
      <c r="D28" s="177" t="s">
        <v>425</v>
      </c>
      <c r="E28" s="35"/>
      <c r="F28" s="34"/>
      <c r="G28" s="21"/>
      <c r="H28" s="20"/>
      <c r="I28" s="36"/>
      <c r="J28" s="298"/>
      <c r="K28" s="300"/>
      <c r="L28" s="300"/>
      <c r="M28" s="300"/>
      <c r="N28" s="240">
        <f t="shared" si="4"/>
        <v>0</v>
      </c>
      <c r="O28" s="12"/>
      <c r="P28" s="12"/>
      <c r="Q28" s="12"/>
      <c r="R28" s="12"/>
      <c r="S28" s="530">
        <v>1000</v>
      </c>
      <c r="T28" s="514"/>
      <c r="U28" s="526" t="s">
        <v>1166</v>
      </c>
      <c r="V28" s="240" t="str">
        <f t="shared" si="6"/>
        <v>Unfilled fields to left</v>
      </c>
      <c r="X28" s="21"/>
    </row>
    <row r="29" spans="2:29" s="14" customFormat="1">
      <c r="B29" s="184" t="s">
        <v>1118</v>
      </c>
      <c r="C29" s="182" t="s">
        <v>1250</v>
      </c>
      <c r="D29" s="177" t="s">
        <v>425</v>
      </c>
      <c r="E29" s="35">
        <f>E27*$E$39</f>
        <v>0</v>
      </c>
      <c r="F29" s="34"/>
      <c r="G29" s="21"/>
      <c r="H29" s="20"/>
      <c r="I29" s="36"/>
      <c r="J29" s="298"/>
      <c r="K29" s="300"/>
      <c r="L29" s="300"/>
      <c r="M29" s="300"/>
      <c r="N29" s="240">
        <f t="shared" si="4"/>
        <v>0</v>
      </c>
      <c r="O29" s="12"/>
      <c r="P29" s="12"/>
      <c r="Q29" s="12"/>
      <c r="R29" s="12"/>
      <c r="S29" s="530">
        <v>-1000</v>
      </c>
      <c r="T29" s="514"/>
      <c r="U29" s="526" t="s">
        <v>1251</v>
      </c>
      <c r="V29" s="240" t="str">
        <f t="shared" si="6"/>
        <v>Unfilled fields to left</v>
      </c>
      <c r="X29" s="21"/>
    </row>
    <row r="30" spans="2:29" s="14" customFormat="1">
      <c r="B30" s="184" t="s">
        <v>1118</v>
      </c>
      <c r="C30" s="182" t="s">
        <v>1159</v>
      </c>
      <c r="D30" s="177" t="s">
        <v>425</v>
      </c>
      <c r="E30" s="35">
        <f>E28*$E$39</f>
        <v>0</v>
      </c>
      <c r="F30" s="34"/>
      <c r="G30" s="21"/>
      <c r="H30" s="20"/>
      <c r="I30" s="36"/>
      <c r="J30" s="298"/>
      <c r="K30" s="300"/>
      <c r="L30" s="300"/>
      <c r="M30" s="300"/>
      <c r="N30" s="240">
        <f t="shared" si="4"/>
        <v>0</v>
      </c>
      <c r="O30" s="12"/>
      <c r="P30" s="12"/>
      <c r="Q30" s="12"/>
      <c r="R30" s="12"/>
      <c r="S30" s="530">
        <v>-1000</v>
      </c>
      <c r="T30" s="514"/>
      <c r="U30" s="526" t="s">
        <v>1252</v>
      </c>
      <c r="V30" s="240" t="str">
        <f t="shared" si="6"/>
        <v>Unfilled fields to left</v>
      </c>
      <c r="X30" s="21"/>
    </row>
    <row r="31" spans="2:29" s="14" customFormat="1">
      <c r="B31" s="184" t="s">
        <v>1161</v>
      </c>
      <c r="C31" s="182" t="s">
        <v>1121</v>
      </c>
      <c r="D31" s="177" t="s">
        <v>425</v>
      </c>
      <c r="E31" s="35"/>
      <c r="F31" s="34"/>
      <c r="G31" s="21"/>
      <c r="H31" s="20"/>
      <c r="I31" s="36"/>
      <c r="J31" s="298"/>
      <c r="K31" s="300"/>
      <c r="L31" s="300"/>
      <c r="M31" s="300"/>
      <c r="N31" s="240">
        <f t="shared" si="4"/>
        <v>0</v>
      </c>
      <c r="O31" s="12"/>
      <c r="P31" s="12"/>
      <c r="Q31" s="12"/>
      <c r="R31" s="12"/>
      <c r="S31" s="530">
        <v>28000</v>
      </c>
      <c r="T31" s="514"/>
      <c r="U31" s="526" t="s">
        <v>1107</v>
      </c>
      <c r="V31" s="240" t="str">
        <f t="shared" si="6"/>
        <v>Unfilled fields to left</v>
      </c>
      <c r="X31" s="21"/>
    </row>
    <row r="32" spans="2:29" s="14" customFormat="1">
      <c r="B32" s="184" t="s">
        <v>1161</v>
      </c>
      <c r="C32" s="182" t="s">
        <v>1123</v>
      </c>
      <c r="D32" s="177" t="s">
        <v>425</v>
      </c>
      <c r="E32" s="35"/>
      <c r="F32" s="21"/>
      <c r="G32" s="21"/>
      <c r="H32" s="20"/>
      <c r="I32" s="36"/>
      <c r="J32" s="298"/>
      <c r="K32" s="300"/>
      <c r="L32" s="300"/>
      <c r="M32" s="300"/>
      <c r="N32" s="240">
        <f t="shared" si="4"/>
        <v>0</v>
      </c>
      <c r="O32" s="12"/>
      <c r="P32" s="12"/>
      <c r="Q32" s="12"/>
      <c r="R32" s="12"/>
      <c r="S32" s="530">
        <v>265000</v>
      </c>
      <c r="T32" s="514"/>
      <c r="U32" s="526" t="s">
        <v>1107</v>
      </c>
      <c r="V32" s="240" t="str">
        <f t="shared" si="6"/>
        <v>Unfilled fields to left</v>
      </c>
      <c r="X32" s="21"/>
    </row>
    <row r="33" spans="2:25" s="14" customFormat="1">
      <c r="B33" s="16"/>
      <c r="C33" s="15"/>
      <c r="D33" s="177"/>
      <c r="E33" s="35"/>
      <c r="F33" s="21"/>
      <c r="G33" s="21"/>
      <c r="H33" s="20"/>
      <c r="I33" s="36"/>
      <c r="J33" s="298"/>
      <c r="K33" s="300"/>
      <c r="L33" s="300"/>
      <c r="M33" s="300"/>
      <c r="N33" s="240">
        <f t="shared" si="4"/>
        <v>0</v>
      </c>
      <c r="O33" s="12"/>
      <c r="P33" s="12"/>
      <c r="Q33" s="12"/>
      <c r="R33" s="12"/>
      <c r="S33" s="524"/>
      <c r="T33" s="473"/>
      <c r="U33" s="527"/>
      <c r="V33" s="240" t="str">
        <f t="shared" si="6"/>
        <v>Unfilled fields to left</v>
      </c>
      <c r="X33" s="21"/>
    </row>
    <row r="34" spans="2:25" s="14" customFormat="1">
      <c r="B34" s="16"/>
      <c r="C34" s="15"/>
      <c r="D34" s="177"/>
      <c r="E34" s="35"/>
      <c r="F34" s="21"/>
      <c r="G34" s="21"/>
      <c r="H34" s="20"/>
      <c r="I34" s="36"/>
      <c r="J34" s="298"/>
      <c r="K34" s="300"/>
      <c r="L34" s="300"/>
      <c r="M34" s="300"/>
      <c r="N34" s="240">
        <f t="shared" si="4"/>
        <v>0</v>
      </c>
      <c r="O34" s="12"/>
      <c r="P34" s="12"/>
      <c r="Q34" s="12"/>
      <c r="R34" s="12"/>
      <c r="S34" s="524"/>
      <c r="T34" s="473"/>
      <c r="U34" s="527"/>
      <c r="V34" s="240" t="str">
        <f t="shared" si="6"/>
        <v>Unfilled fields to left</v>
      </c>
      <c r="X34" s="21"/>
    </row>
    <row r="35" spans="2:25">
      <c r="C35" s="17"/>
      <c r="D35" s="17"/>
      <c r="E35" s="139"/>
      <c r="F35" s="17"/>
      <c r="H35" s="18"/>
      <c r="I35" s="18"/>
      <c r="J35" s="40"/>
      <c r="K35" s="40"/>
      <c r="L35" s="40"/>
      <c r="M35" s="40"/>
      <c r="N35" s="40"/>
      <c r="O35" s="12"/>
      <c r="S35" s="40"/>
      <c r="T35" s="107"/>
      <c r="U35" s="40"/>
      <c r="V35" s="40"/>
      <c r="Y35" s="12"/>
    </row>
    <row r="36" spans="2:25">
      <c r="D36" s="17"/>
      <c r="E36" s="139"/>
      <c r="J36" s="39"/>
      <c r="K36" s="39"/>
      <c r="L36" s="107"/>
      <c r="M36" s="107"/>
      <c r="N36" s="107"/>
      <c r="O36" s="107"/>
      <c r="S36" s="39"/>
      <c r="T36" s="107"/>
      <c r="U36" s="38" t="s">
        <v>1162</v>
      </c>
      <c r="V36" s="152">
        <f>SUM(V7:V35)</f>
        <v>0</v>
      </c>
      <c r="Y36" s="12"/>
    </row>
    <row r="37" spans="2:25">
      <c r="B37" s="144" t="s">
        <v>133</v>
      </c>
      <c r="C37" s="158"/>
      <c r="D37" s="158"/>
      <c r="E37" s="495"/>
      <c r="I37" s="12"/>
      <c r="J37" s="107"/>
      <c r="K37" s="107"/>
      <c r="L37" s="107"/>
      <c r="M37" s="107"/>
      <c r="N37" s="107"/>
      <c r="O37" s="107"/>
      <c r="S37" s="107"/>
      <c r="T37" s="107"/>
      <c r="U37" s="107"/>
      <c r="Y37" s="12"/>
    </row>
    <row r="38" spans="2:25">
      <c r="B38" s="16" t="s">
        <v>1134</v>
      </c>
      <c r="C38" s="15" t="s">
        <v>1135</v>
      </c>
      <c r="D38" s="15" t="s">
        <v>1136</v>
      </c>
      <c r="E38" s="497"/>
      <c r="G38" s="19"/>
      <c r="H38" s="12"/>
      <c r="I38" s="12"/>
      <c r="J38" s="107"/>
      <c r="K38" s="107"/>
      <c r="L38" s="107"/>
      <c r="M38" s="107"/>
      <c r="N38" s="107"/>
      <c r="O38" s="107"/>
      <c r="S38" s="107"/>
      <c r="T38" s="107"/>
      <c r="U38" s="107"/>
      <c r="V38" s="12"/>
      <c r="X38" s="25"/>
      <c r="Y38" s="12"/>
    </row>
    <row r="39" spans="2:25">
      <c r="B39" s="16" t="s">
        <v>1139</v>
      </c>
      <c r="C39" s="15" t="s">
        <v>1184</v>
      </c>
      <c r="D39" s="15" t="s">
        <v>897</v>
      </c>
      <c r="E39" s="507"/>
      <c r="H39" s="12"/>
      <c r="I39" s="12"/>
      <c r="J39" s="107"/>
      <c r="K39" s="107"/>
      <c r="L39" s="107"/>
      <c r="M39" s="107"/>
      <c r="N39" s="107"/>
      <c r="O39" s="107"/>
      <c r="S39" s="107"/>
      <c r="T39" s="107"/>
      <c r="U39" s="107"/>
      <c r="V39" s="12"/>
      <c r="X39" s="25"/>
      <c r="Y39" s="12"/>
    </row>
    <row r="40" spans="2:25">
      <c r="B40" s="16"/>
      <c r="C40" s="15"/>
      <c r="D40" s="15"/>
      <c r="E40" s="508"/>
      <c r="J40" s="39"/>
      <c r="K40" s="39"/>
      <c r="L40" s="107"/>
      <c r="M40" s="107"/>
      <c r="N40" s="107"/>
      <c r="O40" s="107"/>
      <c r="S40" s="39"/>
      <c r="T40" s="39"/>
      <c r="U40" s="39"/>
      <c r="X40" s="25"/>
    </row>
    <row r="41" spans="2:25">
      <c r="B41" s="16"/>
      <c r="C41" s="15"/>
      <c r="D41" s="15"/>
      <c r="E41" s="503"/>
      <c r="J41" s="39"/>
      <c r="K41" s="39"/>
      <c r="L41" s="107"/>
      <c r="M41" s="107"/>
      <c r="N41" s="107"/>
      <c r="O41" s="107"/>
      <c r="S41" s="39"/>
      <c r="T41" s="39"/>
      <c r="U41" s="39"/>
      <c r="X41" s="25"/>
    </row>
    <row r="42" spans="2:25">
      <c r="E42" s="107"/>
      <c r="J42" s="39"/>
      <c r="K42" s="39"/>
      <c r="L42" s="107"/>
      <c r="M42" s="107"/>
      <c r="N42" s="107"/>
      <c r="O42" s="107"/>
      <c r="S42" s="39"/>
      <c r="T42" s="39"/>
      <c r="U42" s="39"/>
    </row>
    <row r="43" spans="2:25">
      <c r="E43" s="107"/>
      <c r="J43" s="39"/>
      <c r="K43" s="39"/>
      <c r="L43" s="107"/>
      <c r="M43" s="107"/>
      <c r="N43" s="107"/>
      <c r="O43" s="107"/>
      <c r="S43" s="39"/>
      <c r="T43" s="39"/>
      <c r="U43" s="39"/>
    </row>
    <row r="44" spans="2:25">
      <c r="E44" s="107"/>
      <c r="J44" s="39"/>
      <c r="K44" s="39"/>
      <c r="L44" s="107"/>
      <c r="M44" s="107"/>
      <c r="N44" s="107"/>
      <c r="O44" s="107"/>
      <c r="S44" s="39"/>
      <c r="T44" s="39"/>
      <c r="U44" s="39"/>
    </row>
    <row r="45" spans="2:25">
      <c r="E45" s="107"/>
      <c r="J45" s="39"/>
      <c r="K45" s="39"/>
      <c r="L45" s="107"/>
      <c r="M45" s="107"/>
      <c r="N45" s="107"/>
      <c r="O45" s="107"/>
      <c r="S45" s="39"/>
      <c r="T45" s="39"/>
      <c r="U45" s="39"/>
    </row>
    <row r="46" spans="2:25">
      <c r="E46" s="107"/>
      <c r="J46" s="39"/>
      <c r="K46" s="39"/>
      <c r="L46" s="39"/>
      <c r="M46" s="39"/>
      <c r="O46" s="12"/>
      <c r="S46" s="39"/>
      <c r="T46" s="39"/>
      <c r="U46" s="39"/>
    </row>
    <row r="47" spans="2:25">
      <c r="E47" s="107"/>
      <c r="J47" s="39"/>
      <c r="K47" s="39"/>
      <c r="L47" s="39"/>
      <c r="M47" s="39"/>
      <c r="O47" s="12"/>
      <c r="S47" s="39"/>
      <c r="T47" s="39"/>
      <c r="U47" s="39"/>
    </row>
    <row r="48" spans="2:25">
      <c r="E48" s="107"/>
      <c r="J48" s="39"/>
      <c r="K48" s="39"/>
      <c r="L48" s="107"/>
      <c r="M48" s="107"/>
      <c r="N48" s="107"/>
      <c r="O48" s="12"/>
      <c r="S48" s="39"/>
      <c r="T48" s="39"/>
      <c r="U48" s="39"/>
    </row>
    <row r="49" spans="5:21">
      <c r="E49" s="107"/>
      <c r="J49" s="39"/>
      <c r="K49" s="39"/>
      <c r="L49" s="107"/>
      <c r="M49" s="107"/>
      <c r="N49" s="107"/>
      <c r="O49" s="12"/>
      <c r="S49" s="39"/>
      <c r="T49" s="39"/>
      <c r="U49" s="39"/>
    </row>
    <row r="50" spans="5:21">
      <c r="E50" s="107"/>
      <c r="J50" s="39"/>
      <c r="K50" s="39"/>
      <c r="L50" s="107"/>
      <c r="M50" s="107"/>
      <c r="N50" s="107"/>
      <c r="O50" s="12"/>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L125" s="39"/>
      <c r="M125" s="39"/>
      <c r="S125" s="39"/>
      <c r="T125" s="39"/>
      <c r="U125" s="39"/>
    </row>
    <row r="126" spans="5:21">
      <c r="E126" s="107"/>
      <c r="L126" s="39"/>
      <c r="M126" s="39"/>
      <c r="S126" s="39"/>
      <c r="T126" s="39"/>
      <c r="U126" s="39"/>
    </row>
    <row r="127" spans="5:21">
      <c r="E127" s="107"/>
      <c r="L127" s="39"/>
      <c r="M127" s="39"/>
      <c r="S127" s="39"/>
      <c r="T127" s="39"/>
      <c r="U127" s="39"/>
    </row>
    <row r="128" spans="5:21">
      <c r="E128" s="107"/>
      <c r="L128" s="39"/>
      <c r="M128" s="39"/>
      <c r="S128" s="39"/>
      <c r="T128" s="39"/>
      <c r="U128" s="39"/>
    </row>
    <row r="129" spans="5:21">
      <c r="E129" s="107"/>
      <c r="L129" s="39"/>
      <c r="M129" s="39"/>
      <c r="S129" s="39"/>
      <c r="T129" s="39"/>
      <c r="U129" s="39"/>
    </row>
    <row r="130" spans="5:21">
      <c r="E130" s="107"/>
      <c r="L130" s="39"/>
      <c r="M130" s="39"/>
      <c r="S130" s="39"/>
      <c r="T130" s="39"/>
      <c r="U130" s="39"/>
    </row>
    <row r="131" spans="5:21">
      <c r="E131" s="107"/>
      <c r="L131" s="39"/>
      <c r="M131" s="39"/>
      <c r="S131" s="39"/>
      <c r="T131" s="39"/>
      <c r="U131" s="39"/>
    </row>
    <row r="132" spans="5:21">
      <c r="E132" s="107"/>
      <c r="L132" s="39"/>
      <c r="M132" s="39"/>
      <c r="S132" s="39"/>
      <c r="T132" s="39"/>
      <c r="U132" s="39"/>
    </row>
    <row r="133" spans="5:21">
      <c r="E133" s="107"/>
      <c r="L133" s="39"/>
      <c r="M133" s="39"/>
      <c r="S133" s="39"/>
      <c r="T133" s="39"/>
      <c r="U133" s="39"/>
    </row>
    <row r="134" spans="5:21">
      <c r="E134" s="107"/>
      <c r="L134" s="39"/>
      <c r="M134" s="39"/>
      <c r="S134" s="39"/>
      <c r="T134" s="39"/>
      <c r="U134" s="39"/>
    </row>
    <row r="135" spans="5:21">
      <c r="E135" s="107"/>
      <c r="L135" s="39"/>
      <c r="M135" s="39"/>
      <c r="S135" s="39"/>
      <c r="T135" s="39"/>
      <c r="U135" s="39"/>
    </row>
    <row r="136" spans="5:21">
      <c r="E136" s="107"/>
      <c r="L136" s="39"/>
      <c r="M136" s="39"/>
      <c r="S136" s="39"/>
      <c r="T136" s="39"/>
      <c r="U136" s="39"/>
    </row>
    <row r="137" spans="5:21">
      <c r="E137" s="107"/>
      <c r="L137" s="39"/>
      <c r="M137" s="39"/>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sheetData>
  <customSheetViews>
    <customSheetView guid="{F03309BC-D3FA-4CF2-833B-D6D9A95FE1FB}" showGridLines="0" state="hidden">
      <pane xSplit="3" ySplit="5" topLeftCell="H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H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4" xr:uid="{8FC3E254-5DBB-48E2-9841-DA2315E7D5EC}">
      <formula1>Flow_units</formula1>
    </dataValidation>
    <dataValidation type="custom" allowBlank="1" showInputMessage="1" showErrorMessage="1" error="Please do not change this formula" prompt="Please do not change this formula" sqref="W4 V6:V1048576 V1:V4 S5:V5" xr:uid="{08E45ECC-1C87-40A1-AD14-C9801C2B36D9}">
      <formula1>"Please do not change this formula"</formula1>
    </dataValidation>
    <dataValidation type="custom" allowBlank="1" showInputMessage="1" showErrorMessage="1" error="Please do not change this formula" sqref="R6:R19 R23:R1048576 N1:N1048576 O1:R5 O6:Q1048576" xr:uid="{50234CD9-7EF0-4F14-9F9E-0CB3E7B0F757}">
      <formula1>"Please do not change this formula"</formula1>
    </dataValidation>
    <dataValidation type="custom" allowBlank="1" showInputMessage="1" showErrorMessage="1" error="Please do not change" sqref="R20:R22" xr:uid="{309D6BC3-5CD2-4AB0-9874-66472979840C}">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665CE543-EE65-4E42-9C9E-44DA8512DA86}">
      <formula1>0</formula1>
    </dataValidation>
  </dataValidations>
  <hyperlinks>
    <hyperlink ref="I2:J2" location="'Biomass Further Transport'!A1" display="Go to the next step of this pathway" xr:uid="{D8547142-5516-4860-B494-C675AA33DF00}"/>
    <hyperlink ref="I2:K2" location="Biomass_Further_Transport!A1" display="Go to the next step of this pathway" xr:uid="{C7A98D39-F172-4FF6-A445-E2EC8DEC597E}"/>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E00-000001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1" id="{00000000-000E-0000-2500-00001E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07FC0-8092-461D-9296-29926AAB4FA0}">
  <sheetPr codeName="Sheet32">
    <tabColor rgb="FFCCFF66"/>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IF(AND(Path&lt;&gt;Units!$B$99,Path&lt;&gt;Units!$B$100,Master_Switch="On"),"User should not fill in this sheet, but switch to other non-blank GHG worksheets","")</f>
        <v>User should not fill in this sheet, but switch to other non-blank GHG worksheets</v>
      </c>
      <c r="E1" s="254"/>
    </row>
    <row r="2" spans="1:29" ht="20.45" customHeight="1">
      <c r="B2" s="80" t="str">
        <f>IF(AND(GHG_BIOMASS_GASIFICATION!$D$5="Default",Master_Switch="On"),"Default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1268</v>
      </c>
      <c r="D8" s="177" t="s">
        <v>425</v>
      </c>
      <c r="E8" s="35"/>
      <c r="F8" s="21"/>
      <c r="G8" s="21"/>
      <c r="H8" s="20"/>
      <c r="I8" s="20"/>
      <c r="J8" s="35"/>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IF(B9="", "", IF(D9="MWh/yr (LHV)", "Use column to right", "Enter data here"))</f>
        <v>Use column to right</v>
      </c>
      <c r="T9" s="35" t="e">
        <f>INDEX(Proj_grid_intensity_kWh,MATCH(Operations_year,Proj_grid_year,0))/Conversion_kWh_to_MJ</f>
        <v>#N/A</v>
      </c>
      <c r="U9" s="35" t="s">
        <v>1112</v>
      </c>
      <c r="V9" s="240" t="str">
        <f t="shared" ref="V9:V17" si="1">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 t="shared" ref="S10" si="2">IF(B10="", "", IF(D10="MWh/yr (LHV)", "Use column to right", "Enter data here"))</f>
        <v>Enter data here</v>
      </c>
      <c r="T10" s="35" t="str">
        <f t="shared" ref="T10" si="3">IF(B10="", "", IF(D10="MWh/yr (LHV)", "Enter data here", "Use column to left"))</f>
        <v>Use column to left</v>
      </c>
      <c r="U10" s="35" t="s">
        <v>1148</v>
      </c>
      <c r="V10" s="240" t="str">
        <f t="shared" si="1"/>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ref="S11:S17" si="4">IF(B11="", "", IF(D11="MWh/yr (LHV)", "Use column to right", "Enter data here"))</f>
        <v>Enter data here</v>
      </c>
      <c r="T11" s="35" t="str">
        <f t="shared" ref="T11:T17" si="5">IF(B11="", "", IF(D11="MWh/yr (LHV)", "Enter data here", "Use column to left"))</f>
        <v>Use column to left</v>
      </c>
      <c r="U11" s="35" t="s">
        <v>1148</v>
      </c>
      <c r="V11" s="240"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4"/>
        <v>Enter data here</v>
      </c>
      <c r="T12" s="35" t="str">
        <f t="shared" si="5"/>
        <v>Use column to left</v>
      </c>
      <c r="U12" s="35" t="s">
        <v>1148</v>
      </c>
      <c r="V12" s="240"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4"/>
        <v>Enter data here</v>
      </c>
      <c r="T13" s="35" t="str">
        <f t="shared" si="5"/>
        <v>Use column to left</v>
      </c>
      <c r="U13" s="35" t="s">
        <v>1148</v>
      </c>
      <c r="V13" s="240"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4"/>
        <v>Enter data here</v>
      </c>
      <c r="T14" s="35" t="str">
        <f t="shared" si="5"/>
        <v>Use column to left</v>
      </c>
      <c r="U14" s="35" t="s">
        <v>1148</v>
      </c>
      <c r="V14" s="240" t="str">
        <f t="shared" si="1"/>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4"/>
        <v>Enter data here</v>
      </c>
      <c r="T15" s="35" t="str">
        <f t="shared" si="5"/>
        <v>Use column to left</v>
      </c>
      <c r="U15" s="35" t="s">
        <v>1148</v>
      </c>
      <c r="V15" s="240" t="str">
        <f t="shared" si="1"/>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4"/>
        <v>Enter data here</v>
      </c>
      <c r="T16" s="35" t="str">
        <f t="shared" si="5"/>
        <v>Use column to left</v>
      </c>
      <c r="U16" s="35" t="s">
        <v>1148</v>
      </c>
      <c r="V16" s="240"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4"/>
        <v/>
      </c>
      <c r="T17" s="35" t="str">
        <f t="shared" si="5"/>
        <v/>
      </c>
      <c r="U17" s="35"/>
      <c r="V17" s="240" t="str">
        <f t="shared" si="1"/>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1268</v>
      </c>
      <c r="D20" s="177" t="s">
        <v>425</v>
      </c>
      <c r="E20" s="35"/>
      <c r="F20" s="21"/>
      <c r="G20" s="21"/>
      <c r="H20" s="21"/>
      <c r="I20" s="21"/>
      <c r="J20" s="298"/>
      <c r="K20" s="304"/>
      <c r="L20" s="304"/>
      <c r="M20" s="304"/>
      <c r="N20" s="240">
        <f t="shared" ref="N20:N31" si="6">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6"/>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H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H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9C1DDE20-5296-4D5F-971A-8F08581C1223}">
      <formula1>Flow_units</formula1>
    </dataValidation>
    <dataValidation type="custom" allowBlank="1" showInputMessage="1" showErrorMessage="1" error="Please do not change this formula" prompt="Please do not change this formula" sqref="V6:V1048576 W4 V1:V4 S5:V5" xr:uid="{B96A6A0B-6C65-4F26-904C-38A4BE148E6C}">
      <formula1>"Please do not change this formula"</formula1>
    </dataValidation>
    <dataValidation type="custom" allowBlank="1" showInputMessage="1" showErrorMessage="1" error="Please do not change this formula" sqref="R6:R19 R23:R1048576 N1:N1048576 O1:R5 O6:Q1048576" xr:uid="{A5EA4664-271C-4E6F-9AED-60F07896D2F8}">
      <formula1>"Please do not change this formula"</formula1>
    </dataValidation>
    <dataValidation type="custom" allowBlank="1" showInputMessage="1" showErrorMessage="1" error="Please do not change" sqref="R20:R22" xr:uid="{7D7F1C84-8E09-4A55-813C-B4AF6AA8E2AF}">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7D9635B3-7682-4CA6-A9D3-2F582A2BD205}">
      <formula1>0</formula1>
    </dataValidation>
  </dataValidations>
  <hyperlinks>
    <hyperlink ref="I2:J2" location="'Biomass Gasification (+CCS)'!A1" display="Go to the next step of this pathway" xr:uid="{0E7B16DA-781E-4466-93C9-D78009F42FED}"/>
    <hyperlink ref="I2:K2" location="Biomass_Gasification_CCS!A1" display="Go to the next step of this pathway" xr:uid="{3A1EFEC2-BFB8-4927-9C44-6C6ADEA8A9C8}"/>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2F00-000001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1" id="{00000000-000E-0000-2600-00001E000000}">
            <xm:f>AND(GHG_BIOMASS_GASIFICATION!$D$5="Default",Master_Switch="On")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12E44-9EC7-40B1-A9B2-D1301E84E4BA}">
  <sheetPr codeName="Sheet33">
    <tabColor rgb="FFCCFF66"/>
  </sheetPr>
  <dimension ref="A1:AC246"/>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453"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5703125" style="12" customWidth="1"/>
    <col min="16" max="16" width="7.140625" customWidth="1"/>
    <col min="17" max="17" width="16.5703125" style="12" customWidth="1"/>
    <col min="18" max="18" width="17.5703125" style="12" customWidth="1"/>
    <col min="19" max="20" width="20.7109375" style="13" customWidth="1"/>
    <col min="21" max="21" width="22.7109375" style="13" customWidth="1"/>
    <col min="22" max="22" width="20.28515625" style="39" customWidth="1"/>
    <col min="23" max="23" width="7.140625" style="12"/>
    <col min="24" max="24" width="26" style="12" customWidth="1"/>
    <col min="26" max="16384" width="7.140625" style="12"/>
  </cols>
  <sheetData>
    <row r="1" spans="1:28" ht="31.9" customHeight="1">
      <c r="A1" s="80" t="str">
        <f>IF(AND(Path&lt;&gt;Units!$B$99,Path&lt;&gt;Units!$B$100,Master_Switch="On"),"User should not fill in this sheet, but switch to other non-blank GHG worksheets","")</f>
        <v>User should not fill in this sheet, but switch to other non-blank GHG worksheets</v>
      </c>
      <c r="E1" s="254"/>
    </row>
    <row r="2" spans="1:28" ht="20.45" customHeight="1">
      <c r="E2" s="254"/>
      <c r="I2" s="735" t="s">
        <v>1031</v>
      </c>
      <c r="J2" s="737"/>
      <c r="K2" s="738"/>
      <c r="L2" s="552"/>
      <c r="M2" s="552"/>
    </row>
    <row r="3" spans="1:28" ht="15" customHeight="1">
      <c r="E3" s="254"/>
      <c r="L3" s="548"/>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E6" s="254"/>
      <c r="H6" s="19"/>
      <c r="I6" s="19"/>
      <c r="Q6" s="39"/>
    </row>
    <row r="7" spans="1:28">
      <c r="B7" s="144" t="s">
        <v>1051</v>
      </c>
      <c r="C7" s="144"/>
      <c r="D7" s="144"/>
      <c r="E7" s="322"/>
      <c r="F7" s="144"/>
      <c r="G7" s="144"/>
      <c r="H7" s="144"/>
      <c r="I7" s="144"/>
      <c r="J7" s="144"/>
      <c r="K7" s="144"/>
      <c r="L7" s="144"/>
      <c r="M7" s="144"/>
      <c r="N7" s="299"/>
      <c r="Q7" s="551"/>
      <c r="S7" s="18"/>
      <c r="T7" s="18"/>
      <c r="U7" s="18"/>
      <c r="V7" s="40"/>
      <c r="Y7" s="12"/>
    </row>
    <row r="8" spans="1:28">
      <c r="B8" s="16" t="s">
        <v>1052</v>
      </c>
      <c r="C8" s="182" t="s">
        <v>1268</v>
      </c>
      <c r="D8" s="177" t="s">
        <v>425</v>
      </c>
      <c r="E8" s="35"/>
      <c r="F8" s="24"/>
      <c r="G8" s="21"/>
      <c r="H8" s="21"/>
      <c r="I8" s="21"/>
      <c r="J8" s="298"/>
      <c r="K8" s="304"/>
      <c r="L8" s="304"/>
      <c r="M8" s="304"/>
      <c r="N8" s="240">
        <f t="shared" ref="N8:N17" si="0">IF($D8="MWh/yr (LHV)",$E8,$J8*$E8*(1-$L8)/Conversion_kWh_to_MJ)</f>
        <v>0</v>
      </c>
      <c r="Q8" s="550"/>
      <c r="S8" s="40"/>
      <c r="T8" s="40"/>
      <c r="U8" s="40"/>
      <c r="V8" s="40"/>
      <c r="X8" s="21"/>
      <c r="Y8" s="12"/>
    </row>
    <row r="9" spans="1:28">
      <c r="B9" s="16" t="s">
        <v>1054</v>
      </c>
      <c r="C9" s="15" t="s">
        <v>1169</v>
      </c>
      <c r="D9" s="15" t="s">
        <v>425</v>
      </c>
      <c r="E9" s="35">
        <f>Hydrogen_flow</f>
        <v>0</v>
      </c>
      <c r="F9" s="21"/>
      <c r="G9" s="21"/>
      <c r="H9" s="21"/>
      <c r="I9" s="21"/>
      <c r="J9" s="35">
        <v>120</v>
      </c>
      <c r="K9" s="304"/>
      <c r="L9" s="547">
        <v>0</v>
      </c>
      <c r="M9" s="304"/>
      <c r="N9" s="240">
        <f t="shared" si="0"/>
        <v>0</v>
      </c>
      <c r="O9" s="242" t="str">
        <f>IFERROR(N9/N8,"")</f>
        <v/>
      </c>
      <c r="Q9" s="511">
        <f>IF($D9="MWh/yr (LHV)",$E9,$E9*MAX(0, $J9*(1-$L9)-2.441*$L9)/Conversion_kWh_to_MJ)</f>
        <v>0</v>
      </c>
      <c r="R9" s="243" t="str">
        <f>IFERROR(Q9/(SUM($Q$9:$Q$13)),"")</f>
        <v/>
      </c>
      <c r="S9" s="42"/>
      <c r="T9" s="42"/>
      <c r="U9" s="42"/>
      <c r="V9" s="12"/>
      <c r="X9" s="21"/>
      <c r="Y9" s="12"/>
    </row>
    <row r="10" spans="1:28">
      <c r="B10" s="184" t="s">
        <v>1056</v>
      </c>
      <c r="C10" s="182" t="s">
        <v>1057</v>
      </c>
      <c r="D10" s="177" t="s">
        <v>447</v>
      </c>
      <c r="E10" s="35"/>
      <c r="F10" s="21"/>
      <c r="G10" s="21"/>
      <c r="H10" s="20"/>
      <c r="I10" s="33"/>
      <c r="J10" s="298"/>
      <c r="K10" s="300"/>
      <c r="L10" s="300"/>
      <c r="M10" s="300"/>
      <c r="N10" s="240">
        <f t="shared" si="0"/>
        <v>0</v>
      </c>
      <c r="Q10" s="511">
        <f>IF($D10="MWh/yr (LHV)",$E10,$E10*MAX(0, $J10*(1-$L10)-2.441*$L10)/Conversion_kWh_to_MJ)</f>
        <v>0</v>
      </c>
      <c r="R10" s="243" t="str">
        <f t="shared" ref="R10:R13" si="1">IFERROR(Q10/(SUM($Q$9:$Q$13)),"")</f>
        <v/>
      </c>
      <c r="S10" s="42"/>
      <c r="T10" s="42"/>
      <c r="U10" s="42"/>
      <c r="V10" s="19"/>
      <c r="W10" s="23"/>
      <c r="X10" s="21"/>
      <c r="Y10" s="12"/>
    </row>
    <row r="11" spans="1:28">
      <c r="B11" s="184" t="s">
        <v>1056</v>
      </c>
      <c r="C11" s="182" t="s">
        <v>1146</v>
      </c>
      <c r="D11" s="177" t="s">
        <v>447</v>
      </c>
      <c r="E11" s="35"/>
      <c r="F11" s="21"/>
      <c r="G11" s="21"/>
      <c r="H11" s="20"/>
      <c r="I11" s="20"/>
      <c r="J11" s="300"/>
      <c r="K11" s="300"/>
      <c r="L11" s="300"/>
      <c r="M11" s="300"/>
      <c r="N11" s="240">
        <f t="shared" si="0"/>
        <v>0</v>
      </c>
      <c r="Q11" s="511">
        <f>IF($D11="MWh/yr (LHV)",$E11,$E11*MAX(0, $J11*(1-$L11)-2.441*$L11)/Conversion_kWh_to_MJ)</f>
        <v>0</v>
      </c>
      <c r="R11" s="243" t="str">
        <f t="shared" si="1"/>
        <v/>
      </c>
      <c r="S11" s="42"/>
      <c r="T11" s="42"/>
      <c r="U11" s="42"/>
      <c r="V11" s="14"/>
      <c r="W11" s="23"/>
      <c r="X11" s="21"/>
      <c r="Y11" s="12"/>
    </row>
    <row r="12" spans="1:28">
      <c r="B12" s="184" t="s">
        <v>1056</v>
      </c>
      <c r="C12" s="182" t="s">
        <v>1059</v>
      </c>
      <c r="D12" s="177" t="s">
        <v>425</v>
      </c>
      <c r="E12" s="35"/>
      <c r="F12" s="21"/>
      <c r="G12" s="21"/>
      <c r="H12" s="20"/>
      <c r="I12" s="20"/>
      <c r="J12" s="300"/>
      <c r="K12" s="300"/>
      <c r="L12" s="300"/>
      <c r="M12" s="300"/>
      <c r="N12" s="240">
        <f t="shared" si="0"/>
        <v>0</v>
      </c>
      <c r="Q12" s="511">
        <f>IF($D12="MWh/yr (LHV)",$E12,$E12*MAX(0, $J12*(1-$L12)-2.441*$L12)/Conversion_kWh_to_MJ)</f>
        <v>0</v>
      </c>
      <c r="R12" s="243" t="str">
        <f t="shared" si="1"/>
        <v/>
      </c>
      <c r="S12" s="40"/>
      <c r="T12" s="40"/>
      <c r="U12" s="40"/>
      <c r="V12" s="40"/>
      <c r="X12" s="21"/>
      <c r="Y12" s="12"/>
    </row>
    <row r="13" spans="1:28">
      <c r="B13" s="184" t="s">
        <v>1056</v>
      </c>
      <c r="C13" s="182" t="s">
        <v>1060</v>
      </c>
      <c r="D13" s="177" t="s">
        <v>425</v>
      </c>
      <c r="E13" s="35"/>
      <c r="F13" s="21"/>
      <c r="G13" s="21"/>
      <c r="H13" s="20"/>
      <c r="I13" s="20"/>
      <c r="J13" s="300"/>
      <c r="K13" s="300"/>
      <c r="L13" s="300"/>
      <c r="M13" s="300"/>
      <c r="N13" s="240">
        <f t="shared" si="0"/>
        <v>0</v>
      </c>
      <c r="Q13" s="511">
        <f>IF($D13="MWh/yr (LHV)",$E13,$E13*MAX(0, $J13*(1-$L13)-2.441*$L13)/Conversion_kWh_to_MJ)</f>
        <v>0</v>
      </c>
      <c r="R13" s="243" t="str">
        <f t="shared" si="1"/>
        <v/>
      </c>
      <c r="S13" s="40"/>
      <c r="T13" s="40"/>
      <c r="U13" s="40"/>
      <c r="V13" s="40"/>
      <c r="X13" s="21"/>
      <c r="Y13" s="12"/>
    </row>
    <row r="14" spans="1:28" s="14" customFormat="1">
      <c r="B14" s="184" t="s">
        <v>1061</v>
      </c>
      <c r="C14" s="182" t="s">
        <v>1156</v>
      </c>
      <c r="D14" s="177" t="s">
        <v>425</v>
      </c>
      <c r="E14" s="35"/>
      <c r="F14" s="21"/>
      <c r="G14" s="21"/>
      <c r="H14" s="20"/>
      <c r="I14" s="20"/>
      <c r="J14" s="300"/>
      <c r="K14" s="300"/>
      <c r="L14" s="300"/>
      <c r="M14" s="300"/>
      <c r="N14" s="240">
        <f t="shared" si="0"/>
        <v>0</v>
      </c>
      <c r="O14" s="12"/>
      <c r="Q14" s="550"/>
      <c r="R14" s="12"/>
      <c r="S14" s="107"/>
      <c r="T14" s="107"/>
      <c r="U14" s="107"/>
      <c r="V14" s="12"/>
      <c r="W14" s="23"/>
      <c r="X14" s="21"/>
      <c r="Y14" s="23"/>
      <c r="Z14" s="42"/>
      <c r="AB14" s="12"/>
    </row>
    <row r="15" spans="1:28" s="14" customFormat="1">
      <c r="B15" s="184" t="s">
        <v>1061</v>
      </c>
      <c r="C15" s="182" t="s">
        <v>1063</v>
      </c>
      <c r="D15" s="177" t="s">
        <v>425</v>
      </c>
      <c r="E15" s="35"/>
      <c r="F15" s="21"/>
      <c r="G15" s="21"/>
      <c r="H15" s="20"/>
      <c r="I15" s="20"/>
      <c r="J15" s="300"/>
      <c r="K15" s="300"/>
      <c r="L15" s="549"/>
      <c r="M15" s="300"/>
      <c r="N15" s="240">
        <f t="shared" si="0"/>
        <v>0</v>
      </c>
      <c r="O15" s="12"/>
      <c r="Q15" s="550"/>
      <c r="R15" s="12"/>
      <c r="S15" s="107"/>
      <c r="T15" s="107"/>
      <c r="U15" s="107"/>
      <c r="V15" s="12"/>
      <c r="W15" s="23"/>
      <c r="X15" s="21"/>
      <c r="Y15" s="23"/>
      <c r="Z15" s="42"/>
      <c r="AB15" s="12"/>
    </row>
    <row r="16" spans="1:28" s="14" customFormat="1">
      <c r="B16" s="184" t="s">
        <v>1064</v>
      </c>
      <c r="C16" s="182" t="s">
        <v>1065</v>
      </c>
      <c r="D16" s="177" t="s">
        <v>425</v>
      </c>
      <c r="E16" s="35"/>
      <c r="F16" s="21"/>
      <c r="G16" s="21"/>
      <c r="H16" s="20"/>
      <c r="I16" s="36"/>
      <c r="J16" s="298"/>
      <c r="K16" s="300"/>
      <c r="L16" s="300"/>
      <c r="M16" s="300"/>
      <c r="N16" s="240">
        <f t="shared" si="0"/>
        <v>0</v>
      </c>
      <c r="O16" s="12"/>
      <c r="Q16" s="550"/>
      <c r="R16" s="12"/>
      <c r="S16" s="107"/>
      <c r="T16" s="107"/>
      <c r="U16" s="107"/>
      <c r="V16" s="12"/>
      <c r="X16" s="21"/>
    </row>
    <row r="17" spans="2:29" s="14" customFormat="1">
      <c r="B17" s="184" t="s">
        <v>1064</v>
      </c>
      <c r="C17" s="182" t="s">
        <v>1066</v>
      </c>
      <c r="D17" s="177" t="s">
        <v>425</v>
      </c>
      <c r="E17" s="35"/>
      <c r="F17" s="21"/>
      <c r="G17" s="21"/>
      <c r="H17" s="20"/>
      <c r="I17" s="36"/>
      <c r="J17" s="298"/>
      <c r="K17" s="300"/>
      <c r="L17" s="300"/>
      <c r="M17" s="300"/>
      <c r="N17" s="240">
        <f t="shared" si="0"/>
        <v>0</v>
      </c>
      <c r="O17" s="12"/>
      <c r="Q17" s="550"/>
      <c r="R17" s="12"/>
      <c r="S17" s="107"/>
      <c r="T17" s="107"/>
      <c r="U17" s="107"/>
      <c r="V17" s="12"/>
      <c r="X17" s="21"/>
    </row>
    <row r="18" spans="2:29">
      <c r="B18" s="68"/>
      <c r="C18" s="69"/>
      <c r="D18" s="78"/>
      <c r="E18" s="75"/>
      <c r="F18" s="76"/>
      <c r="G18" s="79"/>
      <c r="H18" s="71"/>
      <c r="I18" s="71"/>
      <c r="J18" s="75"/>
      <c r="K18" s="73"/>
      <c r="L18" s="73"/>
      <c r="M18" s="73"/>
      <c r="N18" s="73"/>
      <c r="S18" s="40"/>
      <c r="T18" s="40"/>
      <c r="U18" s="40"/>
      <c r="V18" s="40"/>
      <c r="X18" s="76"/>
      <c r="Y18" s="12"/>
    </row>
    <row r="19" spans="2:29" ht="30.95">
      <c r="B19" s="80" t="str">
        <f>IF(AND(GHG_BIOMASS_GASIFICATION!$D$9="Default",Master_Switch="On"),"Default data selected for the emissions category below, move to the next emissions category within this step","")</f>
        <v/>
      </c>
      <c r="C19" s="69"/>
      <c r="D19" s="78"/>
      <c r="E19" s="75"/>
      <c r="F19" s="76"/>
      <c r="G19" s="79"/>
      <c r="H19" s="71"/>
      <c r="I19" s="71"/>
      <c r="J19" s="75"/>
      <c r="K19" s="73"/>
      <c r="L19" s="73"/>
      <c r="M19" s="73"/>
      <c r="N19" s="73"/>
      <c r="S19" s="40"/>
      <c r="T19" s="40"/>
      <c r="U19" s="40"/>
      <c r="V19" s="40"/>
      <c r="X19" s="76"/>
      <c r="Y19" s="12"/>
    </row>
    <row r="20" spans="2:29">
      <c r="B20" s="144" t="s">
        <v>1171</v>
      </c>
      <c r="C20" s="145"/>
      <c r="D20" s="145"/>
      <c r="E20" s="146"/>
      <c r="F20" s="147"/>
      <c r="G20" s="148"/>
      <c r="H20" s="149"/>
      <c r="I20" s="149"/>
      <c r="J20" s="146"/>
      <c r="K20" s="488"/>
      <c r="L20" s="488"/>
      <c r="M20" s="488"/>
      <c r="N20" s="487"/>
      <c r="O20" s="151"/>
      <c r="P20" s="151"/>
      <c r="Q20" s="151"/>
      <c r="R20" s="151"/>
      <c r="S20" s="476"/>
      <c r="T20" s="476"/>
      <c r="U20" s="476"/>
      <c r="V20" s="152">
        <f>SUM(V21:V30)</f>
        <v>0</v>
      </c>
      <c r="Y20" s="12"/>
    </row>
    <row r="21" spans="2:29">
      <c r="B21" s="184" t="s">
        <v>1069</v>
      </c>
      <c r="C21" s="182" t="s">
        <v>1271</v>
      </c>
      <c r="D21" s="177" t="s">
        <v>447</v>
      </c>
      <c r="E21" s="35"/>
      <c r="F21" s="24"/>
      <c r="G21" s="21"/>
      <c r="H21" s="21"/>
      <c r="I21" s="21"/>
      <c r="J21" s="301"/>
      <c r="K21" s="304"/>
      <c r="L21" s="304"/>
      <c r="M21" s="304"/>
      <c r="N21" s="240">
        <f t="shared" ref="N21:N30" si="2">IF($D21="MWh/yr (LHV)",$E21,$J21*$E21*(1-$L21)/Conversion_kWh_to_MJ)</f>
        <v>0</v>
      </c>
      <c r="S21" s="35" t="str">
        <f t="shared" ref="S21:S30" si="3">IF(B21="", "", IF(D21="MWh/yr (LHV)", "Use column to right", "Enter data here"))</f>
        <v>Use column to right</v>
      </c>
      <c r="T21" s="35" t="e">
        <f>IF(B21="", "", IF(D21="MWh/yr (LHV)", Initial_questions!$E$43*1/Conversion_kWh_to_MJ, "Use column to left"))</f>
        <v>#VALUE!</v>
      </c>
      <c r="U21" s="35" t="s">
        <v>1110</v>
      </c>
      <c r="V21" s="241" t="str">
        <f t="shared" ref="V21:V30" si="4">IFERROR(IF(D21="tonnes/yr", $S21*$E21/($N$9*3.6), $T21*$E21*3.6/($N$9*3.6)), "Unfilled fields to left")</f>
        <v>Unfilled fields to left</v>
      </c>
      <c r="X21" s="21"/>
      <c r="Y21" s="12"/>
    </row>
    <row r="22" spans="2:29" s="14" customFormat="1">
      <c r="B22" s="184" t="s">
        <v>1069</v>
      </c>
      <c r="C22" s="182" t="s">
        <v>1087</v>
      </c>
      <c r="D22" s="177" t="s">
        <v>447</v>
      </c>
      <c r="E22" s="35"/>
      <c r="F22" s="24"/>
      <c r="G22" s="21"/>
      <c r="H22" s="63"/>
      <c r="I22" s="63"/>
      <c r="J22" s="302"/>
      <c r="K22" s="304"/>
      <c r="L22" s="304"/>
      <c r="M22" s="304"/>
      <c r="N22" s="240">
        <f t="shared" si="2"/>
        <v>0</v>
      </c>
      <c r="O22" s="19"/>
      <c r="Q22" s="19"/>
      <c r="R22" s="19"/>
      <c r="S22" s="35" t="str">
        <f t="shared" si="3"/>
        <v>Use column to right</v>
      </c>
      <c r="T22" s="35" t="str">
        <f t="shared" ref="T22:T30" si="5">IF(B22="", "", IF(D22="MWh/yr (LHV)", "Enter data here", "Use column to left"))</f>
        <v>Enter data here</v>
      </c>
      <c r="U22" s="35" t="s">
        <v>1088</v>
      </c>
      <c r="V22" s="355" t="str">
        <f t="shared" si="4"/>
        <v>Unfilled fields to left</v>
      </c>
      <c r="X22" s="21"/>
    </row>
    <row r="23" spans="2:29" s="14" customFormat="1">
      <c r="B23" s="184" t="s">
        <v>1069</v>
      </c>
      <c r="C23" s="182" t="s">
        <v>1089</v>
      </c>
      <c r="D23" s="177" t="s">
        <v>447</v>
      </c>
      <c r="E23" s="35"/>
      <c r="F23" s="24"/>
      <c r="G23" s="21"/>
      <c r="H23" s="63"/>
      <c r="I23" s="63"/>
      <c r="J23" s="302"/>
      <c r="K23" s="304"/>
      <c r="L23" s="304"/>
      <c r="M23" s="304"/>
      <c r="N23" s="240">
        <f t="shared" si="2"/>
        <v>0</v>
      </c>
      <c r="O23" s="19"/>
      <c r="Q23" s="19"/>
      <c r="R23" s="19"/>
      <c r="S23" s="479" t="str">
        <f t="shared" si="3"/>
        <v>Use column to right</v>
      </c>
      <c r="T23" s="35" t="str">
        <f t="shared" si="5"/>
        <v>Enter data here</v>
      </c>
      <c r="U23" s="35" t="s">
        <v>1088</v>
      </c>
      <c r="V23" s="355" t="str">
        <f t="shared" si="4"/>
        <v>Unfilled fields to left</v>
      </c>
      <c r="X23" s="65"/>
    </row>
    <row r="24" spans="2:29">
      <c r="B24" s="184" t="s">
        <v>1090</v>
      </c>
      <c r="C24" s="182" t="s">
        <v>1091</v>
      </c>
      <c r="D24" s="177" t="s">
        <v>425</v>
      </c>
      <c r="E24" s="35"/>
      <c r="F24" s="82"/>
      <c r="G24" s="21"/>
      <c r="H24" s="20"/>
      <c r="I24" s="36"/>
      <c r="J24" s="298"/>
      <c r="K24" s="300"/>
      <c r="L24" s="300"/>
      <c r="M24" s="300"/>
      <c r="N24" s="240">
        <f t="shared" si="2"/>
        <v>0</v>
      </c>
      <c r="S24" s="35" t="str">
        <f t="shared" si="3"/>
        <v>Enter data here</v>
      </c>
      <c r="T24" s="35" t="str">
        <f t="shared" si="5"/>
        <v>Use column to left</v>
      </c>
      <c r="U24" s="35" t="s">
        <v>1092</v>
      </c>
      <c r="V24" s="355" t="str">
        <f t="shared" si="4"/>
        <v>Unfilled fields to left</v>
      </c>
      <c r="X24" s="25"/>
      <c r="Y24" s="12"/>
    </row>
    <row r="25" spans="2:29">
      <c r="B25" s="184" t="s">
        <v>1090</v>
      </c>
      <c r="C25" s="182" t="s">
        <v>1093</v>
      </c>
      <c r="D25" s="177" t="s">
        <v>425</v>
      </c>
      <c r="E25" s="35"/>
      <c r="F25" s="21"/>
      <c r="G25" s="21"/>
      <c r="H25" s="20"/>
      <c r="I25" s="36"/>
      <c r="J25" s="298"/>
      <c r="K25" s="300"/>
      <c r="L25" s="300"/>
      <c r="M25" s="300"/>
      <c r="N25" s="240">
        <f t="shared" si="2"/>
        <v>0</v>
      </c>
      <c r="S25" s="35" t="str">
        <f t="shared" si="3"/>
        <v>Enter data here</v>
      </c>
      <c r="T25" s="35" t="str">
        <f t="shared" si="5"/>
        <v>Use column to left</v>
      </c>
      <c r="U25" s="35" t="s">
        <v>1092</v>
      </c>
      <c r="V25" s="355" t="str">
        <f t="shared" si="4"/>
        <v>Unfilled fields to left</v>
      </c>
      <c r="X25" s="25"/>
      <c r="Y25" s="12"/>
    </row>
    <row r="26" spans="2:29">
      <c r="B26" s="184" t="s">
        <v>1090</v>
      </c>
      <c r="C26" s="182" t="s">
        <v>1094</v>
      </c>
      <c r="D26" s="177" t="s">
        <v>425</v>
      </c>
      <c r="E26" s="35"/>
      <c r="F26" s="21"/>
      <c r="G26" s="21"/>
      <c r="H26" s="20"/>
      <c r="I26" s="36"/>
      <c r="J26" s="298"/>
      <c r="K26" s="300"/>
      <c r="L26" s="300"/>
      <c r="M26" s="300"/>
      <c r="N26" s="240">
        <f t="shared" si="2"/>
        <v>0</v>
      </c>
      <c r="O26" s="19"/>
      <c r="Q26" s="19"/>
      <c r="R26" s="19"/>
      <c r="S26" s="35" t="str">
        <f t="shared" si="3"/>
        <v>Enter data here</v>
      </c>
      <c r="T26" s="35" t="str">
        <f t="shared" si="5"/>
        <v>Use column to left</v>
      </c>
      <c r="U26" s="35" t="s">
        <v>1092</v>
      </c>
      <c r="V26" s="355" t="str">
        <f t="shared" si="4"/>
        <v>Unfilled fields to left</v>
      </c>
      <c r="W26" s="19"/>
      <c r="X26" s="25"/>
      <c r="Y26" s="19"/>
      <c r="Z26" s="19"/>
      <c r="AA26" s="19"/>
      <c r="AB26" s="19"/>
      <c r="AC26" s="19"/>
    </row>
    <row r="27" spans="2:29">
      <c r="B27" s="16"/>
      <c r="C27" s="15"/>
      <c r="D27" s="177"/>
      <c r="E27" s="35"/>
      <c r="F27" s="21"/>
      <c r="G27" s="21"/>
      <c r="H27" s="20"/>
      <c r="I27" s="36"/>
      <c r="J27" s="298"/>
      <c r="K27" s="300"/>
      <c r="L27" s="300"/>
      <c r="M27" s="300"/>
      <c r="N27" s="240">
        <f t="shared" si="2"/>
        <v>0</v>
      </c>
      <c r="O27" s="19"/>
      <c r="Q27" s="19"/>
      <c r="R27" s="19"/>
      <c r="S27" s="35" t="str">
        <f t="shared" si="3"/>
        <v/>
      </c>
      <c r="T27" s="35" t="str">
        <f t="shared" si="5"/>
        <v/>
      </c>
      <c r="U27" s="35"/>
      <c r="V27" s="355" t="str">
        <f t="shared" si="4"/>
        <v>Unfilled fields to left</v>
      </c>
      <c r="W27" s="19"/>
      <c r="X27" s="25"/>
      <c r="Y27" s="19"/>
      <c r="Z27" s="19"/>
      <c r="AA27" s="19"/>
      <c r="AB27" s="19"/>
      <c r="AC27" s="19"/>
    </row>
    <row r="28" spans="2:29">
      <c r="B28" s="16"/>
      <c r="C28" s="15"/>
      <c r="D28" s="177"/>
      <c r="E28" s="35"/>
      <c r="F28" s="21"/>
      <c r="G28" s="21"/>
      <c r="H28" s="20"/>
      <c r="I28" s="36"/>
      <c r="J28" s="298"/>
      <c r="K28" s="300"/>
      <c r="L28" s="300"/>
      <c r="M28" s="300"/>
      <c r="N28" s="240">
        <f t="shared" si="2"/>
        <v>0</v>
      </c>
      <c r="O28" s="19"/>
      <c r="Q28" s="19"/>
      <c r="R28" s="19"/>
      <c r="S28" s="35" t="str">
        <f t="shared" si="3"/>
        <v/>
      </c>
      <c r="T28" s="35" t="str">
        <f t="shared" si="5"/>
        <v/>
      </c>
      <c r="U28" s="35"/>
      <c r="V28" s="355" t="str">
        <f t="shared" si="4"/>
        <v>Unfilled fields to left</v>
      </c>
      <c r="W28" s="19"/>
      <c r="X28" s="25"/>
      <c r="Y28" s="19"/>
      <c r="Z28" s="19"/>
      <c r="AA28" s="19"/>
      <c r="AB28" s="19"/>
      <c r="AC28" s="19"/>
    </row>
    <row r="29" spans="2:29">
      <c r="B29" s="16"/>
      <c r="C29" s="15"/>
      <c r="D29" s="177"/>
      <c r="E29" s="35"/>
      <c r="F29" s="21"/>
      <c r="G29" s="21"/>
      <c r="H29" s="20"/>
      <c r="I29" s="36"/>
      <c r="J29" s="298"/>
      <c r="K29" s="300"/>
      <c r="L29" s="300"/>
      <c r="M29" s="300"/>
      <c r="N29" s="240">
        <f t="shared" si="2"/>
        <v>0</v>
      </c>
      <c r="O29" s="19"/>
      <c r="Q29" s="19"/>
      <c r="R29" s="19"/>
      <c r="S29" s="35" t="str">
        <f t="shared" si="3"/>
        <v/>
      </c>
      <c r="T29" s="35" t="str">
        <f t="shared" si="5"/>
        <v/>
      </c>
      <c r="U29" s="35"/>
      <c r="V29" s="355" t="str">
        <f t="shared" si="4"/>
        <v>Unfilled fields to left</v>
      </c>
      <c r="W29" s="19"/>
      <c r="X29" s="25"/>
      <c r="Y29" s="19"/>
      <c r="Z29" s="19"/>
      <c r="AA29" s="19"/>
      <c r="AB29" s="19"/>
      <c r="AC29" s="19"/>
    </row>
    <row r="30" spans="2:29">
      <c r="B30" s="16"/>
      <c r="C30" s="15"/>
      <c r="D30" s="177"/>
      <c r="E30" s="35"/>
      <c r="F30" s="21"/>
      <c r="G30" s="21"/>
      <c r="H30" s="20"/>
      <c r="I30" s="36"/>
      <c r="J30" s="298"/>
      <c r="K30" s="300"/>
      <c r="L30" s="300"/>
      <c r="M30" s="300"/>
      <c r="N30" s="240">
        <f t="shared" si="2"/>
        <v>0</v>
      </c>
      <c r="O30" s="19"/>
      <c r="Q30" s="19"/>
      <c r="R30" s="19"/>
      <c r="S30" s="35" t="str">
        <f t="shared" si="3"/>
        <v/>
      </c>
      <c r="T30" s="35" t="str">
        <f t="shared" si="5"/>
        <v/>
      </c>
      <c r="U30" s="35"/>
      <c r="V30" s="355" t="str">
        <f t="shared" si="4"/>
        <v>Unfilled fields to left</v>
      </c>
      <c r="W30" s="19"/>
      <c r="X30" s="25"/>
      <c r="Y30" s="19"/>
      <c r="Z30" s="19"/>
      <c r="AA30" s="19"/>
      <c r="AB30" s="19"/>
      <c r="AC30" s="19"/>
    </row>
    <row r="31" spans="2:29">
      <c r="C31" s="69"/>
      <c r="D31" s="69"/>
      <c r="E31" s="500"/>
      <c r="F31" s="70"/>
      <c r="G31" s="70"/>
      <c r="H31" s="71"/>
      <c r="I31" s="72"/>
      <c r="J31" s="75"/>
      <c r="K31" s="73"/>
      <c r="L31" s="73"/>
      <c r="M31" s="73"/>
      <c r="N31" s="73"/>
      <c r="S31" s="75"/>
      <c r="T31" s="73"/>
      <c r="U31" s="73"/>
      <c r="V31" s="73"/>
      <c r="X31" s="74"/>
      <c r="Y31" s="12"/>
    </row>
    <row r="32" spans="2:29" ht="30.95">
      <c r="B32" s="80" t="str">
        <f>IF(AND(GHG_BIOMASS_GASIFICATION!$D$10="Default",Master_Switch="On"),"Default data selected for the emissions category below, move to the next emissions category within this step","")</f>
        <v/>
      </c>
      <c r="C32" s="69"/>
      <c r="D32" s="69"/>
      <c r="E32" s="500"/>
      <c r="F32" s="70"/>
      <c r="G32" s="70"/>
      <c r="H32" s="71"/>
      <c r="I32" s="72"/>
      <c r="J32" s="75"/>
      <c r="K32" s="73"/>
      <c r="L32" s="73"/>
      <c r="M32" s="73"/>
      <c r="N32" s="73"/>
      <c r="S32" s="75"/>
      <c r="T32" s="73"/>
      <c r="U32" s="73"/>
      <c r="V32" s="73"/>
      <c r="X32" s="74"/>
      <c r="Y32" s="12"/>
    </row>
    <row r="33" spans="2:25" ht="16.5">
      <c r="B33" s="144" t="s">
        <v>1175</v>
      </c>
      <c r="C33" s="153"/>
      <c r="D33" s="153"/>
      <c r="E33" s="501"/>
      <c r="F33" s="154"/>
      <c r="G33" s="154"/>
      <c r="H33" s="155"/>
      <c r="I33" s="156"/>
      <c r="J33" s="303"/>
      <c r="K33" s="472"/>
      <c r="L33" s="472"/>
      <c r="M33" s="472"/>
      <c r="N33" s="472"/>
      <c r="O33" s="157"/>
      <c r="P33" s="157"/>
      <c r="Q33" s="157"/>
      <c r="R33" s="157"/>
      <c r="S33" s="303"/>
      <c r="T33" s="472"/>
      <c r="U33" s="472"/>
      <c r="V33" s="152">
        <f>SUM(V34:V43)</f>
        <v>0</v>
      </c>
      <c r="X33" s="74"/>
      <c r="Y33" s="12"/>
    </row>
    <row r="34" spans="2:25">
      <c r="B34" s="184" t="s">
        <v>1096</v>
      </c>
      <c r="C34" s="182" t="s">
        <v>1176</v>
      </c>
      <c r="D34" s="177" t="s">
        <v>425</v>
      </c>
      <c r="E34" s="35"/>
      <c r="F34" s="21"/>
      <c r="G34" s="21"/>
      <c r="H34" s="21"/>
      <c r="I34" s="21"/>
      <c r="J34" s="304"/>
      <c r="K34" s="304"/>
      <c r="L34" s="304"/>
      <c r="M34" s="304"/>
      <c r="N34" s="240">
        <f t="shared" ref="N34:N43" si="6">IF($D34="MWh/yr (LHV)",$E34,$J34*$E34*(1-$L34)/Conversion_kWh_to_MJ)</f>
        <v>0</v>
      </c>
      <c r="S34" s="35" t="s">
        <v>1177</v>
      </c>
      <c r="T34" s="35" t="s">
        <v>1178</v>
      </c>
      <c r="U34" s="35" t="s">
        <v>1098</v>
      </c>
      <c r="V34" s="240" t="str">
        <f t="shared" ref="V34:V43" si="7">IFERROR(IF(D34="tonnes/yr", $S34*$E34/($N$9*3.6), $T34*$E34*3.6/($N$9*3.6)), "Unfilled fields to left")</f>
        <v>Unfilled fields to left</v>
      </c>
      <c r="X34" s="21"/>
      <c r="Y34" s="12"/>
    </row>
    <row r="35" spans="2:25">
      <c r="B35" s="184" t="s">
        <v>1099</v>
      </c>
      <c r="C35" s="182" t="s">
        <v>1272</v>
      </c>
      <c r="D35" s="177" t="s">
        <v>425</v>
      </c>
      <c r="E35" s="35"/>
      <c r="F35" s="24"/>
      <c r="G35" s="21"/>
      <c r="H35" s="20"/>
      <c r="I35" s="36"/>
      <c r="J35" s="298"/>
      <c r="K35" s="300"/>
      <c r="L35" s="300"/>
      <c r="M35" s="300"/>
      <c r="N35" s="240">
        <f t="shared" si="6"/>
        <v>0</v>
      </c>
      <c r="S35" s="35" t="s">
        <v>1177</v>
      </c>
      <c r="T35" s="35" t="s">
        <v>1178</v>
      </c>
      <c r="U35" s="35" t="s">
        <v>1098</v>
      </c>
      <c r="V35" s="240" t="str">
        <f t="shared" si="7"/>
        <v>Unfilled fields to left</v>
      </c>
      <c r="X35" s="25"/>
      <c r="Y35" s="12"/>
    </row>
    <row r="36" spans="2:25">
      <c r="B36" s="184" t="s">
        <v>1099</v>
      </c>
      <c r="C36" s="182" t="s">
        <v>1058</v>
      </c>
      <c r="D36" s="177" t="s">
        <v>425</v>
      </c>
      <c r="E36" s="35"/>
      <c r="F36" s="21"/>
      <c r="G36" s="21"/>
      <c r="H36" s="20"/>
      <c r="I36" s="36"/>
      <c r="J36" s="298"/>
      <c r="K36" s="300"/>
      <c r="L36" s="300"/>
      <c r="M36" s="300"/>
      <c r="N36" s="240">
        <f t="shared" si="6"/>
        <v>0</v>
      </c>
      <c r="S36" s="35" t="s">
        <v>1177</v>
      </c>
      <c r="T36" s="35" t="s">
        <v>1178</v>
      </c>
      <c r="U36" s="35" t="s">
        <v>1098</v>
      </c>
      <c r="V36" s="240" t="str">
        <f t="shared" si="7"/>
        <v>Unfilled fields to left</v>
      </c>
      <c r="X36" s="25"/>
      <c r="Y36" s="12"/>
    </row>
    <row r="37" spans="2:25">
      <c r="B37" s="184" t="s">
        <v>1099</v>
      </c>
      <c r="C37" s="182" t="s">
        <v>1101</v>
      </c>
      <c r="D37" s="177" t="s">
        <v>425</v>
      </c>
      <c r="E37" s="35"/>
      <c r="F37" s="21"/>
      <c r="G37" s="21"/>
      <c r="H37" s="20"/>
      <c r="I37" s="36"/>
      <c r="J37" s="298"/>
      <c r="K37" s="300"/>
      <c r="L37" s="300"/>
      <c r="M37" s="300"/>
      <c r="N37" s="240">
        <f t="shared" si="6"/>
        <v>0</v>
      </c>
      <c r="S37" s="35" t="s">
        <v>1177</v>
      </c>
      <c r="T37" s="35" t="s">
        <v>1178</v>
      </c>
      <c r="U37" s="35" t="s">
        <v>1098</v>
      </c>
      <c r="V37" s="240" t="str">
        <f t="shared" si="7"/>
        <v>Unfilled fields to left</v>
      </c>
      <c r="X37" s="25"/>
      <c r="Y37" s="12"/>
    </row>
    <row r="38" spans="2:25">
      <c r="B38" s="184" t="s">
        <v>1225</v>
      </c>
      <c r="C38" s="182" t="s">
        <v>1103</v>
      </c>
      <c r="D38" s="177" t="s">
        <v>425</v>
      </c>
      <c r="E38" s="35"/>
      <c r="F38" s="21"/>
      <c r="G38" s="21"/>
      <c r="H38" s="20"/>
      <c r="I38" s="36"/>
      <c r="J38" s="298"/>
      <c r="K38" s="300"/>
      <c r="L38" s="300"/>
      <c r="M38" s="300"/>
      <c r="N38" s="240">
        <f t="shared" si="6"/>
        <v>0</v>
      </c>
      <c r="S38" s="35" t="s">
        <v>1177</v>
      </c>
      <c r="T38" s="35" t="s">
        <v>1178</v>
      </c>
      <c r="U38" s="35" t="s">
        <v>1098</v>
      </c>
      <c r="V38" s="240" t="str">
        <f t="shared" si="7"/>
        <v>Unfilled fields to left</v>
      </c>
      <c r="X38" s="25"/>
      <c r="Y38" s="12"/>
    </row>
    <row r="39" spans="2:25">
      <c r="B39" s="184" t="s">
        <v>1225</v>
      </c>
      <c r="C39" s="182"/>
      <c r="D39" s="177"/>
      <c r="E39" s="35"/>
      <c r="F39" s="21"/>
      <c r="G39" s="21"/>
      <c r="H39" s="20"/>
      <c r="I39" s="36"/>
      <c r="J39" s="298"/>
      <c r="K39" s="300"/>
      <c r="L39" s="300"/>
      <c r="M39" s="300"/>
      <c r="N39" s="240">
        <f t="shared" si="6"/>
        <v>0</v>
      </c>
      <c r="S39" s="35" t="s">
        <v>1177</v>
      </c>
      <c r="T39" s="35" t="s">
        <v>1178</v>
      </c>
      <c r="U39" s="35" t="s">
        <v>1098</v>
      </c>
      <c r="V39" s="240" t="str">
        <f t="shared" si="7"/>
        <v>Unfilled fields to left</v>
      </c>
      <c r="X39" s="25"/>
      <c r="Y39" s="12"/>
    </row>
    <row r="40" spans="2:25">
      <c r="B40" s="16"/>
      <c r="C40" s="15"/>
      <c r="D40" s="177"/>
      <c r="E40" s="35"/>
      <c r="F40" s="54"/>
      <c r="G40" s="21"/>
      <c r="H40" s="20"/>
      <c r="I40" s="36"/>
      <c r="J40" s="298"/>
      <c r="K40" s="300"/>
      <c r="L40" s="300"/>
      <c r="M40" s="300"/>
      <c r="N40" s="240">
        <f t="shared" si="6"/>
        <v>0</v>
      </c>
      <c r="S40" s="35" t="s">
        <v>1273</v>
      </c>
      <c r="T40" s="35" t="s">
        <v>1273</v>
      </c>
      <c r="U40" s="35"/>
      <c r="V40" s="240" t="str">
        <f t="shared" si="7"/>
        <v>Unfilled fields to left</v>
      </c>
      <c r="X40" s="25"/>
      <c r="Y40" s="12"/>
    </row>
    <row r="41" spans="2:25">
      <c r="B41" s="16"/>
      <c r="C41" s="15"/>
      <c r="D41" s="177"/>
      <c r="E41" s="35"/>
      <c r="F41" s="54"/>
      <c r="G41" s="21"/>
      <c r="H41" s="20"/>
      <c r="I41" s="36"/>
      <c r="J41" s="298"/>
      <c r="K41" s="300"/>
      <c r="L41" s="300"/>
      <c r="M41" s="300"/>
      <c r="N41" s="240">
        <f t="shared" si="6"/>
        <v>0</v>
      </c>
      <c r="S41" s="35" t="s">
        <v>1273</v>
      </c>
      <c r="T41" s="35" t="s">
        <v>1273</v>
      </c>
      <c r="U41" s="35"/>
      <c r="V41" s="240" t="str">
        <f t="shared" si="7"/>
        <v>Unfilled fields to left</v>
      </c>
      <c r="X41" s="25"/>
      <c r="Y41" s="12"/>
    </row>
    <row r="42" spans="2:25">
      <c r="B42" s="16"/>
      <c r="C42" s="15"/>
      <c r="D42" s="177"/>
      <c r="E42" s="35"/>
      <c r="F42" s="54"/>
      <c r="G42" s="21"/>
      <c r="H42" s="20"/>
      <c r="I42" s="36"/>
      <c r="J42" s="298"/>
      <c r="K42" s="300"/>
      <c r="L42" s="300"/>
      <c r="M42" s="300"/>
      <c r="N42" s="240">
        <f t="shared" si="6"/>
        <v>0</v>
      </c>
      <c r="S42" s="35" t="s">
        <v>1273</v>
      </c>
      <c r="T42" s="35" t="s">
        <v>1273</v>
      </c>
      <c r="U42" s="35"/>
      <c r="V42" s="240" t="str">
        <f t="shared" si="7"/>
        <v>Unfilled fields to left</v>
      </c>
      <c r="X42" s="25"/>
      <c r="Y42" s="12"/>
    </row>
    <row r="43" spans="2:25">
      <c r="B43" s="16"/>
      <c r="C43" s="15"/>
      <c r="D43" s="177"/>
      <c r="E43" s="35"/>
      <c r="F43" s="21"/>
      <c r="G43" s="21"/>
      <c r="H43" s="20"/>
      <c r="I43" s="36"/>
      <c r="J43" s="298"/>
      <c r="K43" s="300"/>
      <c r="L43" s="300"/>
      <c r="M43" s="300"/>
      <c r="N43" s="240">
        <f t="shared" si="6"/>
        <v>0</v>
      </c>
      <c r="S43" s="35" t="s">
        <v>1273</v>
      </c>
      <c r="T43" s="35" t="s">
        <v>1273</v>
      </c>
      <c r="U43" s="35"/>
      <c r="V43" s="240" t="str">
        <f t="shared" si="7"/>
        <v>Unfilled fields to left</v>
      </c>
      <c r="X43" s="25"/>
      <c r="Y43" s="12"/>
    </row>
    <row r="44" spans="2:25" s="14" customFormat="1">
      <c r="B44" s="68"/>
      <c r="C44" s="69"/>
      <c r="D44" s="69"/>
      <c r="E44" s="500"/>
      <c r="F44" s="70"/>
      <c r="G44" s="70"/>
      <c r="H44" s="70"/>
      <c r="I44" s="70"/>
      <c r="J44" s="141"/>
      <c r="K44" s="141"/>
      <c r="L44" s="87"/>
      <c r="M44" s="87"/>
      <c r="N44" s="73"/>
      <c r="O44" s="19"/>
      <c r="Q44" s="12"/>
      <c r="R44" s="12"/>
      <c r="S44" s="73"/>
      <c r="T44" s="73"/>
      <c r="U44" s="73"/>
      <c r="V44" s="73"/>
      <c r="X44" s="70"/>
    </row>
    <row r="45" spans="2:25" s="14" customFormat="1" ht="16.5">
      <c r="B45" s="144" t="s">
        <v>1179</v>
      </c>
      <c r="C45" s="158"/>
      <c r="D45" s="158"/>
      <c r="E45" s="495"/>
      <c r="F45" s="159"/>
      <c r="G45" s="160"/>
      <c r="H45" s="159"/>
      <c r="I45" s="159"/>
      <c r="J45" s="305"/>
      <c r="K45" s="305"/>
      <c r="L45" s="305"/>
      <c r="M45" s="305"/>
      <c r="N45" s="305"/>
      <c r="O45" s="305"/>
      <c r="P45" s="305"/>
      <c r="Q45" s="305"/>
      <c r="R45" s="305"/>
      <c r="S45" s="305"/>
      <c r="T45" s="305"/>
      <c r="U45" s="305"/>
      <c r="V45" s="152">
        <f>SUM(V46:V50)</f>
        <v>0</v>
      </c>
      <c r="X45" s="70"/>
    </row>
    <row r="46" spans="2:25" s="14" customFormat="1">
      <c r="B46" s="16" t="s">
        <v>1105</v>
      </c>
      <c r="C46" s="182" t="s">
        <v>1274</v>
      </c>
      <c r="D46" s="177" t="s">
        <v>425</v>
      </c>
      <c r="E46" s="35"/>
      <c r="F46" s="24"/>
      <c r="G46" s="21"/>
      <c r="H46" s="21"/>
      <c r="I46" s="21"/>
      <c r="J46" s="304"/>
      <c r="K46" s="304"/>
      <c r="L46" s="304"/>
      <c r="M46" s="304"/>
      <c r="N46" s="240">
        <f>IF($D46="MWh/yr (LHV)",$E46,$J46*$E46*(1-$L46)/Conversion_kWh_to_MJ)</f>
        <v>0</v>
      </c>
      <c r="O46" s="12"/>
      <c r="Q46" s="12"/>
      <c r="R46" s="12"/>
      <c r="S46" s="35">
        <v>0</v>
      </c>
      <c r="T46" s="514"/>
      <c r="U46" s="35" t="s">
        <v>1248</v>
      </c>
      <c r="V46" s="240" t="str">
        <f>IFERROR(IF(D46="tonnes/yr", $S46*$E46/($N$9*3.6), $T46*$E46*3.6/($N$9*3.6)), "Unfilled fields to left")</f>
        <v>Unfilled fields to left</v>
      </c>
      <c r="X46" s="21"/>
    </row>
    <row r="47" spans="2:25" s="14" customFormat="1">
      <c r="B47" s="16" t="s">
        <v>1105</v>
      </c>
      <c r="C47" s="182" t="s">
        <v>1259</v>
      </c>
      <c r="D47" s="177" t="s">
        <v>425</v>
      </c>
      <c r="E47" s="35"/>
      <c r="F47" s="63"/>
      <c r="G47" s="63"/>
      <c r="H47" s="63"/>
      <c r="I47" s="63"/>
      <c r="J47" s="302"/>
      <c r="K47" s="304"/>
      <c r="L47" s="304"/>
      <c r="M47" s="304"/>
      <c r="N47" s="240">
        <f>IF($D47="MWh/yr (LHV)",$E47,$J47*$E47*(1-$L47)/Conversion_kWh_to_MJ)</f>
        <v>0</v>
      </c>
      <c r="O47" s="12"/>
      <c r="Q47" s="12"/>
      <c r="R47" s="12"/>
      <c r="S47" s="35">
        <v>1000</v>
      </c>
      <c r="T47" s="514"/>
      <c r="U47" s="35" t="s">
        <v>1158</v>
      </c>
      <c r="V47" s="240" t="str">
        <f>IFERROR(IF(D47="tonnes/yr", $S47*$E47/($N$9*3.6), $T47*$E47*3.6/($N$9*3.6)), "Unfilled fields to left")</f>
        <v>Unfilled fields to left</v>
      </c>
      <c r="X47" s="21"/>
    </row>
    <row r="48" spans="2:25" s="14" customFormat="1">
      <c r="B48" s="64"/>
      <c r="C48" s="15"/>
      <c r="D48" s="177"/>
      <c r="E48" s="35"/>
      <c r="F48" s="21"/>
      <c r="G48" s="21"/>
      <c r="H48" s="63"/>
      <c r="I48" s="63"/>
      <c r="J48" s="302"/>
      <c r="K48" s="304"/>
      <c r="L48" s="304"/>
      <c r="M48" s="304"/>
      <c r="N48" s="240">
        <f>IF($D48="MWh/yr (LHV)",$E48,$J48*$E48*(1-$L48)/Conversion_kWh_to_MJ)</f>
        <v>0</v>
      </c>
      <c r="O48" s="19"/>
      <c r="Q48" s="12"/>
      <c r="R48" s="12"/>
      <c r="S48" s="306"/>
      <c r="T48" s="473"/>
      <c r="U48" s="300"/>
      <c r="V48" s="240" t="str">
        <f>IFERROR(IF(D48="tonnes/yr", $S48*$E48/($N$9*3.6), $T48*$E48*3.6/($N$9*3.6)), "Unfilled fields to left")</f>
        <v>Unfilled fields to left</v>
      </c>
      <c r="X48" s="65"/>
    </row>
    <row r="49" spans="2:25" s="14" customFormat="1">
      <c r="B49" s="64"/>
      <c r="C49" s="15"/>
      <c r="D49" s="177"/>
      <c r="E49" s="35"/>
      <c r="F49" s="21"/>
      <c r="G49" s="21"/>
      <c r="H49" s="21"/>
      <c r="I49" s="21"/>
      <c r="J49" s="304"/>
      <c r="K49" s="304"/>
      <c r="L49" s="304"/>
      <c r="M49" s="304"/>
      <c r="N49" s="240">
        <f>IF($D49="MWh/yr (LHV)",$E49,$J49*$E49*(1-$L49)/Conversion_kWh_to_MJ)</f>
        <v>0</v>
      </c>
      <c r="O49" s="19"/>
      <c r="Q49" s="12"/>
      <c r="R49" s="12"/>
      <c r="S49" s="306"/>
      <c r="T49" s="473"/>
      <c r="U49" s="300"/>
      <c r="V49" s="240" t="str">
        <f>IFERROR(IF(D49="tonnes/yr", $S49*$E49/($N$9*3.6), $T49*$E49*3.6/($N$9*3.6)), "Unfilled fields to left")</f>
        <v>Unfilled fields to left</v>
      </c>
      <c r="X49" s="65"/>
    </row>
    <row r="50" spans="2:25" s="14" customFormat="1">
      <c r="B50" s="64"/>
      <c r="C50" s="15"/>
      <c r="D50" s="177"/>
      <c r="E50" s="35"/>
      <c r="F50" s="21"/>
      <c r="G50" s="21"/>
      <c r="H50" s="21"/>
      <c r="I50" s="21"/>
      <c r="J50" s="304"/>
      <c r="K50" s="304"/>
      <c r="L50" s="304"/>
      <c r="M50" s="304"/>
      <c r="N50" s="240">
        <f>IF($D50="MWh/yr (LHV)",$E50,$J50*$E50*(1-$L50)/Conversion_kWh_to_MJ)</f>
        <v>0</v>
      </c>
      <c r="O50" s="19"/>
      <c r="Q50" s="12"/>
      <c r="R50" s="12"/>
      <c r="S50" s="306"/>
      <c r="T50" s="473"/>
      <c r="U50" s="300"/>
      <c r="V50" s="240" t="str">
        <f>IFERROR(IF(D50="tonnes/yr", $S50*$E50/($N$9*3.6), $T50*$E50*3.6/($N$9*3.6)), "Unfilled fields to left")</f>
        <v>Unfilled fields to left</v>
      </c>
      <c r="X50" s="65"/>
    </row>
    <row r="51" spans="2:25" s="14" customFormat="1">
      <c r="B51" s="68"/>
      <c r="C51" s="69"/>
      <c r="D51" s="69"/>
      <c r="E51" s="500"/>
      <c r="F51" s="70"/>
      <c r="G51" s="70"/>
      <c r="H51" s="70"/>
      <c r="I51" s="70"/>
      <c r="J51" s="141"/>
      <c r="K51" s="141"/>
      <c r="L51" s="87"/>
      <c r="M51" s="87"/>
      <c r="N51" s="73"/>
      <c r="O51" s="19"/>
      <c r="Q51" s="12"/>
      <c r="R51" s="12"/>
      <c r="S51" s="73"/>
      <c r="T51" s="73"/>
      <c r="U51" s="73"/>
      <c r="V51" s="73"/>
      <c r="X51" s="70"/>
    </row>
    <row r="52" spans="2:25" s="14" customFormat="1" ht="16.5">
      <c r="B52" s="144" t="s">
        <v>1108</v>
      </c>
      <c r="C52" s="158"/>
      <c r="D52" s="158"/>
      <c r="E52" s="495"/>
      <c r="F52" s="159"/>
      <c r="G52" s="160"/>
      <c r="H52" s="159"/>
      <c r="I52" s="159"/>
      <c r="J52" s="305"/>
      <c r="K52" s="305"/>
      <c r="L52" s="305"/>
      <c r="M52" s="305"/>
      <c r="N52" s="305"/>
      <c r="O52" s="305"/>
      <c r="P52" s="305"/>
      <c r="Q52" s="305"/>
      <c r="R52" s="305"/>
      <c r="S52" s="305"/>
      <c r="T52" s="305"/>
      <c r="U52" s="305"/>
      <c r="V52" s="152">
        <f>SUM(V53:V58)</f>
        <v>0</v>
      </c>
      <c r="X52" s="70"/>
    </row>
    <row r="53" spans="2:25">
      <c r="B53" s="184" t="s">
        <v>1069</v>
      </c>
      <c r="C53" s="182" t="s">
        <v>1109</v>
      </c>
      <c r="D53" s="177" t="s">
        <v>447</v>
      </c>
      <c r="E53" s="35"/>
      <c r="F53" s="24"/>
      <c r="G53" s="21"/>
      <c r="H53" s="20"/>
      <c r="I53" s="36"/>
      <c r="J53" s="301"/>
      <c r="K53" s="300"/>
      <c r="L53" s="304"/>
      <c r="M53" s="304"/>
      <c r="N53" s="240">
        <f t="shared" ref="N53:N58" si="8">IF($D53="MWh/yr (LHV)",$E53,$J53*$E53*(1-$L53)/Conversion_kWh_to_MJ)</f>
        <v>0</v>
      </c>
      <c r="S53" s="35" t="str">
        <f t="shared" ref="S53:S58" si="9">IF(B53="", "", IF(D53="MWh/yr (LHV)", "Use column to right", "Enter data here"))</f>
        <v>Use column to right</v>
      </c>
      <c r="T53" s="35" t="e">
        <f>IF(B53="", "", IF(D53="MWh/yr (LHV)", Initial_questions!$E$43*1/Conversion_kWh_to_MJ, "Use column to left"))</f>
        <v>#VALUE!</v>
      </c>
      <c r="U53" s="35" t="s">
        <v>1110</v>
      </c>
      <c r="V53" s="241" t="str">
        <f t="shared" ref="V53:V58" si="10">IFERROR(IF(D53="tonnes/yr", $S53*$E53/($N$9*3.6), $T53*$E53*3.6/($N$9*3.6)), "Unfilled fields to left")</f>
        <v>Unfilled fields to left</v>
      </c>
      <c r="X53" s="25"/>
      <c r="Y53" s="12"/>
    </row>
    <row r="54" spans="2:25">
      <c r="B54" s="184" t="s">
        <v>1069</v>
      </c>
      <c r="C54" s="182" t="s">
        <v>1111</v>
      </c>
      <c r="D54" s="177" t="s">
        <v>447</v>
      </c>
      <c r="E54" s="35"/>
      <c r="F54" s="24"/>
      <c r="G54" s="21"/>
      <c r="H54" s="20"/>
      <c r="I54" s="36"/>
      <c r="J54" s="298"/>
      <c r="K54" s="300"/>
      <c r="L54" s="304"/>
      <c r="M54" s="304"/>
      <c r="N54" s="240">
        <f t="shared" si="8"/>
        <v>0</v>
      </c>
      <c r="S54" s="35" t="str">
        <f t="shared" si="9"/>
        <v>Use column to right</v>
      </c>
      <c r="T54" s="35" t="e">
        <f>INDEX(Proj_grid_intensity_kWh,MATCH(Operations_year,Proj_grid_year,0))/Conversion_kWh_to_MJ</f>
        <v>#N/A</v>
      </c>
      <c r="U54" s="35" t="s">
        <v>1112</v>
      </c>
      <c r="V54" s="355" t="str">
        <f t="shared" si="10"/>
        <v>Unfilled fields to left</v>
      </c>
      <c r="X54" s="25"/>
      <c r="Y54" s="12"/>
    </row>
    <row r="55" spans="2:25">
      <c r="B55" s="184" t="s">
        <v>1069</v>
      </c>
      <c r="C55" s="182" t="s">
        <v>1113</v>
      </c>
      <c r="D55" s="177" t="s">
        <v>425</v>
      </c>
      <c r="E55" s="35"/>
      <c r="F55" s="24"/>
      <c r="G55" s="21"/>
      <c r="H55" s="20"/>
      <c r="I55" s="36"/>
      <c r="J55" s="298"/>
      <c r="K55" s="300"/>
      <c r="L55" s="304"/>
      <c r="M55" s="304"/>
      <c r="N55" s="240">
        <f t="shared" si="8"/>
        <v>0</v>
      </c>
      <c r="S55" s="35" t="str">
        <f t="shared" si="9"/>
        <v>Enter data here</v>
      </c>
      <c r="T55" s="35" t="str">
        <f>IF(B55="", "", IF(D55="MWh/yr (LHV)", "Enter data here", "Use column to left"))</f>
        <v>Use column to left</v>
      </c>
      <c r="U55" s="35" t="s">
        <v>1114</v>
      </c>
      <c r="V55" s="355" t="str">
        <f t="shared" si="10"/>
        <v>Unfilled fields to left</v>
      </c>
      <c r="X55" s="25"/>
      <c r="Y55" s="12"/>
    </row>
    <row r="56" spans="2:25" s="14" customFormat="1">
      <c r="B56" s="184" t="s">
        <v>1069</v>
      </c>
      <c r="C56" s="182" t="s">
        <v>1115</v>
      </c>
      <c r="D56" s="177" t="s">
        <v>425</v>
      </c>
      <c r="E56" s="35"/>
      <c r="F56" s="24"/>
      <c r="G56" s="21"/>
      <c r="H56" s="21"/>
      <c r="I56" s="21"/>
      <c r="J56" s="304"/>
      <c r="K56" s="304"/>
      <c r="L56" s="304"/>
      <c r="M56" s="304"/>
      <c r="N56" s="240">
        <f t="shared" si="8"/>
        <v>0</v>
      </c>
      <c r="O56" s="12"/>
      <c r="Q56" s="12"/>
      <c r="R56" s="12"/>
      <c r="S56" s="35" t="str">
        <f t="shared" si="9"/>
        <v>Enter data here</v>
      </c>
      <c r="T56" s="35" t="str">
        <f>IF(B56="", "", IF(D56="MWh/yr (LHV)", "Enter data here", "Use column to left"))</f>
        <v>Use column to left</v>
      </c>
      <c r="U56" s="35" t="s">
        <v>1114</v>
      </c>
      <c r="V56" s="355" t="str">
        <f t="shared" si="10"/>
        <v>Unfilled fields to left</v>
      </c>
      <c r="X56" s="21"/>
    </row>
    <row r="57" spans="2:25" s="14" customFormat="1">
      <c r="B57" s="184" t="s">
        <v>1069</v>
      </c>
      <c r="C57" s="182" t="s">
        <v>1116</v>
      </c>
      <c r="D57" s="177" t="s">
        <v>447</v>
      </c>
      <c r="E57" s="35"/>
      <c r="F57" s="24"/>
      <c r="G57" s="21"/>
      <c r="H57" s="21"/>
      <c r="I57" s="21"/>
      <c r="J57" s="304"/>
      <c r="K57" s="304"/>
      <c r="L57" s="304"/>
      <c r="M57" s="304"/>
      <c r="N57" s="240">
        <f t="shared" si="8"/>
        <v>0</v>
      </c>
      <c r="O57" s="12"/>
      <c r="Q57" s="12"/>
      <c r="R57" s="12"/>
      <c r="S57" s="35" t="str">
        <f t="shared" si="9"/>
        <v>Use column to right</v>
      </c>
      <c r="T57" s="35" t="e">
        <f>INDEX(Proj_grid_intensity_kWh,MATCH(Operations_year,Proj_grid_year,0))/Conversion_kWh_to_MJ</f>
        <v>#N/A</v>
      </c>
      <c r="U57" s="35" t="s">
        <v>1112</v>
      </c>
      <c r="V57" s="355" t="str">
        <f t="shared" si="10"/>
        <v>Unfilled fields to left</v>
      </c>
      <c r="X57" s="21"/>
    </row>
    <row r="58" spans="2:25" s="14" customFormat="1">
      <c r="B58" s="16"/>
      <c r="C58" s="15"/>
      <c r="D58" s="177"/>
      <c r="E58" s="35"/>
      <c r="F58" s="24"/>
      <c r="G58" s="21"/>
      <c r="H58" s="21"/>
      <c r="I58" s="21"/>
      <c r="J58" s="304"/>
      <c r="K58" s="304"/>
      <c r="L58" s="304"/>
      <c r="M58" s="304"/>
      <c r="N58" s="240">
        <f t="shared" si="8"/>
        <v>0</v>
      </c>
      <c r="O58" s="12"/>
      <c r="Q58" s="12"/>
      <c r="R58" s="12"/>
      <c r="S58" s="35" t="str">
        <f t="shared" si="9"/>
        <v/>
      </c>
      <c r="T58" s="35" t="str">
        <f>IF(B58="", "", IF(D58="MWh/yr (LHV)", "Enter data here", "Use column to left"))</f>
        <v/>
      </c>
      <c r="U58" s="35"/>
      <c r="V58" s="355" t="str">
        <f t="shared" si="10"/>
        <v>Unfilled fields to left</v>
      </c>
      <c r="X58" s="21"/>
    </row>
    <row r="59" spans="2:25" s="14" customFormat="1">
      <c r="B59" s="68"/>
      <c r="C59" s="69"/>
      <c r="D59" s="69"/>
      <c r="E59" s="141"/>
      <c r="F59" s="70"/>
      <c r="G59" s="70"/>
      <c r="H59" s="71"/>
      <c r="I59" s="71"/>
      <c r="J59" s="73"/>
      <c r="K59" s="73"/>
      <c r="L59" s="12"/>
      <c r="M59" s="12"/>
      <c r="N59" s="73"/>
      <c r="O59" s="12"/>
      <c r="Q59" s="12"/>
      <c r="R59" s="12"/>
      <c r="S59" s="73"/>
      <c r="T59" s="73"/>
      <c r="U59" s="73"/>
      <c r="V59" s="73"/>
      <c r="X59" s="70"/>
    </row>
    <row r="60" spans="2:25" s="14" customFormat="1" ht="16.5">
      <c r="B60" s="144" t="s">
        <v>1117</v>
      </c>
      <c r="C60" s="158"/>
      <c r="D60" s="158"/>
      <c r="E60" s="495"/>
      <c r="F60" s="159"/>
      <c r="G60" s="160"/>
      <c r="H60" s="159"/>
      <c r="I60" s="159"/>
      <c r="J60" s="305"/>
      <c r="K60" s="305"/>
      <c r="L60" s="305"/>
      <c r="M60" s="305"/>
      <c r="N60" s="305"/>
      <c r="O60" s="305"/>
      <c r="P60" s="305"/>
      <c r="Q60" s="305"/>
      <c r="R60" s="305"/>
      <c r="S60" s="305"/>
      <c r="T60" s="305"/>
      <c r="U60" s="305"/>
      <c r="V60" s="152">
        <f>SUM(V61:V65)</f>
        <v>0</v>
      </c>
      <c r="X60" s="70"/>
    </row>
    <row r="61" spans="2:25" s="14" customFormat="1">
      <c r="B61" s="184" t="s">
        <v>1118</v>
      </c>
      <c r="C61" s="182" t="s">
        <v>1260</v>
      </c>
      <c r="D61" s="177" t="s">
        <v>425</v>
      </c>
      <c r="E61" s="35">
        <f>E46*$E$80</f>
        <v>0</v>
      </c>
      <c r="F61" s="63"/>
      <c r="G61" s="63"/>
      <c r="H61" s="63"/>
      <c r="I61" s="63"/>
      <c r="J61" s="302"/>
      <c r="K61" s="304"/>
      <c r="L61" s="304"/>
      <c r="M61" s="304"/>
      <c r="N61" s="240">
        <f>IF($D61="MWh/yr (LHV)",$E61,$J61*$E61*(1-$L61)/Conversion_kWh_to_MJ)</f>
        <v>0</v>
      </c>
      <c r="O61" s="12"/>
      <c r="Q61" s="12"/>
      <c r="R61" s="12"/>
      <c r="S61" s="301">
        <v>-1000</v>
      </c>
      <c r="T61" s="473"/>
      <c r="U61" s="35" t="s">
        <v>1251</v>
      </c>
      <c r="V61" s="240" t="str">
        <f>IFERROR(IF(D61="tonnes/yr", $S61*$E61/($N$9*3.6), $T61*$E61*3.6/($N$9*3.6)), "Unfilled fields to left")</f>
        <v>Unfilled fields to left</v>
      </c>
      <c r="X61" s="21"/>
    </row>
    <row r="62" spans="2:25" s="14" customFormat="1">
      <c r="B62" s="185" t="s">
        <v>1118</v>
      </c>
      <c r="C62" s="182" t="s">
        <v>1181</v>
      </c>
      <c r="D62" s="177" t="s">
        <v>425</v>
      </c>
      <c r="E62" s="35">
        <f>E47*$E$80</f>
        <v>0</v>
      </c>
      <c r="F62" s="21"/>
      <c r="G62" s="21"/>
      <c r="H62" s="63"/>
      <c r="I62" s="63"/>
      <c r="J62" s="302"/>
      <c r="K62" s="304"/>
      <c r="L62" s="304"/>
      <c r="M62" s="304"/>
      <c r="N62" s="240">
        <f>IF($D62="MWh/yr (LHV)",$E62,$J62*$E62*(1-$L62)/Conversion_kWh_to_MJ)</f>
        <v>0</v>
      </c>
      <c r="O62" s="19"/>
      <c r="Q62" s="12"/>
      <c r="R62" s="12"/>
      <c r="S62" s="298">
        <v>-1000</v>
      </c>
      <c r="T62" s="473"/>
      <c r="U62" s="35" t="s">
        <v>1182</v>
      </c>
      <c r="V62" s="240" t="str">
        <f>IFERROR(IF(D62="tonnes/yr", $S62*$E62/($N$9*3.6), $T62*$E62*3.6/($N$9*3.6)), "Unfilled fields to left")</f>
        <v>Unfilled fields to left</v>
      </c>
      <c r="X62" s="65"/>
    </row>
    <row r="63" spans="2:25" s="14" customFormat="1">
      <c r="B63" s="64"/>
      <c r="C63" s="15"/>
      <c r="D63" s="177"/>
      <c r="E63" s="35"/>
      <c r="F63" s="21"/>
      <c r="G63" s="21"/>
      <c r="H63" s="21"/>
      <c r="I63" s="21"/>
      <c r="J63" s="304"/>
      <c r="K63" s="304"/>
      <c r="L63" s="304"/>
      <c r="M63" s="304"/>
      <c r="N63" s="240">
        <f>IF($D63="MWh/yr (LHV)",$E63,$J63*$E63*(1-$L63)/Conversion_kWh_to_MJ)</f>
        <v>0</v>
      </c>
      <c r="O63" s="19"/>
      <c r="Q63" s="12"/>
      <c r="R63" s="12"/>
      <c r="S63" s="306"/>
      <c r="T63" s="473"/>
      <c r="U63" s="300"/>
      <c r="V63" s="240" t="str">
        <f>IFERROR(IF(D63="tonnes/yr", $S63*$E63/($N$9*3.6), $T63*$E63*3.6/($N$9*3.6)), "Unfilled fields to left")</f>
        <v>Unfilled fields to left</v>
      </c>
      <c r="X63" s="65"/>
    </row>
    <row r="64" spans="2:25" s="14" customFormat="1">
      <c r="B64" s="64"/>
      <c r="C64" s="15"/>
      <c r="D64" s="177"/>
      <c r="E64" s="35"/>
      <c r="F64" s="21"/>
      <c r="G64" s="21"/>
      <c r="H64" s="21"/>
      <c r="I64" s="21"/>
      <c r="J64" s="304"/>
      <c r="K64" s="304"/>
      <c r="L64" s="304"/>
      <c r="M64" s="304"/>
      <c r="N64" s="240">
        <f>IF($D64="MWh/yr (LHV)",$E64,$J64*$E64*(1-$L64)/Conversion_kWh_to_MJ)</f>
        <v>0</v>
      </c>
      <c r="O64" s="19"/>
      <c r="Q64" s="12"/>
      <c r="R64" s="12"/>
      <c r="S64" s="306"/>
      <c r="T64" s="473"/>
      <c r="U64" s="300"/>
      <c r="V64" s="240" t="str">
        <f>IFERROR(IF(D64="tonnes/yr", $S64*$E64/($N$9*3.6), $T64*$E64*3.6/($N$9*3.6)), "Unfilled fields to left")</f>
        <v>Unfilled fields to left</v>
      </c>
      <c r="X64" s="65"/>
    </row>
    <row r="65" spans="2:25" s="14" customFormat="1">
      <c r="B65" s="64"/>
      <c r="C65" s="15"/>
      <c r="D65" s="177"/>
      <c r="E65" s="35"/>
      <c r="F65" s="21"/>
      <c r="G65" s="21"/>
      <c r="H65" s="21"/>
      <c r="I65" s="21"/>
      <c r="J65" s="304"/>
      <c r="K65" s="304"/>
      <c r="L65" s="304"/>
      <c r="M65" s="304"/>
      <c r="N65" s="240">
        <f>IF($D65="MWh/yr (LHV)",$E65,$J65*$E65*(1-$L65)/Conversion_kWh_to_MJ)</f>
        <v>0</v>
      </c>
      <c r="O65" s="19"/>
      <c r="Q65" s="12"/>
      <c r="R65" s="12"/>
      <c r="S65" s="306"/>
      <c r="T65" s="473"/>
      <c r="U65" s="300"/>
      <c r="V65" s="240" t="str">
        <f>IFERROR(IF(D65="tonnes/yr", $S65*$E65/($N$9*3.6), $T65*$E65*3.6/($N$9*3.6)), "Unfilled fields to left")</f>
        <v>Unfilled fields to left</v>
      </c>
      <c r="X65" s="65"/>
    </row>
    <row r="66" spans="2:25" s="14" customFormat="1">
      <c r="B66" s="68"/>
      <c r="C66" s="69"/>
      <c r="D66" s="69"/>
      <c r="E66" s="141"/>
      <c r="F66" s="70"/>
      <c r="G66" s="70"/>
      <c r="H66" s="71"/>
      <c r="I66" s="71"/>
      <c r="J66" s="73"/>
      <c r="K66" s="73"/>
      <c r="L66" s="19"/>
      <c r="M66" s="19"/>
      <c r="N66" s="73"/>
      <c r="O66" s="12"/>
      <c r="Q66" s="12"/>
      <c r="R66" s="12"/>
      <c r="S66" s="73"/>
      <c r="T66" s="73"/>
      <c r="U66" s="73"/>
      <c r="V66" s="73"/>
      <c r="X66" s="70"/>
    </row>
    <row r="67" spans="2:25" s="14" customFormat="1" ht="16.5">
      <c r="B67" s="144" t="s">
        <v>132</v>
      </c>
      <c r="C67" s="158"/>
      <c r="D67" s="158"/>
      <c r="E67" s="495"/>
      <c r="F67" s="159"/>
      <c r="G67" s="160"/>
      <c r="H67" s="159"/>
      <c r="I67" s="159"/>
      <c r="J67" s="305"/>
      <c r="K67" s="305"/>
      <c r="L67" s="305"/>
      <c r="M67" s="305"/>
      <c r="N67" s="305"/>
      <c r="O67" s="305"/>
      <c r="P67" s="305"/>
      <c r="Q67" s="305"/>
      <c r="R67" s="305"/>
      <c r="S67" s="305"/>
      <c r="T67" s="305"/>
      <c r="U67" s="305"/>
      <c r="V67" s="152">
        <f>SUM(V68:V75)</f>
        <v>0</v>
      </c>
      <c r="X67" s="70"/>
    </row>
    <row r="68" spans="2:25" s="14" customFormat="1">
      <c r="B68" s="184" t="s">
        <v>1120</v>
      </c>
      <c r="C68" s="182" t="s">
        <v>1121</v>
      </c>
      <c r="D68" s="177" t="s">
        <v>425</v>
      </c>
      <c r="E68" s="35"/>
      <c r="F68" s="21"/>
      <c r="G68" s="21"/>
      <c r="H68" s="21"/>
      <c r="I68" s="21"/>
      <c r="J68" s="304"/>
      <c r="K68" s="304"/>
      <c r="L68" s="304"/>
      <c r="M68" s="304"/>
      <c r="N68" s="240">
        <f t="shared" ref="N68:N75" si="11">IF($D68="MWh/yr (LHV)",$E68,$J68*$E68*(1-$L68)/Conversion_kWh_to_MJ)</f>
        <v>0</v>
      </c>
      <c r="O68" s="12"/>
      <c r="Q68" s="12"/>
      <c r="R68" s="12"/>
      <c r="S68" s="35">
        <v>28000</v>
      </c>
      <c r="T68" s="514"/>
      <c r="U68" s="35" t="s">
        <v>1107</v>
      </c>
      <c r="V68" s="240" t="str">
        <f t="shared" ref="V68:V75" si="12">IFERROR(IF(D68="tonnes/yr", $S68*$E68/($N$9*3.6), $T68*$E68*3.6/($N$9*3.6)), "Unfilled fields to left")</f>
        <v>Unfilled fields to left</v>
      </c>
      <c r="X68" s="21"/>
    </row>
    <row r="69" spans="2:25" s="14" customFormat="1">
      <c r="B69" s="185" t="s">
        <v>1122</v>
      </c>
      <c r="C69" s="182" t="s">
        <v>1123</v>
      </c>
      <c r="D69" s="177" t="s">
        <v>425</v>
      </c>
      <c r="E69" s="35"/>
      <c r="F69" s="65"/>
      <c r="G69" s="65"/>
      <c r="H69" s="66"/>
      <c r="I69" s="66"/>
      <c r="J69" s="306"/>
      <c r="K69" s="306"/>
      <c r="L69" s="304"/>
      <c r="M69" s="304"/>
      <c r="N69" s="240">
        <f t="shared" si="11"/>
        <v>0</v>
      </c>
      <c r="O69" s="19"/>
      <c r="Q69" s="12"/>
      <c r="R69" s="12"/>
      <c r="S69" s="35">
        <v>265000</v>
      </c>
      <c r="T69" s="514"/>
      <c r="U69" s="479" t="s">
        <v>1107</v>
      </c>
      <c r="V69" s="240" t="str">
        <f t="shared" si="12"/>
        <v>Unfilled fields to left</v>
      </c>
      <c r="X69" s="65"/>
    </row>
    <row r="70" spans="2:25" s="14" customFormat="1">
      <c r="B70" s="185" t="s">
        <v>1124</v>
      </c>
      <c r="C70" s="182" t="s">
        <v>1125</v>
      </c>
      <c r="D70" s="177" t="s">
        <v>425</v>
      </c>
      <c r="E70" s="35"/>
      <c r="F70" s="65"/>
      <c r="G70" s="65"/>
      <c r="H70" s="66"/>
      <c r="I70" s="66"/>
      <c r="J70" s="306"/>
      <c r="K70" s="306"/>
      <c r="L70" s="304"/>
      <c r="M70" s="304"/>
      <c r="N70" s="240">
        <f t="shared" si="11"/>
        <v>0</v>
      </c>
      <c r="O70" s="19"/>
      <c r="Q70" s="12"/>
      <c r="R70" s="19"/>
      <c r="S70" s="35">
        <v>23500000</v>
      </c>
      <c r="T70" s="514"/>
      <c r="U70" s="479" t="s">
        <v>1107</v>
      </c>
      <c r="V70" s="240" t="str">
        <f t="shared" si="12"/>
        <v>Unfilled fields to left</v>
      </c>
      <c r="X70" s="65"/>
    </row>
    <row r="71" spans="2:25" s="14" customFormat="1">
      <c r="B71" s="185" t="s">
        <v>1126</v>
      </c>
      <c r="C71" s="182" t="s">
        <v>1127</v>
      </c>
      <c r="D71" s="177" t="s">
        <v>425</v>
      </c>
      <c r="E71" s="35"/>
      <c r="F71" s="65"/>
      <c r="G71" s="65"/>
      <c r="H71" s="66"/>
      <c r="I71" s="66"/>
      <c r="J71" s="306"/>
      <c r="K71" s="306"/>
      <c r="L71" s="304"/>
      <c r="M71" s="304"/>
      <c r="N71" s="240">
        <f t="shared" si="11"/>
        <v>0</v>
      </c>
      <c r="O71" s="19"/>
      <c r="Q71" s="12"/>
      <c r="R71" s="19"/>
      <c r="S71" s="515" t="s">
        <v>1128</v>
      </c>
      <c r="T71" s="514"/>
      <c r="U71" s="479"/>
      <c r="V71" s="240" t="str">
        <f t="shared" si="12"/>
        <v>Unfilled fields to left</v>
      </c>
      <c r="X71" s="65"/>
    </row>
    <row r="72" spans="2:25" s="14" customFormat="1">
      <c r="B72" s="185" t="s">
        <v>1126</v>
      </c>
      <c r="C72" s="182" t="s">
        <v>1127</v>
      </c>
      <c r="D72" s="177" t="s">
        <v>425</v>
      </c>
      <c r="E72" s="35"/>
      <c r="F72" s="65"/>
      <c r="G72" s="65"/>
      <c r="H72" s="66"/>
      <c r="I72" s="66"/>
      <c r="J72" s="306"/>
      <c r="K72" s="306"/>
      <c r="L72" s="304"/>
      <c r="M72" s="304"/>
      <c r="N72" s="240">
        <f t="shared" si="11"/>
        <v>0</v>
      </c>
      <c r="O72" s="19"/>
      <c r="Q72" s="19"/>
      <c r="R72" s="19"/>
      <c r="S72" s="515" t="s">
        <v>1128</v>
      </c>
      <c r="T72" s="514"/>
      <c r="U72" s="479"/>
      <c r="V72" s="240" t="str">
        <f t="shared" si="12"/>
        <v>Unfilled fields to left</v>
      </c>
      <c r="X72" s="65"/>
    </row>
    <row r="73" spans="2:25" s="14" customFormat="1">
      <c r="B73" s="185" t="s">
        <v>1126</v>
      </c>
      <c r="C73" s="182" t="s">
        <v>1127</v>
      </c>
      <c r="D73" s="177" t="s">
        <v>425</v>
      </c>
      <c r="E73" s="35"/>
      <c r="F73" s="65"/>
      <c r="G73" s="65"/>
      <c r="H73" s="66"/>
      <c r="I73" s="66"/>
      <c r="J73" s="306"/>
      <c r="K73" s="306"/>
      <c r="L73" s="304"/>
      <c r="M73" s="304"/>
      <c r="N73" s="240">
        <f t="shared" si="11"/>
        <v>0</v>
      </c>
      <c r="O73" s="19"/>
      <c r="P73" s="12"/>
      <c r="Q73" s="12"/>
      <c r="R73" s="12"/>
      <c r="S73" s="515" t="s">
        <v>1128</v>
      </c>
      <c r="T73" s="514"/>
      <c r="U73" s="479"/>
      <c r="V73" s="240" t="str">
        <f t="shared" si="12"/>
        <v>Unfilled fields to left</v>
      </c>
      <c r="X73" s="65"/>
    </row>
    <row r="74" spans="2:25" s="14" customFormat="1">
      <c r="B74" s="64"/>
      <c r="C74" s="15"/>
      <c r="D74" s="178"/>
      <c r="E74" s="496"/>
      <c r="F74" s="65"/>
      <c r="G74" s="65"/>
      <c r="H74" s="66"/>
      <c r="I74" s="66"/>
      <c r="J74" s="306"/>
      <c r="K74" s="306"/>
      <c r="L74" s="304"/>
      <c r="M74" s="304"/>
      <c r="N74" s="240">
        <f t="shared" si="11"/>
        <v>0</v>
      </c>
      <c r="O74" s="19"/>
      <c r="P74" s="12"/>
      <c r="Q74" s="12"/>
      <c r="R74" s="12"/>
      <c r="S74" s="300"/>
      <c r="T74" s="473"/>
      <c r="U74" s="306"/>
      <c r="V74" s="240" t="str">
        <f t="shared" si="12"/>
        <v>Unfilled fields to left</v>
      </c>
      <c r="X74" s="65"/>
    </row>
    <row r="75" spans="2:25" s="14" customFormat="1">
      <c r="B75" s="64"/>
      <c r="C75" s="15"/>
      <c r="D75" s="178"/>
      <c r="E75" s="496"/>
      <c r="F75" s="65"/>
      <c r="G75" s="65"/>
      <c r="H75" s="66"/>
      <c r="I75" s="66"/>
      <c r="J75" s="306"/>
      <c r="K75" s="306"/>
      <c r="L75" s="304"/>
      <c r="M75" s="304"/>
      <c r="N75" s="240">
        <f t="shared" si="11"/>
        <v>0</v>
      </c>
      <c r="O75" s="19"/>
      <c r="P75" s="12"/>
      <c r="Q75" s="12"/>
      <c r="R75" s="12"/>
      <c r="S75" s="300"/>
      <c r="T75" s="473"/>
      <c r="U75" s="306"/>
      <c r="V75" s="240" t="str">
        <f t="shared" si="12"/>
        <v>Unfilled fields to left</v>
      </c>
      <c r="X75" s="65"/>
    </row>
    <row r="76" spans="2:25">
      <c r="C76" s="17"/>
      <c r="D76" s="17"/>
      <c r="E76" s="139"/>
      <c r="F76" s="17"/>
      <c r="H76" s="18"/>
      <c r="I76" s="18"/>
      <c r="J76" s="40"/>
      <c r="K76" s="40"/>
      <c r="L76" s="12"/>
      <c r="M76" s="12"/>
      <c r="N76" s="40"/>
      <c r="P76" s="12"/>
      <c r="S76" s="40"/>
      <c r="T76" s="40"/>
      <c r="U76" s="40"/>
      <c r="V76" s="40"/>
      <c r="Y76" s="12"/>
    </row>
    <row r="77" spans="2:25">
      <c r="E77" s="113"/>
      <c r="I77" s="12"/>
      <c r="J77" s="107"/>
      <c r="K77" s="107"/>
      <c r="L77" s="73"/>
      <c r="M77" s="73"/>
      <c r="N77" s="107"/>
      <c r="P77" s="12"/>
      <c r="S77" s="39"/>
      <c r="T77" s="39"/>
      <c r="U77" s="38" t="s">
        <v>1162</v>
      </c>
      <c r="V77" s="152">
        <f>IF(OR(COUNTIF(Initial_questions!$E$112,"Default"), COUNTIF(Initial_questions!$E$114:$E$115,"Default")),"Default data selected",SUM(V20,V33,V45,V52,V60,V67))</f>
        <v>0</v>
      </c>
      <c r="Y77" s="12"/>
    </row>
    <row r="78" spans="2:25">
      <c r="B78" s="144" t="s">
        <v>133</v>
      </c>
      <c r="C78" s="158"/>
      <c r="D78" s="158"/>
      <c r="E78" s="495"/>
      <c r="I78" s="12"/>
      <c r="J78" s="107"/>
      <c r="K78" s="107"/>
      <c r="L78" s="73"/>
      <c r="M78" s="73"/>
      <c r="N78" s="107"/>
      <c r="P78" s="12"/>
      <c r="S78" s="107"/>
      <c r="T78" s="107"/>
      <c r="U78" s="107"/>
      <c r="V78" s="12"/>
      <c r="Y78" s="12"/>
    </row>
    <row r="79" spans="2:25">
      <c r="B79" s="16" t="s">
        <v>1134</v>
      </c>
      <c r="C79" s="15" t="s">
        <v>1135</v>
      </c>
      <c r="D79" s="15" t="s">
        <v>1136</v>
      </c>
      <c r="E79" s="497"/>
      <c r="G79" s="19"/>
      <c r="H79" s="12"/>
      <c r="I79" s="12"/>
      <c r="J79" s="107"/>
      <c r="K79" s="107"/>
      <c r="L79" s="12"/>
      <c r="M79" s="12"/>
      <c r="N79" s="107"/>
      <c r="P79" s="12"/>
      <c r="S79" s="107"/>
      <c r="T79" s="107"/>
      <c r="U79" s="107"/>
      <c r="V79" s="12"/>
      <c r="X79" s="25"/>
      <c r="Y79" s="12"/>
    </row>
    <row r="80" spans="2:25">
      <c r="B80" s="16" t="s">
        <v>1139</v>
      </c>
      <c r="C80" s="15" t="s">
        <v>1184</v>
      </c>
      <c r="D80" s="15" t="s">
        <v>897</v>
      </c>
      <c r="E80" s="507">
        <f>Initial_questions!$E$102</f>
        <v>0</v>
      </c>
      <c r="I80" s="12"/>
      <c r="J80" s="107"/>
      <c r="K80" s="107"/>
      <c r="L80" s="12"/>
      <c r="M80" s="12"/>
      <c r="N80" s="107"/>
      <c r="P80" s="12"/>
      <c r="S80" s="107"/>
      <c r="T80" s="107"/>
      <c r="U80" s="107"/>
      <c r="V80" s="12"/>
      <c r="X80" s="25"/>
      <c r="Y80" s="12"/>
    </row>
    <row r="81" spans="2:25">
      <c r="B81" s="16"/>
      <c r="C81" s="15"/>
      <c r="D81" s="15"/>
      <c r="E81" s="507"/>
      <c r="I81" s="12"/>
      <c r="J81" s="107"/>
      <c r="K81" s="107"/>
      <c r="L81" s="12"/>
      <c r="M81" s="12"/>
      <c r="N81" s="107"/>
      <c r="P81" s="12"/>
      <c r="S81" s="107"/>
      <c r="T81" s="107"/>
      <c r="U81" s="107"/>
      <c r="V81" s="12"/>
      <c r="X81" s="25"/>
      <c r="Y81" s="12"/>
    </row>
    <row r="82" spans="2:25">
      <c r="B82" s="16"/>
      <c r="C82" s="15"/>
      <c r="D82" s="15"/>
      <c r="E82" s="497"/>
      <c r="H82" s="12"/>
      <c r="I82" s="12"/>
      <c r="J82" s="107"/>
      <c r="K82" s="107"/>
      <c r="L82" s="12"/>
      <c r="M82" s="12"/>
      <c r="N82" s="107"/>
      <c r="P82" s="12"/>
      <c r="S82" s="39"/>
      <c r="T82" s="39"/>
      <c r="U82" s="39"/>
      <c r="X82" s="25"/>
    </row>
    <row r="83" spans="2:25">
      <c r="E83" s="113"/>
      <c r="H83" s="12"/>
      <c r="I83" s="12"/>
      <c r="J83" s="107"/>
      <c r="K83" s="107"/>
      <c r="L83" s="141"/>
      <c r="M83" s="141"/>
      <c r="N83" s="107"/>
      <c r="P83" s="12"/>
      <c r="S83" s="39"/>
      <c r="T83" s="39"/>
      <c r="U83" s="39"/>
    </row>
    <row r="84" spans="2:25">
      <c r="E84" s="113"/>
      <c r="J84" s="39"/>
      <c r="K84" s="39"/>
      <c r="L84" s="12"/>
      <c r="M84" s="12"/>
      <c r="P84" s="12"/>
      <c r="S84" s="39"/>
      <c r="T84" s="39"/>
      <c r="U84" s="39"/>
    </row>
    <row r="85" spans="2:25">
      <c r="E85" s="113"/>
      <c r="J85" s="39"/>
      <c r="K85" s="39"/>
      <c r="L85" s="12"/>
      <c r="M85" s="12"/>
      <c r="P85" s="12"/>
      <c r="S85" s="39"/>
      <c r="T85" s="39"/>
      <c r="U85" s="39"/>
    </row>
    <row r="86" spans="2:25">
      <c r="E86" s="113"/>
      <c r="J86" s="39"/>
      <c r="K86" s="39"/>
      <c r="L86" s="12"/>
      <c r="M86" s="12"/>
      <c r="P86" s="12"/>
      <c r="S86" s="39"/>
      <c r="T86" s="39"/>
      <c r="U86" s="39"/>
    </row>
    <row r="87" spans="2:25">
      <c r="E87" s="113"/>
      <c r="J87" s="39"/>
      <c r="K87" s="39"/>
      <c r="L87" s="12"/>
      <c r="M87" s="12"/>
      <c r="P87" s="12"/>
      <c r="S87" s="39"/>
      <c r="T87" s="39"/>
      <c r="U87" s="39"/>
    </row>
    <row r="88" spans="2:25">
      <c r="E88" s="113"/>
      <c r="J88" s="39"/>
      <c r="K88" s="39"/>
      <c r="L88" s="12"/>
      <c r="M88" s="12"/>
      <c r="P88" s="12"/>
      <c r="S88" s="39"/>
      <c r="T88" s="39"/>
      <c r="U88" s="39"/>
    </row>
    <row r="89" spans="2:25">
      <c r="E89" s="113"/>
      <c r="J89" s="39"/>
      <c r="K89" s="39"/>
      <c r="L89" s="12"/>
      <c r="M89" s="12"/>
      <c r="P89" s="12"/>
      <c r="S89" s="39"/>
      <c r="T89" s="39"/>
      <c r="U89" s="39"/>
    </row>
    <row r="90" spans="2:25">
      <c r="E90" s="113"/>
      <c r="J90" s="39"/>
      <c r="K90" s="39"/>
      <c r="L90" s="12"/>
      <c r="M90" s="12"/>
      <c r="P90" s="12"/>
      <c r="S90" s="39"/>
      <c r="T90" s="39"/>
      <c r="U90" s="39"/>
    </row>
    <row r="91" spans="2:25">
      <c r="E91" s="113"/>
      <c r="J91" s="39"/>
      <c r="K91" s="39"/>
      <c r="L91" s="12"/>
      <c r="M91" s="12"/>
      <c r="P91" s="12"/>
      <c r="S91" s="39"/>
      <c r="T91" s="39"/>
      <c r="U91" s="39"/>
    </row>
    <row r="92" spans="2:25">
      <c r="E92" s="113"/>
      <c r="J92" s="39"/>
      <c r="K92" s="39"/>
      <c r="L92" s="12"/>
      <c r="M92" s="12"/>
      <c r="S92" s="39"/>
      <c r="T92" s="39"/>
      <c r="U92" s="39"/>
    </row>
    <row r="93" spans="2:25">
      <c r="E93" s="113"/>
      <c r="J93" s="39"/>
      <c r="K93" s="39"/>
      <c r="L93" s="12"/>
      <c r="M93" s="12"/>
      <c r="Q93" s="19"/>
      <c r="S93" s="39"/>
      <c r="T93" s="39"/>
      <c r="U93" s="39"/>
    </row>
    <row r="94" spans="2:25">
      <c r="E94" s="113"/>
      <c r="J94" s="39"/>
      <c r="K94" s="39"/>
      <c r="L94" s="12"/>
      <c r="M94" s="12"/>
      <c r="Q94" s="19"/>
      <c r="S94" s="39"/>
      <c r="T94" s="39"/>
      <c r="U94" s="39"/>
    </row>
    <row r="95" spans="2:25">
      <c r="E95" s="113"/>
      <c r="J95" s="39"/>
      <c r="K95" s="39"/>
      <c r="L95" s="12"/>
      <c r="M95" s="12"/>
      <c r="Q95" s="19"/>
      <c r="S95" s="39"/>
      <c r="T95" s="39"/>
      <c r="U95" s="39"/>
    </row>
    <row r="96" spans="2:25">
      <c r="E96" s="113"/>
      <c r="J96" s="39"/>
      <c r="K96" s="39"/>
      <c r="L96" s="12"/>
      <c r="M96" s="12"/>
      <c r="Q96" s="19"/>
      <c r="S96" s="39"/>
      <c r="T96" s="39"/>
      <c r="U96" s="39"/>
    </row>
    <row r="97" spans="5:21">
      <c r="E97" s="113"/>
      <c r="J97" s="39"/>
      <c r="K97" s="39"/>
      <c r="L97" s="12"/>
      <c r="M97" s="12"/>
      <c r="Q97" s="19"/>
      <c r="S97" s="39"/>
      <c r="T97" s="39"/>
      <c r="U97" s="39"/>
    </row>
    <row r="98" spans="5:21">
      <c r="E98" s="113"/>
      <c r="J98" s="39"/>
      <c r="K98" s="39"/>
      <c r="L98" s="12"/>
      <c r="M98" s="12"/>
      <c r="Q98" s="19"/>
      <c r="S98" s="39"/>
      <c r="T98" s="39"/>
      <c r="U98" s="39"/>
    </row>
    <row r="99" spans="5:21">
      <c r="E99" s="113"/>
      <c r="J99" s="39"/>
      <c r="K99" s="39"/>
      <c r="L99" s="12"/>
      <c r="M99" s="12"/>
      <c r="Q99" s="19"/>
      <c r="S99" s="39"/>
      <c r="T99" s="39"/>
      <c r="U99" s="39"/>
    </row>
    <row r="100" spans="5:21">
      <c r="E100" s="113"/>
      <c r="J100" s="39"/>
      <c r="K100" s="39"/>
      <c r="L100" s="12"/>
      <c r="M100" s="12"/>
      <c r="S100" s="39"/>
      <c r="T100" s="39"/>
      <c r="U100" s="39"/>
    </row>
    <row r="101" spans="5:21">
      <c r="E101" s="113"/>
      <c r="J101" s="39"/>
      <c r="K101" s="39"/>
      <c r="L101" s="107"/>
      <c r="M101" s="107"/>
      <c r="S101" s="39"/>
      <c r="T101" s="39"/>
      <c r="U101" s="39"/>
    </row>
    <row r="102" spans="5:21">
      <c r="E102" s="113"/>
      <c r="J102" s="39"/>
      <c r="K102" s="39"/>
      <c r="L102" s="107"/>
      <c r="M102" s="107"/>
      <c r="S102" s="39"/>
      <c r="T102" s="39"/>
      <c r="U102" s="39"/>
    </row>
    <row r="103" spans="5:21">
      <c r="E103" s="113"/>
      <c r="J103" s="39"/>
      <c r="K103" s="39"/>
      <c r="L103" s="107"/>
      <c r="M103" s="107"/>
      <c r="S103" s="39"/>
      <c r="T103" s="39"/>
      <c r="U103" s="39"/>
    </row>
    <row r="104" spans="5:21">
      <c r="E104" s="113"/>
      <c r="J104" s="39"/>
      <c r="K104" s="39"/>
      <c r="L104" s="107"/>
      <c r="M104" s="107"/>
      <c r="S104" s="39"/>
      <c r="T104" s="39"/>
      <c r="U104" s="39"/>
    </row>
    <row r="105" spans="5:21">
      <c r="E105" s="113"/>
      <c r="J105" s="39"/>
      <c r="K105" s="39"/>
      <c r="L105" s="107"/>
      <c r="M105" s="107"/>
      <c r="S105" s="39"/>
      <c r="T105" s="39"/>
      <c r="U105" s="39"/>
    </row>
    <row r="106" spans="5:21">
      <c r="E106" s="113"/>
      <c r="J106" s="39"/>
      <c r="K106" s="39"/>
      <c r="L106" s="107"/>
      <c r="M106" s="107"/>
      <c r="S106" s="39"/>
      <c r="T106" s="39"/>
      <c r="U106" s="39"/>
    </row>
    <row r="107" spans="5:21">
      <c r="E107" s="113"/>
      <c r="J107" s="39"/>
      <c r="K107" s="39"/>
      <c r="L107" s="107"/>
      <c r="M107" s="107"/>
      <c r="S107" s="39"/>
      <c r="T107" s="39"/>
      <c r="U107" s="39"/>
    </row>
    <row r="108" spans="5:21">
      <c r="E108" s="113"/>
      <c r="J108" s="39"/>
      <c r="K108" s="39"/>
      <c r="L108" s="107"/>
      <c r="M108" s="107"/>
      <c r="S108" s="39"/>
      <c r="T108" s="39"/>
      <c r="U108" s="39"/>
    </row>
    <row r="109" spans="5:21">
      <c r="E109" s="113"/>
      <c r="J109" s="39"/>
      <c r="K109" s="39"/>
      <c r="L109" s="107"/>
      <c r="M109" s="107"/>
      <c r="S109" s="39"/>
      <c r="T109" s="39"/>
      <c r="U109" s="39"/>
    </row>
    <row r="110" spans="5:21">
      <c r="E110" s="113"/>
      <c r="J110" s="39"/>
      <c r="K110" s="39"/>
      <c r="L110" s="107"/>
      <c r="M110" s="107"/>
      <c r="S110" s="39"/>
      <c r="T110" s="39"/>
      <c r="U110" s="39"/>
    </row>
    <row r="111" spans="5:21">
      <c r="E111" s="113"/>
      <c r="J111" s="39"/>
      <c r="K111" s="39"/>
      <c r="L111" s="39"/>
      <c r="M111" s="39"/>
      <c r="S111" s="39"/>
      <c r="T111" s="39"/>
      <c r="U111" s="39"/>
    </row>
    <row r="112" spans="5:21">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L123" s="39"/>
      <c r="M123" s="39"/>
      <c r="S123" s="39"/>
      <c r="T123" s="39"/>
      <c r="U123" s="39"/>
    </row>
    <row r="124" spans="5:21">
      <c r="E124" s="113"/>
      <c r="L124" s="39"/>
      <c r="M124" s="39"/>
      <c r="S124" s="39"/>
      <c r="T124" s="39"/>
      <c r="U124" s="39"/>
    </row>
    <row r="125" spans="5:21">
      <c r="E125" s="113"/>
      <c r="L125" s="39"/>
      <c r="M125" s="39"/>
      <c r="S125" s="39"/>
      <c r="T125" s="39"/>
      <c r="U125" s="39"/>
    </row>
    <row r="126" spans="5:21">
      <c r="E126" s="113"/>
      <c r="L126" s="39"/>
      <c r="M126" s="39"/>
      <c r="S126" s="39"/>
      <c r="T126" s="39"/>
      <c r="U126" s="39"/>
    </row>
    <row r="127" spans="5:21">
      <c r="E127" s="113"/>
      <c r="S127" s="39"/>
      <c r="T127" s="39"/>
      <c r="U127" s="39"/>
    </row>
    <row r="128" spans="5:21">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254"/>
      <c r="S148" s="39"/>
      <c r="T148" s="39"/>
      <c r="U148" s="39"/>
    </row>
    <row r="149" spans="5:21">
      <c r="E149" s="254"/>
      <c r="S149" s="39"/>
      <c r="T149" s="39"/>
      <c r="U149" s="39"/>
    </row>
    <row r="150" spans="5:21">
      <c r="E150" s="254"/>
      <c r="S150" s="39"/>
      <c r="T150" s="39"/>
      <c r="U150" s="39"/>
    </row>
    <row r="151" spans="5:21">
      <c r="E151" s="254"/>
      <c r="S151" s="39"/>
      <c r="T151" s="39"/>
      <c r="U151" s="39"/>
    </row>
    <row r="152" spans="5:21">
      <c r="E152" s="254"/>
      <c r="S152" s="39"/>
      <c r="T152" s="39"/>
      <c r="U152" s="39"/>
    </row>
    <row r="153" spans="5:21">
      <c r="E153" s="254"/>
      <c r="S153" s="39"/>
      <c r="T153" s="39"/>
      <c r="U153" s="39"/>
    </row>
    <row r="154" spans="5:21">
      <c r="E154" s="254"/>
      <c r="S154" s="39"/>
      <c r="T154" s="39"/>
      <c r="U154" s="39"/>
    </row>
    <row r="155" spans="5:21">
      <c r="E155" s="254"/>
      <c r="S155" s="39"/>
      <c r="T155" s="39"/>
      <c r="U155" s="39"/>
    </row>
    <row r="156" spans="5:21">
      <c r="E156" s="254"/>
      <c r="S156" s="39"/>
      <c r="T156" s="39"/>
      <c r="U156" s="39"/>
    </row>
    <row r="157" spans="5:21">
      <c r="E157" s="254"/>
      <c r="S157" s="39"/>
      <c r="T157" s="39"/>
      <c r="U157" s="39"/>
    </row>
    <row r="158" spans="5:21">
      <c r="E158" s="254"/>
      <c r="S158" s="39"/>
      <c r="T158" s="39"/>
      <c r="U158" s="39"/>
    </row>
    <row r="159" spans="5:21">
      <c r="E159" s="254"/>
      <c r="S159" s="39"/>
      <c r="T159" s="39"/>
      <c r="U159" s="39"/>
    </row>
    <row r="160" spans="5:21">
      <c r="E160" s="254"/>
      <c r="S160" s="39"/>
      <c r="T160" s="39"/>
      <c r="U160" s="39"/>
    </row>
    <row r="161" spans="5:21">
      <c r="E161" s="254"/>
      <c r="S161" s="39"/>
      <c r="T161" s="39"/>
      <c r="U161" s="39"/>
    </row>
    <row r="162" spans="5:21">
      <c r="E162" s="254"/>
      <c r="S162" s="39"/>
      <c r="T162" s="39"/>
      <c r="U162" s="39"/>
    </row>
    <row r="163" spans="5:21">
      <c r="E163" s="254"/>
      <c r="S163" s="39"/>
      <c r="T163" s="39"/>
      <c r="U163" s="39"/>
    </row>
    <row r="164" spans="5:21">
      <c r="E164" s="254"/>
      <c r="S164" s="39"/>
      <c r="T164" s="39"/>
      <c r="U164" s="39"/>
    </row>
    <row r="165" spans="5:21">
      <c r="E165" s="254"/>
      <c r="S165" s="39"/>
      <c r="T165" s="39"/>
      <c r="U165" s="39"/>
    </row>
    <row r="166" spans="5:21">
      <c r="E166" s="254"/>
      <c r="S166" s="39"/>
      <c r="T166" s="39"/>
      <c r="U166" s="39"/>
    </row>
    <row r="167" spans="5:21">
      <c r="E167" s="254"/>
      <c r="S167" s="39"/>
      <c r="T167" s="39"/>
      <c r="U167" s="39"/>
    </row>
    <row r="168" spans="5:21">
      <c r="E168" s="254"/>
      <c r="S168" s="39"/>
      <c r="T168" s="39"/>
      <c r="U168" s="39"/>
    </row>
    <row r="169" spans="5:21">
      <c r="E169" s="254"/>
      <c r="S169" s="39"/>
      <c r="T169" s="39"/>
      <c r="U169" s="39"/>
    </row>
    <row r="170" spans="5:21">
      <c r="E170" s="254"/>
      <c r="S170" s="39"/>
      <c r="T170" s="39"/>
      <c r="U170" s="39"/>
    </row>
    <row r="171" spans="5:21">
      <c r="E171" s="254"/>
      <c r="S171" s="39"/>
      <c r="T171" s="39"/>
      <c r="U171" s="39"/>
    </row>
    <row r="172" spans="5:21">
      <c r="E172" s="254"/>
      <c r="S172" s="39"/>
      <c r="T172" s="39"/>
      <c r="U172" s="39"/>
    </row>
    <row r="173" spans="5:21">
      <c r="E173" s="254"/>
      <c r="S173" s="39"/>
      <c r="T173" s="39"/>
      <c r="U173" s="39"/>
    </row>
    <row r="174" spans="5:21">
      <c r="E174" s="254"/>
      <c r="S174" s="39"/>
      <c r="T174" s="39"/>
      <c r="U174" s="39"/>
    </row>
    <row r="175" spans="5:21">
      <c r="E175" s="254"/>
      <c r="S175" s="39"/>
      <c r="T175" s="39"/>
      <c r="U175" s="39"/>
    </row>
    <row r="176" spans="5:21">
      <c r="E176" s="254"/>
      <c r="S176" s="39"/>
      <c r="T176" s="39"/>
      <c r="U176" s="39"/>
    </row>
    <row r="177" spans="5:21">
      <c r="E177" s="254"/>
      <c r="S177" s="39"/>
      <c r="T177" s="39"/>
      <c r="U177" s="39"/>
    </row>
    <row r="178" spans="5:21">
      <c r="E178" s="254"/>
      <c r="S178" s="39"/>
      <c r="T178" s="39"/>
      <c r="U178" s="39"/>
    </row>
    <row r="179" spans="5:21">
      <c r="E179" s="254"/>
      <c r="S179" s="39"/>
      <c r="T179" s="39"/>
      <c r="U179" s="39"/>
    </row>
    <row r="180" spans="5:21">
      <c r="E180" s="254"/>
      <c r="S180" s="39"/>
      <c r="T180" s="39"/>
      <c r="U180" s="39"/>
    </row>
    <row r="181" spans="5:21">
      <c r="E181" s="254"/>
      <c r="S181" s="39"/>
      <c r="T181" s="39"/>
      <c r="U181" s="39"/>
    </row>
    <row r="182" spans="5:21">
      <c r="E182" s="254"/>
      <c r="S182" s="39"/>
      <c r="T182" s="39"/>
      <c r="U182" s="39"/>
    </row>
    <row r="183" spans="5:21">
      <c r="E183" s="254"/>
      <c r="S183" s="39"/>
      <c r="T183" s="39"/>
      <c r="U183" s="39"/>
    </row>
    <row r="184" spans="5:21">
      <c r="E184" s="254"/>
      <c r="S184" s="39"/>
      <c r="T184" s="39"/>
      <c r="U184" s="39"/>
    </row>
    <row r="185" spans="5:21">
      <c r="E185" s="254"/>
      <c r="S185" s="39"/>
      <c r="T185" s="39"/>
      <c r="U185" s="39"/>
    </row>
    <row r="186" spans="5:21">
      <c r="E186" s="254"/>
      <c r="S186" s="39"/>
      <c r="T186" s="39"/>
      <c r="U186" s="39"/>
    </row>
    <row r="187" spans="5:21">
      <c r="E187" s="254"/>
      <c r="S187" s="39"/>
      <c r="T187" s="39"/>
      <c r="U187" s="39"/>
    </row>
    <row r="188" spans="5:21">
      <c r="E188" s="254"/>
      <c r="S188" s="39"/>
      <c r="T188" s="39"/>
      <c r="U188" s="39"/>
    </row>
    <row r="189" spans="5:21">
      <c r="E189" s="254"/>
      <c r="S189" s="39"/>
      <c r="T189" s="39"/>
      <c r="U189" s="39"/>
    </row>
    <row r="190" spans="5:21">
      <c r="E190" s="254"/>
    </row>
    <row r="191" spans="5:21">
      <c r="E191" s="254"/>
    </row>
    <row r="192" spans="5:21">
      <c r="E192" s="254"/>
    </row>
    <row r="193" spans="5:5">
      <c r="E193" s="254"/>
    </row>
    <row r="194" spans="5:5">
      <c r="E194" s="254"/>
    </row>
    <row r="195" spans="5:5">
      <c r="E195" s="254"/>
    </row>
    <row r="196" spans="5:5">
      <c r="E196" s="254"/>
    </row>
    <row r="197" spans="5:5">
      <c r="E197" s="254"/>
    </row>
    <row r="198" spans="5:5">
      <c r="E198" s="254"/>
    </row>
    <row r="199" spans="5:5">
      <c r="E199" s="254"/>
    </row>
    <row r="200" spans="5:5">
      <c r="E200" s="254"/>
    </row>
    <row r="201" spans="5:5">
      <c r="E201" s="254"/>
    </row>
    <row r="202" spans="5:5">
      <c r="E202" s="254"/>
    </row>
    <row r="203" spans="5:5">
      <c r="E203" s="254"/>
    </row>
    <row r="204" spans="5:5">
      <c r="E204" s="254"/>
    </row>
    <row r="205" spans="5:5">
      <c r="E205" s="254"/>
    </row>
    <row r="206" spans="5:5">
      <c r="E206" s="254"/>
    </row>
    <row r="207" spans="5:5">
      <c r="E207" s="254"/>
    </row>
    <row r="208" spans="5:5">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sheetData>
  <customSheetViews>
    <customSheetView guid="{F03309BC-D3FA-4CF2-833B-D6D9A95FE1FB}" showGridLines="0" state="hidden">
      <pane xSplit="3" ySplit="5" topLeftCell="H6" activePane="bottomRight" state="frozen"/>
      <selection pane="bottomRight" activeCell="D2" sqref="D2"/>
      <pageMargins left="0" right="0" top="0" bottom="0" header="0" footer="0"/>
    </customSheetView>
    <customSheetView guid="{EECBF9DF-6D77-4263-85DA-71E40216BADD}" showGridLines="0" state="hidden">
      <pane xSplit="3" ySplit="5" topLeftCell="D6" activePane="bottomRight" state="frozen"/>
      <selection pane="bottomRight" activeCell="D1" sqref="D1"/>
      <pageMargins left="0" right="0" top="0" bottom="0" header="0" footer="0"/>
    </customSheetView>
    <customSheetView guid="{1C16EB38-F785-4168-9938-104594734038}" showGridLines="0" state="hidden">
      <pane xSplit="3" ySplit="5" topLeftCell="D6" activePane="bottomRight" state="frozen"/>
      <selection pane="bottomRight" activeCell="D1" sqref="D1"/>
      <pageMargins left="0" right="0" top="0" bottom="0" header="0" footer="0"/>
    </customSheetView>
    <customSheetView guid="{0E935136-9A80-44B6-88D5-61E64D742049}" showGridLines="0" state="hidden">
      <pane xSplit="3" ySplit="5" topLeftCell="D6" activePane="bottomRight" state="frozen"/>
      <selection pane="bottomRight" activeCell="D1" sqref="D1"/>
      <pageMargins left="0" right="0" top="0" bottom="0" header="0" footer="0"/>
    </customSheetView>
    <customSheetView guid="{E6EFD927-84B2-4D06-BB59-59D9DF522DA2}" showGridLines="0">
      <pane xSplit="3" ySplit="5" topLeftCell="D6" activePane="bottomRight" state="frozen"/>
      <selection pane="bottomRight" activeCell="D1" sqref="D1"/>
      <pageMargins left="0" right="0" top="0" bottom="0" header="0" footer="0"/>
    </customSheetView>
    <customSheetView guid="{3F0A4FBA-5323-448F-A023-B3E14C54064C}" showGridLines="0" state="hidden">
      <pane xSplit="3" ySplit="5" topLeftCell="H6" activePane="bottomRight" state="frozen"/>
      <selection pane="bottomRight" activeCell="D2" sqref="D2"/>
      <pageMargins left="0" right="0" top="0" bottom="0" header="0" footer="0"/>
    </customSheetView>
    <customSheetView guid="{D97B1299-69D0-4EE0-B673-CCF74742F96B}" state="hidden">
      <selection activeCell="I2" sqref="I2:K2"/>
      <pageMargins left="0" right="0" top="0" bottom="0" header="0" footer="0"/>
    </customSheetView>
    <customSheetView guid="{F468A2FD-7987-4A9D-8BAE-1AACE523607F}" showGridLines="0" state="hidden">
      <pane xSplit="3" ySplit="5" topLeftCell="D6" activePane="bottomRight" state="frozen"/>
      <selection pane="bottomRight" activeCell="D1" sqref="D1"/>
      <pageMargins left="0" right="0" top="0" bottom="0" header="0" footer="0"/>
    </customSheetView>
    <customSheetView guid="{2D920366-22B2-4182-A65D-0EDBE614FB37}" showGridLines="0">
      <pane xSplit="3" ySplit="5" topLeftCell="D6" activePane="bottomRight" state="frozen"/>
      <selection pane="bottomRight"/>
      <pageMargins left="0" right="0" top="0" bottom="0" header="0" footer="0"/>
    </customSheetView>
  </customSheetViews>
  <mergeCells count="1">
    <mergeCell ref="I2:K2"/>
  </mergeCells>
  <dataValidations count="5">
    <dataValidation type="list" allowBlank="1" showInputMessage="1" showErrorMessage="1" sqref="D20:D30 D61:D65 D46:D51 D53:D58 D68:D75 D34:D44 D8 D10:D17" xr:uid="{B6CD8565-D0A8-4851-9D08-6AE0AB038D35}">
      <formula1>Flow_units</formula1>
    </dataValidation>
    <dataValidation type="custom" allowBlank="1" showInputMessage="1" showErrorMessage="1" error="Please do not change this formula" prompt="Please do not change this formula" sqref="W4 V6:V1048576 V1:V4 P4 P33:R33 Q1:R4 Q68:R1048576 P20 Q14:R32 P67:R67 Q53:R59 P60:R60 Q61:R66 P52:R52 P45:R45 Q46:R51 O6:O1048576 Q34:R44 Q6:Q13 R6:R8 N1:N1048576 O1:O4 S5:V5" xr:uid="{F0C3B577-2BB9-47A9-96FB-83EB6BA8E137}">
      <formula1>"Please do not change this formula"</formula1>
    </dataValidation>
    <dataValidation type="custom" allowBlank="1" showInputMessage="1" showErrorMessage="1" error="Please do not change" sqref="R9:R13" xr:uid="{D8532833-B90A-44A4-ABE8-1605E7E0CF49}">
      <formula1>"Please do not change"</formula1>
    </dataValidation>
    <dataValidation type="custom" allowBlank="1" showInputMessage="1" showErrorMessage="1" error="Please do not change this formula" sqref="O5:R5" xr:uid="{5543A5BE-CEF1-4671-9A2D-99A9228A93DE}">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59 S68:T76" xr:uid="{4EDBB5DB-C55D-4789-84D4-A72C1BC786FA}">
      <formula1>0</formula1>
    </dataValidation>
  </dataValidations>
  <hyperlinks>
    <hyperlink ref="I2:J2" location="GHG_BIOMASS_GASIFICATION!A1" display="Go to the summary tab of this pathway" xr:uid="{39E475D3-D642-42FC-B621-E7BE126D9E74}"/>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45" id="{00000000-000E-0000-3000-00002D000000}">
            <xm:f>AND(Path&lt;&gt;Units!$B$99,Path&lt;&gt;Units!$B$100,Master_Switch="On")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9" id="{61AD4511-8A3F-475B-A591-40A99F372EFF}">
            <xm:f>AND(GHG_BIOMASS_GASIFICATION!$D$9="Default",Master_Switch="On")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46" id="{8BE5CD30-E7FF-407E-AC46-1089307E3656}">
            <xm:f>AND(GHG_BIOMASS_GASIFICATION!$D$10="Default",Master_Switch="On")</xm:f>
            <x14:dxf>
              <font>
                <color theme="0"/>
              </font>
              <fill>
                <patternFill>
                  <bgColor theme="0"/>
                </patternFill>
              </fill>
              <border>
                <left/>
                <right/>
                <top/>
                <bottom/>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BB2D41C-D64B-462F-81D3-F056EF2C78A1}">
          <x14:formula1>
            <xm:f>Units!$Z$84</xm:f>
          </x14:formula1>
          <xm:sqref>D9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34E9-A095-457B-8216-9666CBB8C747}">
  <sheetPr codeName="Sheet44">
    <tabColor theme="8" tint="0.59999389629810485"/>
  </sheetPr>
  <dimension ref="B1:Y32"/>
  <sheetViews>
    <sheetView showGridLines="0" zoomScaleNormal="100" workbookViewId="0"/>
  </sheetViews>
  <sheetFormatPr defaultRowHeight="14.45"/>
  <sheetData>
    <row r="1" spans="2:23" ht="15" thickBot="1">
      <c r="B1" s="3" t="s">
        <v>134</v>
      </c>
      <c r="C1" s="3"/>
      <c r="D1" s="3"/>
      <c r="E1" s="3"/>
      <c r="F1" s="3"/>
    </row>
    <row r="2" spans="2:23" ht="15.6" thickTop="1" thickBot="1">
      <c r="B2" s="175" t="s">
        <v>135</v>
      </c>
      <c r="C2" s="175"/>
      <c r="D2" s="175"/>
      <c r="E2" s="175"/>
      <c r="F2" s="175"/>
      <c r="G2" s="175"/>
      <c r="H2" s="175"/>
      <c r="I2" s="175"/>
      <c r="J2" s="175"/>
      <c r="K2" s="175"/>
      <c r="L2" s="175"/>
      <c r="M2" s="175"/>
      <c r="N2" s="175"/>
    </row>
    <row r="4" spans="2:23">
      <c r="B4" s="30" t="s">
        <v>107</v>
      </c>
    </row>
    <row r="5" spans="2:23">
      <c r="B5" s="32"/>
      <c r="C5" s="651" t="s">
        <v>108</v>
      </c>
      <c r="D5" s="651"/>
      <c r="E5" s="651"/>
      <c r="F5" s="651"/>
      <c r="G5" s="651"/>
      <c r="H5" s="658"/>
    </row>
    <row r="6" spans="2:23">
      <c r="B6" s="179"/>
      <c r="C6" s="651" t="s">
        <v>109</v>
      </c>
      <c r="D6" s="651"/>
      <c r="E6" s="651"/>
      <c r="F6" s="651"/>
      <c r="G6" s="651"/>
      <c r="H6" s="658"/>
    </row>
    <row r="7" spans="2:23">
      <c r="B7" s="57"/>
      <c r="C7" s="651" t="s">
        <v>110</v>
      </c>
      <c r="D7" s="651"/>
      <c r="E7" s="651"/>
      <c r="F7" s="651"/>
      <c r="G7" s="651"/>
      <c r="H7" s="658"/>
    </row>
    <row r="9" spans="2:23" ht="15" thickBot="1">
      <c r="B9" s="174" t="s">
        <v>136</v>
      </c>
      <c r="C9" s="174"/>
      <c r="D9" s="174"/>
      <c r="E9" s="174"/>
    </row>
    <row r="10" spans="2:23" ht="15" thickTop="1"/>
    <row r="11" spans="2:23">
      <c r="B11" s="647" t="s">
        <v>137</v>
      </c>
      <c r="C11" s="647"/>
      <c r="D11" s="647"/>
      <c r="E11" s="647"/>
      <c r="F11" s="647"/>
      <c r="G11" s="647"/>
      <c r="H11" s="647"/>
      <c r="I11" s="647"/>
      <c r="J11" s="647"/>
      <c r="K11" s="647"/>
      <c r="L11" s="647"/>
      <c r="M11" s="647"/>
      <c r="N11" s="647"/>
      <c r="O11" s="647"/>
      <c r="P11" s="647"/>
      <c r="Q11" s="647"/>
      <c r="R11" s="647"/>
      <c r="S11" s="647"/>
      <c r="T11" s="647"/>
      <c r="U11" s="647"/>
      <c r="V11" s="647"/>
      <c r="W11" s="647"/>
    </row>
    <row r="26" spans="2:25" ht="65.45" customHeight="1">
      <c r="B26" s="647" t="s">
        <v>138</v>
      </c>
      <c r="C26" s="647"/>
      <c r="D26" s="647"/>
      <c r="E26" s="647"/>
      <c r="F26" s="647"/>
      <c r="G26" s="647"/>
      <c r="H26" s="647"/>
      <c r="I26" s="647"/>
      <c r="J26" s="647"/>
      <c r="K26" s="647"/>
      <c r="L26" s="647"/>
      <c r="M26" s="647"/>
      <c r="N26" s="647"/>
      <c r="O26" s="647"/>
      <c r="P26" s="647"/>
      <c r="Q26" s="647"/>
      <c r="R26" s="647"/>
      <c r="S26" s="647"/>
      <c r="T26" s="647"/>
      <c r="U26" s="647"/>
      <c r="V26" s="647"/>
      <c r="W26" s="647"/>
    </row>
    <row r="28" spans="2:25">
      <c r="B28" t="s">
        <v>139</v>
      </c>
    </row>
    <row r="29" spans="2:25">
      <c r="B29" s="29" t="s">
        <v>140</v>
      </c>
    </row>
    <row r="30" spans="2:25">
      <c r="B30" t="s">
        <v>141</v>
      </c>
    </row>
    <row r="32" spans="2:25" ht="14.45" customHeight="1">
      <c r="B32" t="s">
        <v>142</v>
      </c>
      <c r="C32" s="81"/>
      <c r="D32" s="81"/>
      <c r="E32" s="81"/>
      <c r="F32" s="81"/>
      <c r="G32" s="81"/>
      <c r="H32" s="81"/>
      <c r="I32" s="81"/>
      <c r="J32" s="81"/>
      <c r="K32" s="81"/>
      <c r="L32" s="81"/>
      <c r="M32" s="81"/>
      <c r="N32" s="81"/>
      <c r="O32" s="81"/>
      <c r="P32" s="81"/>
      <c r="Q32" s="81"/>
      <c r="R32" s="81"/>
      <c r="S32" s="81"/>
      <c r="T32" s="81"/>
      <c r="U32" s="81"/>
      <c r="V32" s="81"/>
      <c r="W32" s="81"/>
      <c r="X32" s="81"/>
      <c r="Y32" s="81"/>
    </row>
  </sheetData>
  <customSheetViews>
    <customSheetView guid="{F03309BC-D3FA-4CF2-833B-D6D9A95FE1FB}" showGridLines="0">
      <selection activeCell="D2" sqref="D2"/>
      <pageMargins left="0" right="0" top="0" bottom="0" header="0" footer="0"/>
    </customSheetView>
    <customSheetView guid="{EECBF9DF-6D77-4263-85DA-71E40216BADD}" showGridLines="0">
      <selection activeCell="D1" sqref="D1"/>
      <pageMargins left="0" right="0" top="0" bottom="0" header="0" footer="0"/>
    </customSheetView>
    <customSheetView guid="{1C16EB38-F785-4168-9938-104594734038}" showGridLines="0">
      <selection activeCell="D1" sqref="D1"/>
      <pageMargins left="0" right="0" top="0" bottom="0" header="0" footer="0"/>
    </customSheetView>
    <customSheetView guid="{0E935136-9A80-44B6-88D5-61E64D742049}" showGridLines="0">
      <selection activeCell="D1" sqref="D1"/>
      <pageMargins left="0" right="0" top="0" bottom="0" header="0" footer="0"/>
    </customSheetView>
    <customSheetView guid="{E6EFD927-84B2-4D06-BB59-59D9DF522DA2}" showGridLines="0">
      <selection activeCell="D1" sqref="D1"/>
      <pageMargins left="0" right="0" top="0" bottom="0" header="0" footer="0"/>
    </customSheetView>
    <customSheetView guid="{3F0A4FBA-5323-448F-A023-B3E14C54064C}" showGridLines="0">
      <selection activeCell="D2" sqref="D2"/>
      <pageMargins left="0" right="0" top="0" bottom="0" header="0" footer="0"/>
    </customSheetView>
    <customSheetView guid="{D97B1299-69D0-4EE0-B673-CCF74742F96B}">
      <selection activeCell="D2" sqref="D2"/>
      <pageMargins left="0" right="0" top="0" bottom="0" header="0" footer="0"/>
    </customSheetView>
    <customSheetView guid="{F468A2FD-7987-4A9D-8BAE-1AACE523607F}" showGridLines="0">
      <selection activeCell="D1" sqref="D1"/>
      <pageMargins left="0" right="0" top="0" bottom="0" header="0" footer="0"/>
    </customSheetView>
    <customSheetView guid="{2D920366-22B2-4182-A65D-0EDBE614FB37}" showGridLines="0">
      <pageMargins left="0" right="0" top="0" bottom="0" header="0" footer="0"/>
    </customSheetView>
  </customSheetViews>
  <mergeCells count="5">
    <mergeCell ref="C6:H6"/>
    <mergeCell ref="C7:H7"/>
    <mergeCell ref="C5:H5"/>
    <mergeCell ref="B26:W26"/>
    <mergeCell ref="B11:W11"/>
  </mergeCells>
  <hyperlinks>
    <hyperlink ref="B29" r:id="rId1" xr:uid="{DACA5FDA-0BE1-4B8F-86C1-B5A03BA8FA31}"/>
  </hyperlinks>
  <pageMargins left="0" right="0" top="0" bottom="0" header="0" footer="0"/>
  <headerFooter>
    <oddHeader>&amp;C&amp;"Aptos"&amp;10&amp;K000000 OFFICIAL&amp;1#_x000D_</oddHeader>
    <oddFooter>&amp;C_x000D_&amp;1#&amp;"Aptos"&amp;10&amp;K000000 OFFICIAL</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A0767-8350-4B5E-B398-7BE217CB2206}">
  <sheetPr codeName="Sheet59">
    <tabColor theme="7" tint="0.59999389629810485"/>
  </sheetPr>
  <dimension ref="A1:E27"/>
  <sheetViews>
    <sheetView showGridLines="0" zoomScaleNormal="100" workbookViewId="0"/>
  </sheetViews>
  <sheetFormatPr defaultColWidth="8.85546875" defaultRowHeight="14.45"/>
  <cols>
    <col min="1" max="1" width="6.5703125" customWidth="1"/>
    <col min="2" max="2" width="92.85546875" customWidth="1"/>
    <col min="3" max="3" width="29.85546875" customWidth="1"/>
    <col min="4" max="10" width="21.140625" customWidth="1"/>
  </cols>
  <sheetData>
    <row r="1" spans="1:5" ht="30.95">
      <c r="A1" s="566" t="str">
        <f>IF(AND(Path&lt;&gt;Units!$B$101, Path&lt;&gt;Units!$B$102,Master_Switch="On"),"User should not fill in this sheet, but switch to other non-blank GHG worksheets","")</f>
        <v>User should not fill in this sheet, but switch to other non-blank GHG worksheets</v>
      </c>
    </row>
    <row r="2" spans="1:5" ht="18.600000000000001">
      <c r="A2" s="53"/>
      <c r="C2" s="735" t="s">
        <v>1141</v>
      </c>
      <c r="D2" s="737"/>
      <c r="E2" s="738"/>
    </row>
    <row r="3" spans="1:5">
      <c r="A3" s="53"/>
    </row>
    <row r="4" spans="1:5">
      <c r="B4" s="28" t="s">
        <v>1275</v>
      </c>
    </row>
    <row r="5" spans="1:5" ht="16.5">
      <c r="B5" t="s">
        <v>1276</v>
      </c>
    </row>
    <row r="7" spans="1:5">
      <c r="B7" t="s">
        <v>1277</v>
      </c>
      <c r="C7" s="558" t="str">
        <f>IF(AND(Initial_questions!E113="Default", OR(Initial_questions!E21="Waste Gasification with CCS",Initial_questions!E21="Waste Gasification without CCS")),"Grid average electricity","User to input")</f>
        <v>User to input</v>
      </c>
      <c r="D7" t="s">
        <v>1278</v>
      </c>
    </row>
    <row r="8" spans="1:5" ht="16.5">
      <c r="B8" t="s">
        <v>1279</v>
      </c>
      <c r="C8" s="558" t="str">
        <f>IF(AND(Initial_questions!E113="Default", OR(Initial_questions!E21="Waste Gasification with CCS",Initial_questions!E21="Waste Gasification without CCS")),"22%","User to input")</f>
        <v>User to input</v>
      </c>
      <c r="D8" t="s">
        <v>1280</v>
      </c>
    </row>
    <row r="9" spans="1:5" ht="16.5">
      <c r="B9" t="s">
        <v>1281</v>
      </c>
      <c r="C9" s="556" t="str">
        <f>IF(AND(Initial_questions!E113="Default", OR(Initial_questions!E21="Waste Gasification with CCS",Initial_questions!E21="Waste Gasification without CCS")),IFERROR(INDEX(Proj_grid_intensity_kWh,MATCH(Operations_year,Proj_grid_year,0))/Conversion_kWh_to_MJ,"Yet to provide year"),"User to input")</f>
        <v>User to input</v>
      </c>
    </row>
    <row r="10" spans="1:5" ht="16.5">
      <c r="B10" t="s">
        <v>1282</v>
      </c>
      <c r="C10" s="556" t="s">
        <v>1128</v>
      </c>
      <c r="D10" t="s">
        <v>1283</v>
      </c>
    </row>
    <row r="12" spans="1:5">
      <c r="B12" t="s">
        <v>1284</v>
      </c>
    </row>
    <row r="13" spans="1:5">
      <c r="B13" s="555" t="s">
        <v>1285</v>
      </c>
    </row>
    <row r="14" spans="1:5">
      <c r="B14" s="555" t="s">
        <v>1212</v>
      </c>
    </row>
    <row r="16" spans="1:5">
      <c r="B16" t="s">
        <v>1286</v>
      </c>
    </row>
    <row r="17" spans="2:2">
      <c r="B17" s="554" t="s">
        <v>1287</v>
      </c>
    </row>
    <row r="18" spans="2:2">
      <c r="B18" s="554" t="s">
        <v>1288</v>
      </c>
    </row>
    <row r="19" spans="2:2">
      <c r="B19" s="555" t="s">
        <v>1289</v>
      </c>
    </row>
    <row r="21" spans="2:2">
      <c r="B21" s="28" t="s">
        <v>1290</v>
      </c>
    </row>
    <row r="22" spans="2:2">
      <c r="B22" s="557"/>
    </row>
    <row r="23" spans="2:2">
      <c r="B23" s="557"/>
    </row>
    <row r="25" spans="2:2">
      <c r="B25" s="28" t="s">
        <v>1291</v>
      </c>
    </row>
    <row r="26" spans="2:2">
      <c r="B26" s="557"/>
    </row>
    <row r="27" spans="2:2">
      <c r="B27" s="557"/>
    </row>
  </sheetData>
  <customSheetViews>
    <customSheetView guid="{F03309BC-D3FA-4CF2-833B-D6D9A95FE1FB}" showGridLines="0" state="hidden">
      <selection activeCell="D2" sqref="D2"/>
      <pageMargins left="0" right="0" top="0" bottom="0" header="0" footer="0"/>
      <pageSetup paperSize="9" orientation="portrait" r:id="rId1"/>
    </customSheetView>
    <customSheetView guid="{EECBF9DF-6D77-4263-85DA-71E40216BADD}" showGridLines="0" state="hidden">
      <selection activeCell="D2" sqref="D2"/>
      <pageMargins left="0" right="0" top="0" bottom="0" header="0" footer="0"/>
      <pageSetup paperSize="9" orientation="portrait" r:id="rId2"/>
    </customSheetView>
    <customSheetView guid="{1C16EB38-F785-4168-9938-104594734038}" showGridLines="0" state="hidden">
      <selection activeCell="D2" sqref="D2"/>
      <pageMargins left="0" right="0" top="0" bottom="0" header="0" footer="0"/>
      <pageSetup paperSize="9" orientation="portrait" r:id="rId3"/>
    </customSheetView>
    <customSheetView guid="{0E935136-9A80-44B6-88D5-61E64D742049}" showGridLines="0" state="hidden">
      <selection activeCell="D2" sqref="D2"/>
      <pageMargins left="0" right="0" top="0" bottom="0" header="0" footer="0"/>
      <pageSetup paperSize="9" orientation="portrait" r:id="rId4"/>
    </customSheetView>
    <customSheetView guid="{E6EFD927-84B2-4D06-BB59-59D9DF522DA2}" showGridLines="0" state="hidden">
      <selection activeCell="D2" sqref="D2"/>
      <pageMargins left="0" right="0" top="0" bottom="0" header="0" footer="0"/>
      <pageSetup paperSize="9" orientation="portrait" r:id="rId5"/>
    </customSheetView>
    <customSheetView guid="{3F0A4FBA-5323-448F-A023-B3E14C54064C}" showGridLines="0" state="hidden">
      <selection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election activeCell="C2" sqref="C2:E2"/>
      <pageMargins left="0" right="0" top="0" bottom="0" header="0" footer="0"/>
      <pageSetup paperSize="9" orientation="portrait" r:id="rId8"/>
    </customSheetView>
    <customSheetView guid="{2D920366-22B2-4182-A65D-0EDBE614FB37}" showGridLines="0">
      <pageMargins left="0" right="0" top="0" bottom="0" header="0" footer="0"/>
      <pageSetup paperSize="9" orientation="portrait" r:id="rId9"/>
    </customSheetView>
  </customSheetViews>
  <mergeCells count="1">
    <mergeCell ref="C2:E2"/>
  </mergeCells>
  <dataValidations count="1">
    <dataValidation type="decimal" operator="greaterThan" allowBlank="1" showInputMessage="1" showErrorMessage="1" errorTitle="Negative value used" error="Efficiency, displaced GHG intensity and CO2 emitted from waste fossil feedstock carbon values must all be non-negative" sqref="C8 C9:C10" xr:uid="{406FE4EB-A26E-4B95-86D6-B1811E9A1765}">
      <formula1>0</formula1>
    </dataValidation>
  </dataValidations>
  <hyperlinks>
    <hyperlink ref="C2:D2" location="'Biomass Gasification (+CCS)'!A1" display="Go to the next step of this pathway" xr:uid="{0BD07583-7F88-4537-8CDD-36804082FF1F}"/>
    <hyperlink ref="C2:E2" location="Waste_Collection!A1" display="Go to the next step of this pathway" xr:uid="{E6FC331A-B491-4037-9D16-B7F1411DBEAD}"/>
  </hyperlinks>
  <pageMargins left="0" right="0" top="0" bottom="0" header="0" footer="0"/>
  <pageSetup paperSize="9" orientation="portrait" r:id="rId1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1" id="{00000000-000E-0000-3100-000001000000}">
            <xm:f>AND(Path&lt;&gt;Units!$B$101,Path&lt;&gt;Units!$B$102,Master_Switch="On")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92F24-2240-4C45-AAE7-3A09F1F67F24}">
  <sheetPr codeName="Sheet34">
    <tabColor theme="7" tint="0.59999389629810485"/>
  </sheetPr>
  <dimension ref="A1:AC189"/>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IF(AND(Path&lt;&gt;Units!$B$101,Path&lt;&gt;Units!$B$102,Master_Switch="On"),"User should not fill in this sheet, but switch to other non-blank GHG worksheets","")</f>
        <v>User should not fill in this sheet, but switch to other non-blank GHG worksheets</v>
      </c>
      <c r="E1" s="254"/>
    </row>
    <row r="2" spans="1:29" ht="20.45" customHeight="1">
      <c r="B2" s="80" t="str">
        <f>IF(AND(OR(GHG_WASTE_GASIFICATION!$D$5="Default",GHG_WASTE_GASIFICATION!$D$27="Default"),Master_Switch="On"),"Default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84" t="s">
        <v>1069</v>
      </c>
      <c r="C8" s="182" t="s">
        <v>1146</v>
      </c>
      <c r="D8" s="177" t="s">
        <v>447</v>
      </c>
      <c r="E8" s="35"/>
      <c r="F8" s="24"/>
      <c r="G8" s="21"/>
      <c r="H8" s="20"/>
      <c r="I8" s="36"/>
      <c r="J8" s="298"/>
      <c r="K8" s="300"/>
      <c r="L8" s="300"/>
      <c r="M8" s="300"/>
      <c r="N8" s="240">
        <f t="shared" ref="N8:N17" si="0">IF($D8="MWh/yr (LHV)",$E8,$J8*$E8*(1-$L8)/Conversion_kWh_to_MJ)</f>
        <v>0</v>
      </c>
      <c r="O8" s="12"/>
      <c r="P8" s="12"/>
      <c r="S8" s="35" t="str">
        <f t="shared" ref="S8:S15" si="1">IF(B8="", "", IF(D8="MWh/yr (LHV)", "Use column to right", "Enter data here"))</f>
        <v>Use column to right</v>
      </c>
      <c r="T8" s="35" t="e">
        <f>INDEX(Proj_grid_intensity_kWh,MATCH(Operations_year,Proj_grid_year,0))/Conversion_kWh_to_MJ</f>
        <v>#N/A</v>
      </c>
      <c r="U8" s="35" t="s">
        <v>1112</v>
      </c>
      <c r="V8" s="240" t="str">
        <f t="shared" ref="V8:V17" si="2">IFERROR(IF(D8="tonnes/yr", $S8*$E8/($N$20*3.6), $T8*$E8*3.6/($N$20*3.6)), "Unfilled fields to left")</f>
        <v>Unfilled fields to left</v>
      </c>
      <c r="X8" s="25"/>
      <c r="Y8" s="12"/>
    </row>
    <row r="9" spans="1:29">
      <c r="B9" s="184" t="s">
        <v>1069</v>
      </c>
      <c r="C9" s="182"/>
      <c r="D9" s="177" t="s">
        <v>447</v>
      </c>
      <c r="E9" s="35"/>
      <c r="F9" s="21"/>
      <c r="G9" s="21"/>
      <c r="H9" s="20"/>
      <c r="I9" s="36"/>
      <c r="J9" s="298"/>
      <c r="K9" s="300"/>
      <c r="L9" s="300"/>
      <c r="M9" s="300"/>
      <c r="N9" s="240">
        <f t="shared" si="0"/>
        <v>0</v>
      </c>
      <c r="O9" s="12"/>
      <c r="P9" s="12"/>
      <c r="S9" s="35" t="str">
        <f t="shared" si="1"/>
        <v>Use column to right</v>
      </c>
      <c r="T9" s="35" t="str">
        <f t="shared" ref="T9:T17" si="3">IF(B9="", "", IF(D9="MWh/yr (LHV)", "Enter data here", "Use column to left"))</f>
        <v>Enter data here</v>
      </c>
      <c r="U9" s="35" t="s">
        <v>1148</v>
      </c>
      <c r="V9" s="240" t="str">
        <f t="shared" si="2"/>
        <v>Unfilled fields to left</v>
      </c>
      <c r="X9" s="25"/>
      <c r="Y9" s="12"/>
    </row>
    <row r="10" spans="1:29">
      <c r="B10" s="184" t="s">
        <v>1090</v>
      </c>
      <c r="C10" s="182" t="s">
        <v>1091</v>
      </c>
      <c r="D10" s="177" t="s">
        <v>425</v>
      </c>
      <c r="E10" s="35"/>
      <c r="F10" s="24"/>
      <c r="G10" s="21"/>
      <c r="H10" s="20"/>
      <c r="I10" s="36"/>
      <c r="J10" s="298"/>
      <c r="K10" s="300"/>
      <c r="L10" s="300"/>
      <c r="M10" s="300"/>
      <c r="N10" s="240">
        <f t="shared" si="0"/>
        <v>0</v>
      </c>
      <c r="O10" s="12"/>
      <c r="P10" s="12"/>
      <c r="S10" s="35" t="str">
        <f t="shared" si="1"/>
        <v>Enter data here</v>
      </c>
      <c r="T10" s="35" t="str">
        <f t="shared" si="3"/>
        <v>Use column to left</v>
      </c>
      <c r="U10" s="35" t="s">
        <v>1148</v>
      </c>
      <c r="V10" s="240" t="str">
        <f t="shared" si="2"/>
        <v>Unfilled fields to left</v>
      </c>
      <c r="X10" s="25"/>
      <c r="Y10" s="12"/>
    </row>
    <row r="11" spans="1:29">
      <c r="B11" s="184" t="s">
        <v>1090</v>
      </c>
      <c r="C11" s="182" t="s">
        <v>1093</v>
      </c>
      <c r="D11" s="177" t="s">
        <v>425</v>
      </c>
      <c r="E11" s="35"/>
      <c r="F11" s="21"/>
      <c r="G11" s="21"/>
      <c r="H11" s="20"/>
      <c r="I11" s="36"/>
      <c r="J11" s="298"/>
      <c r="K11" s="300"/>
      <c r="L11" s="300"/>
      <c r="M11" s="300"/>
      <c r="N11" s="240">
        <f t="shared" si="0"/>
        <v>0</v>
      </c>
      <c r="O11" s="12"/>
      <c r="P11" s="12"/>
      <c r="S11" s="35" t="str">
        <f t="shared" si="1"/>
        <v>Enter data here</v>
      </c>
      <c r="T11" s="35" t="str">
        <f t="shared" si="3"/>
        <v>Use column to left</v>
      </c>
      <c r="U11" s="35" t="s">
        <v>1148</v>
      </c>
      <c r="V11" s="240" t="str">
        <f t="shared" si="2"/>
        <v>Unfilled fields to left</v>
      </c>
      <c r="X11" s="25"/>
      <c r="Y11" s="12"/>
    </row>
    <row r="12" spans="1:29">
      <c r="B12" s="184" t="s">
        <v>1099</v>
      </c>
      <c r="C12" s="182" t="s">
        <v>1101</v>
      </c>
      <c r="D12" s="177" t="s">
        <v>425</v>
      </c>
      <c r="E12" s="35"/>
      <c r="F12" s="24"/>
      <c r="G12" s="21"/>
      <c r="H12" s="20"/>
      <c r="I12" s="36"/>
      <c r="J12" s="298"/>
      <c r="K12" s="300"/>
      <c r="L12" s="300"/>
      <c r="M12" s="300"/>
      <c r="N12" s="240">
        <f t="shared" si="0"/>
        <v>0</v>
      </c>
      <c r="O12" s="12"/>
      <c r="P12" s="12"/>
      <c r="S12" s="35" t="str">
        <f t="shared" si="1"/>
        <v>Enter data here</v>
      </c>
      <c r="T12" s="35" t="str">
        <f t="shared" si="3"/>
        <v>Use column to left</v>
      </c>
      <c r="U12" s="35" t="s">
        <v>1148</v>
      </c>
      <c r="V12" s="240" t="str">
        <f t="shared" si="2"/>
        <v>Unfilled fields to left</v>
      </c>
      <c r="X12" s="25"/>
      <c r="Y12" s="12"/>
    </row>
    <row r="13" spans="1:29">
      <c r="B13" s="184" t="s">
        <v>1099</v>
      </c>
      <c r="C13" s="182" t="s">
        <v>1149</v>
      </c>
      <c r="D13" s="177" t="s">
        <v>425</v>
      </c>
      <c r="E13" s="35"/>
      <c r="F13" s="21"/>
      <c r="G13" s="21"/>
      <c r="H13" s="20"/>
      <c r="I13" s="36"/>
      <c r="J13" s="298"/>
      <c r="K13" s="300"/>
      <c r="L13" s="300"/>
      <c r="M13" s="300"/>
      <c r="N13" s="240">
        <f t="shared" si="0"/>
        <v>0</v>
      </c>
      <c r="O13" s="12"/>
      <c r="P13" s="12"/>
      <c r="S13" s="35" t="str">
        <f t="shared" si="1"/>
        <v>Enter data here</v>
      </c>
      <c r="T13" s="35" t="str">
        <f t="shared" si="3"/>
        <v>Use column to left</v>
      </c>
      <c r="U13" s="35" t="s">
        <v>1148</v>
      </c>
      <c r="V13" s="240" t="str">
        <f t="shared" si="2"/>
        <v>Unfilled fields to left</v>
      </c>
      <c r="X13" s="25"/>
      <c r="Y13" s="12"/>
    </row>
    <row r="14" spans="1:29">
      <c r="B14" s="184" t="s">
        <v>1225</v>
      </c>
      <c r="C14" s="182" t="s">
        <v>1103</v>
      </c>
      <c r="D14" s="177" t="s">
        <v>425</v>
      </c>
      <c r="E14" s="35"/>
      <c r="F14" s="21"/>
      <c r="G14" s="21"/>
      <c r="H14" s="20"/>
      <c r="I14" s="36"/>
      <c r="J14" s="298"/>
      <c r="K14" s="300"/>
      <c r="L14" s="300"/>
      <c r="M14" s="300"/>
      <c r="N14" s="240">
        <f t="shared" si="0"/>
        <v>0</v>
      </c>
      <c r="O14" s="12"/>
      <c r="P14" s="12"/>
      <c r="S14" s="35" t="str">
        <f t="shared" si="1"/>
        <v>Enter data here</v>
      </c>
      <c r="T14" s="35" t="str">
        <f t="shared" si="3"/>
        <v>Use column to left</v>
      </c>
      <c r="U14" s="35" t="s">
        <v>1148</v>
      </c>
      <c r="V14" s="240" t="str">
        <f t="shared" si="2"/>
        <v>Unfilled fields to left</v>
      </c>
      <c r="X14" s="25"/>
      <c r="Y14" s="12"/>
    </row>
    <row r="15" spans="1:29">
      <c r="B15" s="184" t="s">
        <v>1225</v>
      </c>
      <c r="C15" s="182" t="s">
        <v>1261</v>
      </c>
      <c r="D15" s="177" t="s">
        <v>425</v>
      </c>
      <c r="E15" s="35"/>
      <c r="F15" s="21"/>
      <c r="G15" s="21"/>
      <c r="H15" s="20"/>
      <c r="I15" s="36"/>
      <c r="J15" s="298"/>
      <c r="K15" s="300"/>
      <c r="L15" s="300"/>
      <c r="M15" s="300"/>
      <c r="N15" s="240">
        <f t="shared" si="0"/>
        <v>0</v>
      </c>
      <c r="O15" s="12"/>
      <c r="P15" s="12"/>
      <c r="S15" s="35" t="str">
        <f t="shared" si="1"/>
        <v>Enter data here</v>
      </c>
      <c r="T15" s="35" t="str">
        <f t="shared" si="3"/>
        <v>Use column to left</v>
      </c>
      <c r="U15" s="35" t="s">
        <v>1148</v>
      </c>
      <c r="V15" s="240" t="str">
        <f t="shared" si="2"/>
        <v>Unfilled fields to left</v>
      </c>
      <c r="X15" s="25"/>
      <c r="Y15" s="12"/>
    </row>
    <row r="16" spans="1:29">
      <c r="B16" s="184"/>
      <c r="C16" s="182"/>
      <c r="D16" s="177"/>
      <c r="E16" s="35"/>
      <c r="F16" s="21"/>
      <c r="G16" s="21"/>
      <c r="H16" s="20"/>
      <c r="I16" s="36"/>
      <c r="J16" s="298"/>
      <c r="K16" s="300"/>
      <c r="L16" s="300"/>
      <c r="M16" s="300"/>
      <c r="N16" s="240">
        <f t="shared" si="0"/>
        <v>0</v>
      </c>
      <c r="O16" s="12"/>
      <c r="P16" s="12"/>
      <c r="S16" s="35" t="str">
        <f t="shared" ref="S16" si="4">IF(B16="", "", IF(D16="MWh/yr (LHV)", "Use column to right", "Enter data here"))</f>
        <v/>
      </c>
      <c r="T16" s="35" t="str">
        <f t="shared" ref="T16" si="5">IF(B16="", "", IF(D16="MWh/yr (LHV)", "Enter data here", "Use column to left"))</f>
        <v/>
      </c>
      <c r="U16" s="35"/>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IF(B17="", "", IF(D17="MWh/yr (LHV)", "Use column to right", "Enter data here"))</f>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1292</v>
      </c>
      <c r="D20" s="177" t="s">
        <v>425</v>
      </c>
      <c r="E20" s="35"/>
      <c r="F20" s="24"/>
      <c r="G20" s="21"/>
      <c r="H20" s="21"/>
      <c r="I20" s="21"/>
      <c r="J20" s="298"/>
      <c r="K20" s="304"/>
      <c r="L20" s="304"/>
      <c r="M20" s="304"/>
      <c r="N20" s="240">
        <f t="shared" ref="N20:N31" si="6">IF($D20="MWh/yr (LHV)",$E20,$J20*$E20*(1-$L20)/Conversion_kWh_to_MJ)</f>
        <v>0</v>
      </c>
      <c r="O20" s="244" t="s">
        <v>563</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6"/>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c r="C36" s="15"/>
      <c r="D36" s="15"/>
      <c r="E36" s="503"/>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sheetData>
  <customSheetViews>
    <customSheetView guid="{F03309BC-D3FA-4CF2-833B-D6D9A95FE1FB}" showGridLines="0" state="hidden">
      <pane xSplit="3" ySplit="5" topLeftCell="F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F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E41D34F5-7F8E-451D-A63E-ABB77568F97C}">
      <formula1>Flow_units</formula1>
    </dataValidation>
    <dataValidation type="custom" allowBlank="1" showInputMessage="1" showErrorMessage="1" error="Please do not change this formula" prompt="Please do not change this formula" sqref="W4 V6:V1048576 V1:V4 S5:V5 O20" xr:uid="{3D9F2831-AC29-4622-B82C-5C95C71864D8}">
      <formula1>"Please do not change this formula"</formula1>
    </dataValidation>
    <dataValidation type="custom" allowBlank="1" showInputMessage="1" showErrorMessage="1" error="Please do not change this formula" sqref="R6:R19 R23:R1048576 N1:N1048576 O1:R5 P6:Q1048576 O6:O19 O21:O1048576" xr:uid="{EA2E8306-5FEE-4D78-979A-8F5695CC708C}">
      <formula1>"Please do not change this formula"</formula1>
    </dataValidation>
    <dataValidation type="custom" allowBlank="1" showInputMessage="1" showErrorMessage="1" error="Please do not change" sqref="R20:R22" xr:uid="{0C7EABCB-B807-4F48-B575-FAB094D36938}">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6277F68C-A9B8-43FB-BD33-B0A18969C869}">
      <formula1>0</formula1>
    </dataValidation>
  </dataValidations>
  <hyperlinks>
    <hyperlink ref="I2:J2" location="'Waste Transport'!A1" display="Go to the next step of this pathway" xr:uid="{9EB336B3-183F-4FAD-90D3-25D506554077}"/>
    <hyperlink ref="I2:K2" location="Waste_Transport!A1" display="Go to the next step of this pathway" xr:uid="{DEFB3908-7A34-4695-82BD-31CFA12B9A6E}"/>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200-000001000000}">
            <xm:f>AND(Path&lt;&gt;Units!$B$101,Path&lt;&gt;Units!$B$102,Master_Switch="On")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6" id="{00000000-000E-0000-2900-000005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B8419-7D59-454F-AF78-3902E145B950}">
  <sheetPr codeName="Sheet35">
    <tabColor theme="7" tint="0.59999389629810485"/>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IF(AND(Path&lt;&gt;Units!$B$101,Path&lt;&gt;Units!$B$102,Master_Switch="On"),"User should not fill in this sheet, but switch to other non-blank GHG worksheets","")</f>
        <v>User should not fill in this sheet, but switch to other non-blank GHG worksheets</v>
      </c>
      <c r="E1" s="254"/>
    </row>
    <row r="2" spans="1:29" ht="20.45" customHeight="1">
      <c r="B2" s="80" t="str">
        <f>IF(AND(OR(GHG_WASTE_GASIFICATION!$D$5="Default",GHG_WASTE_GASIFICATION!$D$27="Default"),Master_Switch="On"),"Default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1292</v>
      </c>
      <c r="D8" s="177" t="s">
        <v>425</v>
      </c>
      <c r="E8" s="35"/>
      <c r="F8" s="24"/>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 t="shared" ref="S9:S17" si="1">IF(B9="", "", IF(D9="MWh/yr (LHV)", "Use column to right", "Enter data here"))</f>
        <v>Use column to right</v>
      </c>
      <c r="T9" s="35"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4"/>
      <c r="G11" s="21"/>
      <c r="H11" s="20"/>
      <c r="I11" s="36"/>
      <c r="J11" s="298"/>
      <c r="K11" s="300"/>
      <c r="L11" s="300"/>
      <c r="M11" s="300"/>
      <c r="N11" s="240">
        <f t="shared" si="0"/>
        <v>0</v>
      </c>
      <c r="O11" s="12"/>
      <c r="P11" s="12"/>
      <c r="S11" s="35" t="str">
        <f t="shared" si="1"/>
        <v>Enter data here</v>
      </c>
      <c r="T11" s="35" t="str">
        <f t="shared" si="3"/>
        <v>Use column to left</v>
      </c>
      <c r="U11" s="35" t="s">
        <v>1148</v>
      </c>
      <c r="V11" s="240" t="str">
        <f t="shared" si="2"/>
        <v>Unfilled fields to left</v>
      </c>
      <c r="W11" s="91"/>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1"/>
        <v>Enter data here</v>
      </c>
      <c r="T12" s="35" t="str">
        <f t="shared" si="3"/>
        <v>Use column to left</v>
      </c>
      <c r="U12" s="35" t="s">
        <v>1148</v>
      </c>
      <c r="V12" s="240" t="str">
        <f t="shared" si="2"/>
        <v>Unfilled fields to left</v>
      </c>
      <c r="X12" s="25"/>
      <c r="Y12" s="12"/>
    </row>
    <row r="13" spans="1:29">
      <c r="B13" s="184" t="s">
        <v>1099</v>
      </c>
      <c r="C13" s="182" t="s">
        <v>1101</v>
      </c>
      <c r="D13" s="177" t="s">
        <v>425</v>
      </c>
      <c r="E13" s="35"/>
      <c r="F13" s="21"/>
      <c r="G13" s="21"/>
      <c r="H13" s="20"/>
      <c r="I13" s="36"/>
      <c r="J13" s="298"/>
      <c r="K13" s="300"/>
      <c r="L13" s="300"/>
      <c r="M13" s="300"/>
      <c r="N13" s="240">
        <f t="shared" si="0"/>
        <v>0</v>
      </c>
      <c r="O13" s="12"/>
      <c r="P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1"/>
        <v>Enter data here</v>
      </c>
      <c r="T14" s="35" t="str">
        <f t="shared" si="3"/>
        <v>Use column to left</v>
      </c>
      <c r="U14" s="35" t="s">
        <v>1148</v>
      </c>
      <c r="V14" s="240"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1"/>
        <v>Enter data here</v>
      </c>
      <c r="T15" s="35" t="str">
        <f t="shared" si="3"/>
        <v>Use column to left</v>
      </c>
      <c r="U15" s="35" t="s">
        <v>1148</v>
      </c>
      <c r="V15" s="240"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1292</v>
      </c>
      <c r="D20" s="177" t="s">
        <v>425</v>
      </c>
      <c r="E20" s="35"/>
      <c r="F20" s="21"/>
      <c r="G20" s="21"/>
      <c r="H20" s="21"/>
      <c r="I20" s="21"/>
      <c r="J20" s="298"/>
      <c r="K20" s="304"/>
      <c r="L20" s="304"/>
      <c r="M20" s="304"/>
      <c r="N20" s="240">
        <f t="shared" ref="N20:N31"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4"/>
        <v>0</v>
      </c>
      <c r="O27" s="12"/>
      <c r="P27" s="12"/>
      <c r="Q27" s="12"/>
      <c r="R27" s="12"/>
      <c r="S27" s="35">
        <v>1000</v>
      </c>
      <c r="T27" s="514"/>
      <c r="U27" s="35" t="s">
        <v>1166</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I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35286FBF-9E60-40D1-8C11-64AFE59AF997}">
      <formula1>Flow_units</formula1>
    </dataValidation>
    <dataValidation type="custom" allowBlank="1" showInputMessage="1" showErrorMessage="1" error="Please do not change this formula" prompt="Please do not change this formula" sqref="V6:V1048576 W4 V1:V4 S5:V5" xr:uid="{69884190-28A8-4955-A4AF-1B71C516EF7D}">
      <formula1>"Please do not change this formula"</formula1>
    </dataValidation>
    <dataValidation type="custom" allowBlank="1" showInputMessage="1" showErrorMessage="1" error="Please do not change this formula" sqref="R6:R19 R23:R1048576 N1:N1048576 O1:R5 O6:Q1048576" xr:uid="{2FC5848C-5F4A-4312-8E2A-0CEE5CFA4588}">
      <formula1>"Please do not change this formula"</formula1>
    </dataValidation>
    <dataValidation type="custom" allowBlank="1" showInputMessage="1" showErrorMessage="1" error="Please do not change" sqref="R20:R22" xr:uid="{954B8704-36BF-425F-AE90-76935EA3C153}">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321880D3-75DB-4E7B-95E8-D3FC3A903E9A}">
      <formula1>0</formula1>
    </dataValidation>
  </dataValidations>
  <hyperlinks>
    <hyperlink ref="I2:J2" location="'Waste Pre-Processing'!A1" display="Go to the next step of this pathway" xr:uid="{C197C49B-78EF-433B-9407-8CCE21CEFD9F}"/>
    <hyperlink ref="I2:K2" location="'Waste_Pre-Processing'!A1" display="Go to the next step of this pathway" xr:uid="{A810C962-7A66-4969-9246-E2DBBFC600C2}"/>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300-000001000000}">
            <xm:f>AND(Path&lt;&gt;Units!$B$101, Path &lt;&gt;Units!$B$102,Master_Switch="On")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 id="{00000000-000E-0000-2A00-000003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B93EB-951D-4037-83D4-26507FFF83F5}">
  <sheetPr codeName="Sheet36">
    <tabColor theme="7" tint="0.59999389629810485"/>
  </sheetPr>
  <dimension ref="A1:AC204"/>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7.85546875" customWidth="1"/>
    <col min="16" max="16" width="9.2851562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IF(AND(Path&lt;&gt;Units!$B$101,Path&lt;&gt;Units!$B$102,Master_Switch="On"),"User should not fill in this sheet, but switch to other non-blank GHG worksheets","")</f>
        <v>User should not fill in this sheet, but switch to other non-blank GHG worksheets</v>
      </c>
      <c r="E1" s="254"/>
    </row>
    <row r="2" spans="1:29" ht="20.45" customHeight="1">
      <c r="B2" s="80" t="str">
        <f>IF(AND(OR(GHG_WASTE_GASIFICATION!$D$5="Default",GHG_WASTE_GASIFICATION!$D$27="Default"),Master_Switch="On"),"Default data selected for this step, move to the next step of the pathway","")</f>
        <v/>
      </c>
      <c r="E2" s="254"/>
      <c r="I2" s="735" t="s">
        <v>1141</v>
      </c>
      <c r="J2" s="737"/>
      <c r="K2" s="738"/>
      <c r="L2" s="39"/>
      <c r="M2" s="39"/>
    </row>
    <row r="3" spans="1:29" ht="15" customHeight="1">
      <c r="E3" s="254"/>
      <c r="L3" s="39"/>
      <c r="M3" s="39"/>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1292</v>
      </c>
      <c r="D8" s="177" t="s">
        <v>425</v>
      </c>
      <c r="E8" s="35"/>
      <c r="F8" s="21"/>
      <c r="G8" s="21"/>
      <c r="H8" s="20"/>
      <c r="I8" s="20"/>
      <c r="J8" s="298"/>
      <c r="K8" s="300"/>
      <c r="L8" s="300"/>
      <c r="M8" s="300"/>
      <c r="N8" s="240">
        <f t="shared" ref="N8:N17" si="0">IF($D8="MWh/yr (LHV)",$E8,$J8*$E8*(1-$L8)/Conversion_kWh_to_MJ)</f>
        <v>0</v>
      </c>
      <c r="O8" s="12"/>
      <c r="S8" s="107"/>
      <c r="T8" s="107"/>
      <c r="U8" s="107"/>
      <c r="V8" s="358" t="s">
        <v>1085</v>
      </c>
      <c r="X8" s="24"/>
      <c r="Y8" s="12"/>
    </row>
    <row r="9" spans="1:29">
      <c r="B9" s="184" t="s">
        <v>1069</v>
      </c>
      <c r="C9" s="182" t="s">
        <v>1266</v>
      </c>
      <c r="D9" s="177" t="s">
        <v>447</v>
      </c>
      <c r="E9" s="35"/>
      <c r="F9" s="21"/>
      <c r="G9" s="21"/>
      <c r="H9" s="20"/>
      <c r="I9" s="36"/>
      <c r="J9" s="298"/>
      <c r="K9" s="300"/>
      <c r="L9" s="300"/>
      <c r="M9" s="300"/>
      <c r="N9" s="240">
        <f t="shared" si="0"/>
        <v>0</v>
      </c>
      <c r="O9" s="12"/>
      <c r="S9" s="35" t="str">
        <f t="shared" ref="S9:S17" si="1">IF(B9="", "", IF(D9="MWh/yr (LHV)", "Use column to right", "Enter data here"))</f>
        <v>Use column to right</v>
      </c>
      <c r="T9" s="35"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t="s">
        <v>1109</v>
      </c>
      <c r="D10" s="177" t="s">
        <v>447</v>
      </c>
      <c r="E10" s="35"/>
      <c r="F10" s="21"/>
      <c r="G10" s="21"/>
      <c r="H10" s="20"/>
      <c r="I10" s="36"/>
      <c r="J10" s="298"/>
      <c r="K10" s="300"/>
      <c r="L10" s="300"/>
      <c r="M10" s="300"/>
      <c r="N10" s="240">
        <f t="shared" si="0"/>
        <v>0</v>
      </c>
      <c r="O10" s="12"/>
      <c r="S10" s="35" t="str">
        <f t="shared" si="1"/>
        <v>Use column to right</v>
      </c>
      <c r="T10" s="35" t="e">
        <f>INDEX(Proj_grid_intensity_kWh,MATCH(Operations_year,Proj_grid_year,0))/Conversion_kWh_to_MJ</f>
        <v>#N/A</v>
      </c>
      <c r="U10" s="35" t="s">
        <v>1112</v>
      </c>
      <c r="V10" s="240" t="str">
        <f t="shared" si="2"/>
        <v>Unfilled fields to left</v>
      </c>
      <c r="X10" s="25"/>
      <c r="Y10" s="12"/>
    </row>
    <row r="11" spans="1:29">
      <c r="B11" s="184" t="s">
        <v>1090</v>
      </c>
      <c r="C11" s="182" t="s">
        <v>1091</v>
      </c>
      <c r="D11" s="177" t="s">
        <v>447</v>
      </c>
      <c r="E11" s="35"/>
      <c r="F11" s="21"/>
      <c r="G11" s="21"/>
      <c r="H11" s="20"/>
      <c r="I11" s="36"/>
      <c r="J11" s="298"/>
      <c r="K11" s="300"/>
      <c r="L11" s="300"/>
      <c r="M11" s="300"/>
      <c r="N11" s="240">
        <f t="shared" si="0"/>
        <v>0</v>
      </c>
      <c r="O11" s="12"/>
      <c r="S11" s="35" t="str">
        <f t="shared" si="1"/>
        <v>Use column to right</v>
      </c>
      <c r="T11" s="35" t="str">
        <f t="shared" ref="T11:T17" si="3">IF(B11="", "", IF(D11="MWh/yr (LHV)", "Enter data here", "Use column to left"))</f>
        <v>Enter data here</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35" t="str">
        <f t="shared" si="1"/>
        <v>Enter data here</v>
      </c>
      <c r="T12" s="35" t="str">
        <f t="shared" si="3"/>
        <v>Use column to left</v>
      </c>
      <c r="U12" s="35" t="s">
        <v>1148</v>
      </c>
      <c r="V12" s="240" t="str">
        <f t="shared" si="2"/>
        <v>Unfilled fields to left</v>
      </c>
      <c r="X12" s="25"/>
      <c r="Y12" s="12"/>
    </row>
    <row r="13" spans="1:29">
      <c r="B13" s="184" t="s">
        <v>1099</v>
      </c>
      <c r="C13" s="182" t="s">
        <v>1101</v>
      </c>
      <c r="D13" s="177" t="s">
        <v>425</v>
      </c>
      <c r="E13" s="35"/>
      <c r="F13" s="21"/>
      <c r="G13" s="21"/>
      <c r="H13" s="20"/>
      <c r="I13" s="36"/>
      <c r="J13" s="298"/>
      <c r="K13" s="300"/>
      <c r="L13" s="300"/>
      <c r="M13" s="300"/>
      <c r="N13" s="240">
        <f t="shared" si="0"/>
        <v>0</v>
      </c>
      <c r="O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35" t="str">
        <f t="shared" si="1"/>
        <v>Enter data here</v>
      </c>
      <c r="T14" s="35" t="str">
        <f t="shared" si="3"/>
        <v>Use column to left</v>
      </c>
      <c r="U14" s="35" t="s">
        <v>1148</v>
      </c>
      <c r="V14" s="240"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S15" s="35" t="str">
        <f t="shared" si="1"/>
        <v>Enter data here</v>
      </c>
      <c r="T15" s="35" t="str">
        <f t="shared" si="3"/>
        <v>Use column to left</v>
      </c>
      <c r="U15" s="35" t="s">
        <v>1148</v>
      </c>
      <c r="V15" s="240"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O18" s="12"/>
      <c r="S18" s="41"/>
      <c r="T18" s="41"/>
      <c r="U18" s="41"/>
      <c r="V18" s="41"/>
      <c r="X18" s="27"/>
      <c r="Y18" s="12"/>
    </row>
    <row r="19" spans="2:29">
      <c r="B19" s="144" t="s">
        <v>1151</v>
      </c>
      <c r="C19" s="144"/>
      <c r="D19" s="144"/>
      <c r="E19" s="299"/>
      <c r="F19" s="144"/>
      <c r="G19" s="144"/>
      <c r="H19" s="144"/>
      <c r="I19" s="144"/>
      <c r="J19" s="299"/>
      <c r="K19" s="299"/>
      <c r="L19" s="299"/>
      <c r="M19" s="299"/>
      <c r="N19" s="299"/>
      <c r="R19"/>
      <c r="S19" s="40"/>
      <c r="T19" s="40"/>
      <c r="U19" s="40"/>
      <c r="V19" s="40"/>
      <c r="W19" s="19"/>
      <c r="X19" s="19"/>
      <c r="Y19" s="19"/>
      <c r="Z19" s="19"/>
      <c r="AA19" s="19"/>
      <c r="AB19" s="19"/>
      <c r="AC19" s="19"/>
    </row>
    <row r="20" spans="2:29">
      <c r="B20" s="16" t="s">
        <v>1152</v>
      </c>
      <c r="C20" s="182" t="s">
        <v>1293</v>
      </c>
      <c r="D20" s="177" t="s">
        <v>425</v>
      </c>
      <c r="E20" s="35"/>
      <c r="F20" s="21"/>
      <c r="G20" s="21"/>
      <c r="H20" s="21"/>
      <c r="I20" s="21"/>
      <c r="J20" s="298"/>
      <c r="K20" s="304"/>
      <c r="L20" s="304"/>
      <c r="M20" s="304"/>
      <c r="N20" s="240">
        <f t="shared" ref="N20:N34"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358" t="s">
        <v>1085</v>
      </c>
      <c r="X26" s="21"/>
    </row>
    <row r="27" spans="2:29" s="14" customFormat="1">
      <c r="B27" s="184" t="s">
        <v>1105</v>
      </c>
      <c r="C27" s="182" t="s">
        <v>1294</v>
      </c>
      <c r="D27" s="177" t="s">
        <v>425</v>
      </c>
      <c r="E27" s="35"/>
      <c r="F27" s="34"/>
      <c r="G27" s="21"/>
      <c r="H27" s="20"/>
      <c r="I27" s="36"/>
      <c r="J27" s="298"/>
      <c r="K27" s="300"/>
      <c r="L27" s="300"/>
      <c r="M27" s="300"/>
      <c r="N27" s="240">
        <f t="shared" si="4"/>
        <v>0</v>
      </c>
      <c r="O27" s="12"/>
      <c r="P27" s="12"/>
      <c r="Q27" s="12"/>
      <c r="R27" s="12"/>
      <c r="S27" s="35">
        <v>0</v>
      </c>
      <c r="T27" s="514"/>
      <c r="U27" s="35" t="s">
        <v>1248</v>
      </c>
      <c r="V27" s="240" t="str">
        <f t="shared" ref="V27:V34" si="6">IFERROR(IF(D27="tonnes/yr", $S27*$E27/($N$20*3.6), $T27*$E27*3.6/($N$20*3.6)), "Unfilled fields to left")</f>
        <v>Unfilled fields to left</v>
      </c>
      <c r="X27" s="21"/>
    </row>
    <row r="28" spans="2:29" s="14" customFormat="1">
      <c r="B28" s="184" t="s">
        <v>1105</v>
      </c>
      <c r="C28" s="182" t="s">
        <v>1295</v>
      </c>
      <c r="D28" s="177" t="s">
        <v>425</v>
      </c>
      <c r="E28" s="35"/>
      <c r="F28" s="34"/>
      <c r="G28" s="21"/>
      <c r="H28" s="20"/>
      <c r="I28" s="36"/>
      <c r="J28" s="298"/>
      <c r="K28" s="300"/>
      <c r="L28" s="300"/>
      <c r="M28" s="300"/>
      <c r="N28" s="240">
        <f t="shared" si="4"/>
        <v>0</v>
      </c>
      <c r="O28" s="12"/>
      <c r="P28" s="12"/>
      <c r="Q28" s="12"/>
      <c r="R28" s="12"/>
      <c r="S28" s="35">
        <v>1000</v>
      </c>
      <c r="T28" s="514"/>
      <c r="U28" s="35" t="s">
        <v>1166</v>
      </c>
      <c r="V28" s="240" t="str">
        <f t="shared" si="6"/>
        <v>Unfilled fields to left</v>
      </c>
      <c r="X28" s="21"/>
    </row>
    <row r="29" spans="2:29" s="14" customFormat="1">
      <c r="B29" s="184" t="s">
        <v>1118</v>
      </c>
      <c r="C29" s="182" t="s">
        <v>1296</v>
      </c>
      <c r="D29" s="177" t="s">
        <v>425</v>
      </c>
      <c r="E29" s="35">
        <f>E27*$E$50</f>
        <v>0</v>
      </c>
      <c r="F29" s="34"/>
      <c r="G29" s="21"/>
      <c r="H29" s="20"/>
      <c r="I29" s="36"/>
      <c r="J29" s="298"/>
      <c r="K29" s="300"/>
      <c r="L29" s="300"/>
      <c r="M29" s="300"/>
      <c r="N29" s="240">
        <f t="shared" si="4"/>
        <v>0</v>
      </c>
      <c r="O29" s="12"/>
      <c r="P29" s="12"/>
      <c r="Q29" s="12"/>
      <c r="R29" s="12"/>
      <c r="S29" s="35">
        <v>-1000</v>
      </c>
      <c r="T29" s="514"/>
      <c r="U29" s="35" t="s">
        <v>1251</v>
      </c>
      <c r="V29" s="240" t="str">
        <f t="shared" si="6"/>
        <v>Unfilled fields to left</v>
      </c>
      <c r="X29" s="21"/>
    </row>
    <row r="30" spans="2:29" s="14" customFormat="1">
      <c r="B30" s="184" t="s">
        <v>1118</v>
      </c>
      <c r="C30" s="182" t="s">
        <v>1297</v>
      </c>
      <c r="D30" s="177" t="s">
        <v>425</v>
      </c>
      <c r="E30" s="35">
        <f>E28*$E$50</f>
        <v>0</v>
      </c>
      <c r="F30" s="34"/>
      <c r="G30" s="21"/>
      <c r="H30" s="20"/>
      <c r="I30" s="36"/>
      <c r="J30" s="298"/>
      <c r="K30" s="300"/>
      <c r="L30" s="300"/>
      <c r="M30" s="300"/>
      <c r="N30" s="240">
        <f t="shared" si="4"/>
        <v>0</v>
      </c>
      <c r="O30" s="12"/>
      <c r="P30" s="12"/>
      <c r="Q30" s="12"/>
      <c r="R30" s="12"/>
      <c r="S30" s="35">
        <v>-1000</v>
      </c>
      <c r="T30" s="514"/>
      <c r="U30" s="35" t="s">
        <v>1252</v>
      </c>
      <c r="V30" s="240" t="str">
        <f t="shared" si="6"/>
        <v>Unfilled fields to left</v>
      </c>
      <c r="X30" s="21"/>
    </row>
    <row r="31" spans="2:29" s="14" customFormat="1">
      <c r="B31" s="184" t="s">
        <v>1161</v>
      </c>
      <c r="C31" s="182" t="s">
        <v>1121</v>
      </c>
      <c r="D31" s="177" t="s">
        <v>425</v>
      </c>
      <c r="E31" s="35"/>
      <c r="F31" s="34"/>
      <c r="G31" s="21"/>
      <c r="H31" s="20"/>
      <c r="I31" s="36"/>
      <c r="J31" s="298"/>
      <c r="K31" s="300"/>
      <c r="L31" s="300"/>
      <c r="M31" s="300"/>
      <c r="N31" s="240">
        <f t="shared" si="4"/>
        <v>0</v>
      </c>
      <c r="O31" s="12"/>
      <c r="P31" s="12"/>
      <c r="Q31" s="12"/>
      <c r="R31" s="12"/>
      <c r="S31" s="35">
        <v>28000</v>
      </c>
      <c r="T31" s="514"/>
      <c r="U31" s="35" t="s">
        <v>1107</v>
      </c>
      <c r="V31" s="240" t="str">
        <f t="shared" si="6"/>
        <v>Unfilled fields to left</v>
      </c>
      <c r="X31" s="21"/>
    </row>
    <row r="32" spans="2:29" s="14" customFormat="1">
      <c r="B32" s="184" t="s">
        <v>1161</v>
      </c>
      <c r="C32" s="182" t="s">
        <v>1123</v>
      </c>
      <c r="D32" s="177" t="s">
        <v>425</v>
      </c>
      <c r="E32" s="35"/>
      <c r="F32" s="21"/>
      <c r="G32" s="21"/>
      <c r="H32" s="20"/>
      <c r="I32" s="36"/>
      <c r="J32" s="298"/>
      <c r="K32" s="300"/>
      <c r="L32" s="300"/>
      <c r="M32" s="300"/>
      <c r="N32" s="240">
        <f t="shared" si="4"/>
        <v>0</v>
      </c>
      <c r="O32" s="12"/>
      <c r="P32" s="12"/>
      <c r="Q32" s="12"/>
      <c r="R32" s="12"/>
      <c r="S32" s="35">
        <v>265000</v>
      </c>
      <c r="T32" s="514"/>
      <c r="U32" s="35" t="s">
        <v>1107</v>
      </c>
      <c r="V32" s="240" t="str">
        <f t="shared" si="6"/>
        <v>Unfilled fields to left</v>
      </c>
      <c r="X32" s="21"/>
    </row>
    <row r="33" spans="2:25" s="14" customFormat="1">
      <c r="B33" s="16"/>
      <c r="C33" s="15"/>
      <c r="D33" s="177"/>
      <c r="E33" s="35"/>
      <c r="F33" s="21"/>
      <c r="G33" s="21"/>
      <c r="H33" s="20"/>
      <c r="I33" s="36"/>
      <c r="J33" s="298"/>
      <c r="K33" s="300"/>
      <c r="L33" s="300"/>
      <c r="M33" s="300"/>
      <c r="N33" s="240">
        <f t="shared" si="4"/>
        <v>0</v>
      </c>
      <c r="O33" s="12"/>
      <c r="P33" s="12"/>
      <c r="Q33" s="12"/>
      <c r="R33" s="12"/>
      <c r="S33" s="298"/>
      <c r="T33" s="473"/>
      <c r="U33" s="300"/>
      <c r="V33" s="240" t="str">
        <f t="shared" si="6"/>
        <v>Unfilled fields to left</v>
      </c>
      <c r="X33" s="21"/>
    </row>
    <row r="34" spans="2:25" s="14" customFormat="1">
      <c r="B34" s="16"/>
      <c r="C34" s="15"/>
      <c r="D34" s="177"/>
      <c r="E34" s="35"/>
      <c r="F34" s="21"/>
      <c r="G34" s="21"/>
      <c r="H34" s="20"/>
      <c r="I34" s="36"/>
      <c r="J34" s="298"/>
      <c r="K34" s="300"/>
      <c r="L34" s="300"/>
      <c r="M34" s="300"/>
      <c r="N34" s="240">
        <f t="shared" si="4"/>
        <v>0</v>
      </c>
      <c r="O34" s="12"/>
      <c r="P34" s="12"/>
      <c r="Q34" s="12"/>
      <c r="R34" s="12"/>
      <c r="S34" s="298"/>
      <c r="T34" s="473"/>
      <c r="U34" s="300"/>
      <c r="V34" s="240" t="str">
        <f t="shared" si="6"/>
        <v>Unfilled fields to left</v>
      </c>
      <c r="X34" s="21"/>
    </row>
    <row r="35" spans="2:25">
      <c r="C35" s="17"/>
      <c r="D35" s="17"/>
      <c r="E35" s="139"/>
      <c r="F35" s="17"/>
      <c r="H35" s="18"/>
      <c r="I35" s="18"/>
      <c r="J35" s="40"/>
      <c r="K35" s="40"/>
      <c r="L35" s="40"/>
      <c r="M35" s="40"/>
      <c r="N35" s="40"/>
      <c r="O35" s="12"/>
      <c r="S35" s="40"/>
      <c r="T35" s="40"/>
      <c r="U35" s="40"/>
      <c r="V35" s="40"/>
      <c r="Y35" s="12"/>
    </row>
    <row r="36" spans="2:25">
      <c r="B36" s="144" t="s">
        <v>1298</v>
      </c>
      <c r="C36" s="144"/>
      <c r="D36" s="144"/>
      <c r="E36" s="144"/>
      <c r="F36" s="144"/>
      <c r="G36" s="144"/>
      <c r="H36" s="144"/>
      <c r="I36" s="144"/>
      <c r="J36" s="144"/>
      <c r="K36" s="144"/>
      <c r="L36" s="144"/>
      <c r="M36" s="144"/>
      <c r="N36" s="144"/>
      <c r="O36" s="12"/>
      <c r="S36" s="40"/>
      <c r="T36" s="40"/>
      <c r="U36" s="40"/>
      <c r="V36" s="374" t="s">
        <v>1299</v>
      </c>
      <c r="Y36" s="12"/>
    </row>
    <row r="37" spans="2:25">
      <c r="B37" s="184" t="s">
        <v>1105</v>
      </c>
      <c r="C37" s="182" t="s">
        <v>1300</v>
      </c>
      <c r="D37" s="177" t="s">
        <v>425</v>
      </c>
      <c r="E37" s="35"/>
      <c r="F37" s="34"/>
      <c r="G37" s="21"/>
      <c r="H37" s="20"/>
      <c r="I37" s="36"/>
      <c r="J37" s="298"/>
      <c r="K37" s="300"/>
      <c r="L37" s="300"/>
      <c r="M37" s="300"/>
      <c r="N37" s="240">
        <f>IF($D37="MWh/yr (LHV)",$E37,$J37*$E37*(1-$L37)/Conversion_kWh_to_MJ)</f>
        <v>0</v>
      </c>
      <c r="O37" s="12"/>
      <c r="S37" s="35">
        <v>0</v>
      </c>
      <c r="T37" s="514"/>
      <c r="U37" s="35" t="s">
        <v>1248</v>
      </c>
      <c r="V37" s="240" t="str">
        <f>IFERROR(IF(D37="tonnes/yr", $S37*$E37/($N$20*3.6*$E$51), $T37*$E37*3.6/($N$20*3.6*$E$51)), "Unfilled fields to left")</f>
        <v>Unfilled fields to left</v>
      </c>
      <c r="X37" s="21"/>
      <c r="Y37" s="12"/>
    </row>
    <row r="38" spans="2:25">
      <c r="B38" s="184" t="s">
        <v>1118</v>
      </c>
      <c r="C38" s="182" t="s">
        <v>1301</v>
      </c>
      <c r="D38" s="177" t="s">
        <v>425</v>
      </c>
      <c r="E38" s="35">
        <f>E37*$E$50</f>
        <v>0</v>
      </c>
      <c r="F38" s="21"/>
      <c r="G38" s="21"/>
      <c r="H38" s="20"/>
      <c r="I38" s="36"/>
      <c r="J38" s="298"/>
      <c r="K38" s="300"/>
      <c r="L38" s="300"/>
      <c r="M38" s="300"/>
      <c r="N38" s="240">
        <f>IF($D38="MWh/yr (LHV)",$E38,$J38*$E38*(1-$L38)/Conversion_kWh_to_MJ)</f>
        <v>0</v>
      </c>
      <c r="O38" s="12"/>
      <c r="S38" s="35">
        <v>-1000</v>
      </c>
      <c r="T38" s="514"/>
      <c r="U38" s="35" t="s">
        <v>1251</v>
      </c>
      <c r="V38" s="240" t="str">
        <f>IFERROR(IF(D38="tonnes/yr", $S38*$E38/($N$20*3.6*$E$51), $T38*$E38*3.6/($N$20*3.6*$E$51)), "Unfilled fields to left")</f>
        <v>Unfilled fields to left</v>
      </c>
      <c r="X38" s="21"/>
      <c r="Y38" s="12"/>
    </row>
    <row r="39" spans="2:25">
      <c r="B39" s="184"/>
      <c r="C39" s="182"/>
      <c r="D39" s="177"/>
      <c r="E39" s="35"/>
      <c r="F39" s="21"/>
      <c r="G39" s="21"/>
      <c r="H39" s="20"/>
      <c r="I39" s="36"/>
      <c r="J39" s="298"/>
      <c r="K39" s="300"/>
      <c r="L39" s="300"/>
      <c r="M39" s="300"/>
      <c r="N39" s="240">
        <f>IF($D39="MWh/yr (LHV)",$E39,$J39*$E39*(1-$L39)/Conversion_kWh_to_MJ)</f>
        <v>0</v>
      </c>
      <c r="O39" s="12"/>
      <c r="S39" s="35"/>
      <c r="T39" s="514"/>
      <c r="U39" s="35"/>
      <c r="V39" s="240" t="str">
        <f>IFERROR(IF(D39="tonnes/yr", $S39*$E39/($N$20*3.6*$E$51), $T39*$E39*3.6/($N$20*3.6*$E$51)), "Unfilled fields to left")</f>
        <v>Unfilled fields to left</v>
      </c>
      <c r="X39" s="21"/>
      <c r="Y39" s="12"/>
    </row>
    <row r="40" spans="2:25">
      <c r="C40" s="17"/>
      <c r="D40" s="17"/>
      <c r="E40" s="139"/>
      <c r="F40" s="17"/>
      <c r="H40" s="18"/>
      <c r="I40" s="18"/>
      <c r="J40" s="40"/>
      <c r="K40" s="40"/>
      <c r="L40" s="40"/>
      <c r="M40" s="40"/>
      <c r="N40" s="40"/>
      <c r="O40" s="12"/>
      <c r="S40" s="40"/>
      <c r="T40" s="40"/>
      <c r="U40" s="40"/>
      <c r="V40" s="40"/>
      <c r="Y40" s="12"/>
    </row>
    <row r="41" spans="2:25">
      <c r="B41" s="144" t="s">
        <v>1302</v>
      </c>
      <c r="C41" s="144"/>
      <c r="D41" s="144"/>
      <c r="E41" s="144"/>
      <c r="F41" s="144"/>
      <c r="G41" s="144"/>
      <c r="H41" s="144"/>
      <c r="I41" s="144"/>
      <c r="J41" s="144"/>
      <c r="K41" s="144"/>
      <c r="L41" s="144"/>
      <c r="M41" s="144"/>
      <c r="N41" s="144"/>
      <c r="O41" s="12"/>
      <c r="S41" s="40"/>
      <c r="T41" s="40"/>
      <c r="U41" s="40"/>
      <c r="V41" s="374" t="s">
        <v>1303</v>
      </c>
      <c r="Y41" s="12"/>
    </row>
    <row r="42" spans="2:25">
      <c r="B42" s="184" t="s">
        <v>1105</v>
      </c>
      <c r="C42" s="182" t="s">
        <v>1304</v>
      </c>
      <c r="D42" s="177" t="s">
        <v>425</v>
      </c>
      <c r="E42" s="35"/>
      <c r="F42" s="34"/>
      <c r="G42" s="21"/>
      <c r="H42" s="20"/>
      <c r="I42" s="36"/>
      <c r="J42" s="298"/>
      <c r="K42" s="300"/>
      <c r="L42" s="300"/>
      <c r="M42" s="300"/>
      <c r="N42" s="240">
        <f>IF($D42="MWh/yr (LHV)",$E42,$J42*$E42*(1-$L42)/Conversion_kWh_to_MJ)</f>
        <v>0</v>
      </c>
      <c r="O42" s="12"/>
      <c r="S42" s="35">
        <v>1000</v>
      </c>
      <c r="T42" s="514"/>
      <c r="U42" s="35" t="s">
        <v>1305</v>
      </c>
      <c r="V42" s="240" t="str">
        <f>IFERROR(IF(D42="tonnes/yr", $S42*$E42/($E$20*3.6*$E$52), $T42*$E42*3.6/($N$20*3.6*$E$52)), "Unfilled fields to left")</f>
        <v>Unfilled fields to left</v>
      </c>
      <c r="X42" s="21"/>
      <c r="Y42" s="12"/>
    </row>
    <row r="43" spans="2:25">
      <c r="B43" s="184" t="s">
        <v>1118</v>
      </c>
      <c r="C43" s="182" t="s">
        <v>1306</v>
      </c>
      <c r="D43" s="177" t="s">
        <v>425</v>
      </c>
      <c r="E43" s="35">
        <f>E42*$E$50</f>
        <v>0</v>
      </c>
      <c r="F43" s="21"/>
      <c r="G43" s="21"/>
      <c r="H43" s="20"/>
      <c r="I43" s="36"/>
      <c r="J43" s="298"/>
      <c r="K43" s="300"/>
      <c r="L43" s="300"/>
      <c r="M43" s="300"/>
      <c r="N43" s="240">
        <f>IF($D43="MWh/yr (LHV)",$E43,$J43*$E43*(1-$L43)/Conversion_kWh_to_MJ)</f>
        <v>0</v>
      </c>
      <c r="O43" s="12"/>
      <c r="S43" s="35">
        <v>-1000</v>
      </c>
      <c r="T43" s="514"/>
      <c r="U43" s="35" t="s">
        <v>1307</v>
      </c>
      <c r="V43" s="240" t="str">
        <f>IFERROR(IF(D43="tonnes/yr", $S43*$E43/($E$20*3.6*$E$52), $T43*$E43*3.6/($N$20*3.6*$E$52)), "Unfilled fields to left")</f>
        <v>Unfilled fields to left</v>
      </c>
      <c r="X43" s="21"/>
      <c r="Y43" s="12"/>
    </row>
    <row r="44" spans="2:25">
      <c r="B44" s="522"/>
      <c r="C44" s="523"/>
      <c r="D44" s="177"/>
      <c r="E44" s="35"/>
      <c r="F44" s="21"/>
      <c r="G44" s="21"/>
      <c r="H44" s="20"/>
      <c r="I44" s="36"/>
      <c r="J44" s="298"/>
      <c r="K44" s="300"/>
      <c r="L44" s="300"/>
      <c r="M44" s="300"/>
      <c r="N44" s="240">
        <f>IF($D44="MWh/yr (LHV)",$E44,$J44*$E44*(1-$L44)/Conversion_kWh_to_MJ)</f>
        <v>0</v>
      </c>
      <c r="O44" s="12"/>
      <c r="S44" s="35"/>
      <c r="T44" s="514"/>
      <c r="U44" s="35"/>
      <c r="V44" s="240" t="str">
        <f>IFERROR(IF(D44="tonnes/yr", $S44*$E44/($E$20*3.6*$E$52), $T44*$E44*3.6/($N$20*3.6*$E$52)), "Unfilled fields to left")</f>
        <v>Unfilled fields to left</v>
      </c>
      <c r="X44" s="21"/>
      <c r="Y44" s="12"/>
    </row>
    <row r="45" spans="2:25">
      <c r="C45" s="17"/>
      <c r="D45" s="17"/>
      <c r="E45" s="139"/>
      <c r="F45" s="17"/>
      <c r="H45" s="18"/>
      <c r="I45" s="18"/>
      <c r="J45" s="40"/>
      <c r="K45" s="40"/>
      <c r="L45" s="40"/>
      <c r="M45" s="40"/>
      <c r="N45" s="40"/>
      <c r="O45" s="12"/>
      <c r="S45" s="40"/>
      <c r="T45" s="40"/>
      <c r="U45" s="40"/>
      <c r="V45" s="40"/>
      <c r="Y45" s="12"/>
    </row>
    <row r="46" spans="2:25">
      <c r="D46" s="17"/>
      <c r="E46" s="139"/>
      <c r="J46" s="39"/>
      <c r="K46" s="39"/>
      <c r="L46" s="39"/>
      <c r="M46" s="39"/>
      <c r="O46" s="12"/>
      <c r="S46" s="39"/>
      <c r="T46" s="39"/>
      <c r="U46" s="38" t="s">
        <v>1308</v>
      </c>
      <c r="V46" s="152">
        <f>SUM(V7:V35)+SUM(V37:V40)</f>
        <v>0</v>
      </c>
      <c r="Y46" s="12"/>
    </row>
    <row r="47" spans="2:25">
      <c r="D47" s="17"/>
      <c r="E47" s="139"/>
      <c r="J47" s="39"/>
      <c r="K47" s="39"/>
      <c r="L47" s="39"/>
      <c r="M47" s="39"/>
      <c r="O47" s="12"/>
      <c r="S47" s="39"/>
      <c r="T47" s="39"/>
      <c r="U47" s="38" t="s">
        <v>1309</v>
      </c>
      <c r="V47" s="170">
        <f>SUM(V7:V35)+SUM(V42:V45)</f>
        <v>0</v>
      </c>
      <c r="Y47" s="12"/>
    </row>
    <row r="48" spans="2:25">
      <c r="B48" s="144" t="s">
        <v>133</v>
      </c>
      <c r="C48" s="158"/>
      <c r="D48" s="158"/>
      <c r="E48" s="495"/>
      <c r="I48" s="12"/>
      <c r="J48" s="107"/>
      <c r="K48" s="107"/>
      <c r="L48" s="107"/>
      <c r="M48" s="107"/>
      <c r="N48" s="107"/>
      <c r="O48" s="12"/>
      <c r="S48" s="107"/>
      <c r="T48" s="107"/>
      <c r="U48" s="107"/>
      <c r="Y48" s="12"/>
    </row>
    <row r="49" spans="2:25">
      <c r="B49" s="16" t="s">
        <v>1134</v>
      </c>
      <c r="C49" s="15" t="s">
        <v>1135</v>
      </c>
      <c r="D49" s="15" t="s">
        <v>1136</v>
      </c>
      <c r="E49" s="497"/>
      <c r="G49" s="19"/>
      <c r="H49" s="12"/>
      <c r="I49" s="12"/>
      <c r="J49" s="107"/>
      <c r="K49" s="107"/>
      <c r="L49" s="107"/>
      <c r="M49" s="107"/>
      <c r="N49" s="107"/>
      <c r="O49" s="12"/>
      <c r="S49" s="107"/>
      <c r="T49" s="107"/>
      <c r="U49" s="107"/>
      <c r="V49" s="12"/>
      <c r="X49" s="25"/>
      <c r="Y49" s="12"/>
    </row>
    <row r="50" spans="2:25">
      <c r="B50" s="16" t="s">
        <v>1139</v>
      </c>
      <c r="C50" s="15" t="s">
        <v>1184</v>
      </c>
      <c r="D50" s="15" t="s">
        <v>897</v>
      </c>
      <c r="E50" s="507"/>
      <c r="H50" s="12"/>
      <c r="I50" s="12"/>
      <c r="J50" s="107"/>
      <c r="K50" s="107"/>
      <c r="L50" s="107"/>
      <c r="M50" s="107"/>
      <c r="N50" s="107"/>
      <c r="O50" s="12"/>
      <c r="S50" s="107"/>
      <c r="T50" s="107"/>
      <c r="U50" s="107"/>
      <c r="V50" s="12"/>
      <c r="X50" s="25"/>
      <c r="Y50" s="12"/>
    </row>
    <row r="51" spans="2:25">
      <c r="B51" s="16" t="s">
        <v>1310</v>
      </c>
      <c r="C51" s="15" t="s">
        <v>1311</v>
      </c>
      <c r="D51" s="15" t="s">
        <v>897</v>
      </c>
      <c r="E51" s="507"/>
      <c r="J51" s="39"/>
      <c r="K51" s="39"/>
      <c r="L51" s="39"/>
      <c r="M51" s="39"/>
      <c r="S51" s="39"/>
      <c r="T51" s="39"/>
      <c r="U51" s="39"/>
      <c r="X51" s="25"/>
    </row>
    <row r="52" spans="2:25">
      <c r="B52" s="16" t="s">
        <v>1310</v>
      </c>
      <c r="C52" s="15" t="s">
        <v>1312</v>
      </c>
      <c r="D52" s="15" t="s">
        <v>897</v>
      </c>
      <c r="E52" s="507">
        <f>1-E51</f>
        <v>1</v>
      </c>
      <c r="J52" s="39"/>
      <c r="K52" s="39"/>
      <c r="L52" s="39"/>
      <c r="M52" s="39"/>
      <c r="S52" s="39"/>
      <c r="T52" s="39"/>
      <c r="U52" s="39"/>
      <c r="X52" s="528"/>
    </row>
    <row r="53" spans="2:25">
      <c r="B53" s="16"/>
      <c r="C53" s="15"/>
      <c r="D53" s="15"/>
      <c r="E53" s="503"/>
      <c r="J53" s="39"/>
      <c r="K53" s="39"/>
      <c r="L53" s="39"/>
      <c r="M53" s="39"/>
      <c r="S53" s="39"/>
      <c r="T53" s="39"/>
      <c r="U53" s="39"/>
      <c r="X53" s="25"/>
    </row>
    <row r="54" spans="2:25">
      <c r="B54" s="16"/>
      <c r="C54" s="15"/>
      <c r="D54" s="15"/>
      <c r="E54" s="503"/>
      <c r="J54" s="39"/>
      <c r="K54" s="39"/>
      <c r="L54" s="39"/>
      <c r="M54" s="39"/>
      <c r="S54" s="39"/>
      <c r="T54" s="39"/>
      <c r="U54" s="39"/>
      <c r="X54" s="528"/>
    </row>
    <row r="55" spans="2:25">
      <c r="E55" s="107"/>
      <c r="J55" s="39"/>
      <c r="K55" s="39"/>
      <c r="L55" s="39"/>
      <c r="M55" s="39"/>
      <c r="S55" s="39"/>
      <c r="T55" s="39"/>
      <c r="U55" s="39"/>
    </row>
    <row r="56" spans="2:25">
      <c r="E56" s="107"/>
      <c r="J56" s="39"/>
      <c r="K56" s="39"/>
      <c r="L56" s="39"/>
      <c r="M56" s="39"/>
      <c r="S56" s="39"/>
      <c r="T56" s="39"/>
      <c r="U56" s="39"/>
    </row>
    <row r="57" spans="2:25">
      <c r="E57" s="107"/>
      <c r="J57" s="39"/>
      <c r="K57" s="39"/>
      <c r="L57" s="39"/>
      <c r="M57" s="39"/>
      <c r="S57" s="39"/>
      <c r="T57" s="39"/>
      <c r="U57" s="39"/>
    </row>
    <row r="58" spans="2:25">
      <c r="E58" s="107"/>
      <c r="J58" s="39"/>
      <c r="K58" s="39"/>
      <c r="L58" s="39"/>
      <c r="M58" s="39"/>
      <c r="S58" s="39"/>
      <c r="T58" s="39"/>
      <c r="U58" s="39"/>
    </row>
    <row r="59" spans="2:25">
      <c r="E59" s="107"/>
      <c r="J59" s="39"/>
      <c r="K59" s="39"/>
      <c r="L59" s="39"/>
      <c r="M59" s="39"/>
      <c r="S59" s="39"/>
      <c r="T59" s="39"/>
      <c r="U59" s="39"/>
    </row>
    <row r="60" spans="2:25">
      <c r="E60" s="107"/>
      <c r="J60" s="39"/>
      <c r="K60" s="39"/>
      <c r="L60" s="39"/>
      <c r="M60" s="39"/>
      <c r="S60" s="39"/>
      <c r="T60" s="39"/>
      <c r="U60" s="39"/>
    </row>
    <row r="61" spans="2:25">
      <c r="E61" s="107"/>
      <c r="J61" s="39"/>
      <c r="K61" s="39"/>
      <c r="L61" s="39"/>
      <c r="M61" s="39"/>
      <c r="S61" s="39"/>
      <c r="T61" s="39"/>
      <c r="U61" s="39"/>
    </row>
    <row r="62" spans="2:25">
      <c r="E62" s="107"/>
      <c r="J62" s="39"/>
      <c r="K62" s="39"/>
      <c r="L62" s="39"/>
      <c r="M62" s="39"/>
      <c r="S62" s="39"/>
      <c r="T62" s="39"/>
      <c r="U62" s="39"/>
    </row>
    <row r="63" spans="2:25">
      <c r="E63" s="107"/>
      <c r="J63" s="39"/>
      <c r="K63" s="39"/>
      <c r="L63" s="39"/>
      <c r="M63" s="39"/>
      <c r="S63" s="39"/>
      <c r="T63" s="39"/>
      <c r="U63" s="39"/>
    </row>
    <row r="64" spans="2:25">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J125" s="39"/>
      <c r="K125" s="39"/>
      <c r="L125" s="39"/>
      <c r="M125" s="39"/>
      <c r="S125" s="39"/>
      <c r="T125" s="39"/>
      <c r="U125" s="39"/>
    </row>
    <row r="126" spans="5:21">
      <c r="E126" s="107"/>
      <c r="J126" s="39"/>
      <c r="K126" s="39"/>
      <c r="L126" s="39"/>
      <c r="M126" s="39"/>
      <c r="S126" s="39"/>
      <c r="T126" s="39"/>
      <c r="U126" s="39"/>
    </row>
    <row r="127" spans="5:21">
      <c r="E127" s="107"/>
      <c r="J127" s="39"/>
      <c r="K127" s="39"/>
      <c r="L127" s="39"/>
      <c r="M127" s="39"/>
      <c r="S127" s="39"/>
      <c r="T127" s="39"/>
      <c r="U127" s="39"/>
    </row>
    <row r="128" spans="5:21">
      <c r="E128" s="107"/>
      <c r="J128" s="39"/>
      <c r="K128" s="39"/>
      <c r="L128" s="39"/>
      <c r="M128" s="39"/>
      <c r="S128" s="39"/>
      <c r="T128" s="39"/>
      <c r="U128" s="39"/>
    </row>
    <row r="129" spans="5:21">
      <c r="E129" s="107"/>
      <c r="J129" s="39"/>
      <c r="K129" s="39"/>
      <c r="L129" s="39"/>
      <c r="M129" s="39"/>
      <c r="S129" s="39"/>
      <c r="T129" s="39"/>
      <c r="U129" s="39"/>
    </row>
    <row r="130" spans="5:21">
      <c r="E130" s="107"/>
      <c r="J130" s="39"/>
      <c r="K130" s="39"/>
      <c r="L130" s="39"/>
      <c r="M130" s="39"/>
      <c r="S130" s="39"/>
      <c r="T130" s="39"/>
      <c r="U130" s="39"/>
    </row>
    <row r="131" spans="5:21">
      <c r="E131" s="107"/>
      <c r="J131" s="39"/>
      <c r="K131" s="39"/>
      <c r="L131" s="39"/>
      <c r="M131" s="39"/>
      <c r="S131" s="39"/>
      <c r="T131" s="39"/>
      <c r="U131" s="39"/>
    </row>
    <row r="132" spans="5:21">
      <c r="E132" s="107"/>
      <c r="J132" s="39"/>
      <c r="K132" s="39"/>
      <c r="L132" s="39"/>
      <c r="M132" s="39"/>
      <c r="S132" s="39"/>
      <c r="T132" s="39"/>
      <c r="U132" s="39"/>
    </row>
    <row r="133" spans="5:21">
      <c r="E133" s="107"/>
      <c r="J133" s="39"/>
      <c r="K133" s="39"/>
      <c r="L133" s="39"/>
      <c r="M133" s="39"/>
      <c r="S133" s="39"/>
      <c r="T133" s="39"/>
      <c r="U133" s="39"/>
    </row>
    <row r="134" spans="5:21">
      <c r="E134" s="107"/>
      <c r="J134" s="39"/>
      <c r="K134" s="39"/>
      <c r="L134" s="39"/>
      <c r="M134" s="39"/>
      <c r="S134" s="39"/>
      <c r="T134" s="39"/>
      <c r="U134" s="39"/>
    </row>
    <row r="135" spans="5:21">
      <c r="E135" s="107"/>
      <c r="J135" s="39"/>
      <c r="K135" s="39"/>
      <c r="L135" s="39"/>
      <c r="M135" s="39"/>
      <c r="S135" s="39"/>
      <c r="T135" s="39"/>
      <c r="U135" s="39"/>
    </row>
    <row r="136" spans="5:21">
      <c r="E136" s="107"/>
      <c r="J136" s="39"/>
      <c r="K136" s="39"/>
      <c r="L136" s="39"/>
      <c r="M136" s="39"/>
      <c r="S136" s="39"/>
      <c r="T136" s="39"/>
      <c r="U136" s="39"/>
    </row>
    <row r="137" spans="5:21">
      <c r="E137" s="107"/>
      <c r="J137" s="39"/>
      <c r="K137" s="39"/>
      <c r="L137" s="39"/>
      <c r="M137" s="39"/>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E150" s="107"/>
      <c r="S150" s="39"/>
      <c r="T150" s="39"/>
      <c r="U150" s="39"/>
    </row>
    <row r="151" spans="5:21">
      <c r="E151" s="107"/>
      <c r="S151" s="39"/>
      <c r="T151" s="39"/>
      <c r="U151" s="39"/>
    </row>
    <row r="152" spans="5:21">
      <c r="E152" s="107"/>
      <c r="S152" s="39"/>
      <c r="T152" s="39"/>
      <c r="U152" s="39"/>
    </row>
    <row r="153" spans="5:21">
      <c r="E153" s="107"/>
      <c r="S153" s="39"/>
      <c r="T153" s="39"/>
      <c r="U153" s="39"/>
    </row>
    <row r="154" spans="5:21">
      <c r="E154" s="107"/>
      <c r="S154" s="39"/>
      <c r="T154" s="39"/>
      <c r="U154" s="39"/>
    </row>
    <row r="155" spans="5:21">
      <c r="E155" s="107"/>
      <c r="S155" s="39"/>
      <c r="T155" s="39"/>
      <c r="U155" s="39"/>
    </row>
    <row r="156" spans="5:21">
      <c r="E156" s="107"/>
      <c r="S156" s="39"/>
      <c r="T156" s="39"/>
      <c r="U156" s="39"/>
    </row>
    <row r="157" spans="5:21">
      <c r="E157" s="107"/>
      <c r="S157" s="39"/>
      <c r="T157" s="39"/>
      <c r="U157" s="39"/>
    </row>
    <row r="158" spans="5:21">
      <c r="E158" s="107"/>
      <c r="S158" s="39"/>
      <c r="T158" s="39"/>
      <c r="U158" s="39"/>
    </row>
    <row r="159" spans="5:21">
      <c r="E159" s="107"/>
      <c r="S159" s="39"/>
      <c r="T159" s="39"/>
      <c r="U159" s="39"/>
    </row>
    <row r="160" spans="5:21">
      <c r="E160" s="107"/>
      <c r="S160" s="39"/>
      <c r="T160" s="39"/>
      <c r="U160" s="39"/>
    </row>
    <row r="161" spans="5:21">
      <c r="E161" s="107"/>
      <c r="S161" s="39"/>
      <c r="T161" s="39"/>
      <c r="U161" s="39"/>
    </row>
    <row r="162" spans="5:21">
      <c r="E162" s="107"/>
      <c r="S162" s="39"/>
      <c r="T162" s="39"/>
      <c r="U162" s="39"/>
    </row>
    <row r="163" spans="5:21">
      <c r="S163" s="39"/>
      <c r="T163" s="39"/>
      <c r="U163" s="39"/>
    </row>
    <row r="164" spans="5:21">
      <c r="S164" s="39"/>
      <c r="T164" s="39"/>
      <c r="U164" s="39"/>
    </row>
    <row r="165" spans="5:21">
      <c r="S165" s="39"/>
      <c r="T165" s="39"/>
      <c r="U165" s="39"/>
    </row>
    <row r="166" spans="5:21">
      <c r="S166" s="39"/>
      <c r="T166" s="39"/>
      <c r="U166" s="39"/>
    </row>
    <row r="167" spans="5:21">
      <c r="S167" s="39"/>
      <c r="T167" s="39"/>
      <c r="U167" s="39"/>
    </row>
    <row r="168" spans="5:21">
      <c r="S168" s="39"/>
      <c r="T168" s="39"/>
      <c r="U168" s="39"/>
    </row>
    <row r="169" spans="5:21">
      <c r="S169" s="39"/>
      <c r="T169" s="39"/>
      <c r="U169" s="39"/>
    </row>
    <row r="170" spans="5:21">
      <c r="S170" s="39"/>
      <c r="T170" s="39"/>
      <c r="U170" s="39"/>
    </row>
    <row r="171" spans="5:21">
      <c r="S171" s="39"/>
      <c r="T171" s="39"/>
      <c r="U171" s="39"/>
    </row>
    <row r="172" spans="5:21">
      <c r="S172" s="39"/>
      <c r="T172" s="39"/>
      <c r="U172" s="39"/>
    </row>
    <row r="173" spans="5:21">
      <c r="S173" s="39"/>
      <c r="T173" s="39"/>
      <c r="U173" s="39"/>
    </row>
    <row r="174" spans="5:21">
      <c r="S174" s="39"/>
      <c r="T174" s="39"/>
      <c r="U174" s="39"/>
    </row>
    <row r="175" spans="5:21">
      <c r="S175" s="39"/>
      <c r="T175" s="39"/>
      <c r="U175" s="39"/>
    </row>
    <row r="176" spans="5: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row r="192" spans="19:21">
      <c r="S192" s="39"/>
      <c r="T192" s="39"/>
      <c r="U192" s="39"/>
    </row>
    <row r="193" spans="19:21">
      <c r="S193" s="39"/>
      <c r="T193" s="39"/>
      <c r="U193" s="39"/>
    </row>
    <row r="194" spans="19:21">
      <c r="S194" s="39"/>
      <c r="T194" s="39"/>
      <c r="U194" s="39"/>
    </row>
    <row r="195" spans="19:21">
      <c r="S195" s="39"/>
      <c r="T195" s="39"/>
      <c r="U195" s="39"/>
    </row>
    <row r="196" spans="19:21">
      <c r="S196" s="39"/>
      <c r="T196" s="39"/>
      <c r="U196" s="39"/>
    </row>
    <row r="197" spans="19:21">
      <c r="S197" s="39"/>
      <c r="T197" s="39"/>
      <c r="U197" s="39"/>
    </row>
    <row r="198" spans="19:21">
      <c r="S198" s="39"/>
      <c r="T198" s="39"/>
      <c r="U198" s="39"/>
    </row>
    <row r="199" spans="19:21">
      <c r="S199" s="39"/>
      <c r="T199" s="39"/>
      <c r="U199" s="39"/>
    </row>
    <row r="200" spans="19:21">
      <c r="S200" s="39"/>
      <c r="T200" s="39"/>
      <c r="U200" s="39"/>
    </row>
    <row r="201" spans="19:21">
      <c r="S201" s="39"/>
      <c r="T201" s="39"/>
      <c r="U201" s="39"/>
    </row>
    <row r="202" spans="19:21">
      <c r="S202" s="39"/>
      <c r="T202" s="39"/>
      <c r="U202" s="39"/>
    </row>
    <row r="203" spans="19:21">
      <c r="S203" s="39"/>
      <c r="T203" s="39"/>
      <c r="U203" s="39"/>
    </row>
    <row r="204" spans="19:21">
      <c r="S204" s="39"/>
      <c r="T204" s="39"/>
      <c r="U204" s="39"/>
    </row>
  </sheetData>
  <customSheetViews>
    <customSheetView guid="{F03309BC-D3FA-4CF2-833B-D6D9A95FE1FB}" showGridLines="0" state="hidden">
      <pane xSplit="3" ySplit="5" topLeftCell="N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N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4 D37:D39 D42:D44" xr:uid="{97998BDC-1DD0-4D1A-A832-A373E99DD0C9}">
      <formula1>Flow_units</formula1>
    </dataValidation>
    <dataValidation type="custom" allowBlank="1" showInputMessage="1" showErrorMessage="1" error="Please do not change this formula" prompt="Please do not change this formula" sqref="W4 V6:V1048576 V1:V4 S5:V5" xr:uid="{683C8AF2-CA66-4AF6-91CC-400F889D089D}">
      <formula1>"Please do not change this formula"</formula1>
    </dataValidation>
    <dataValidation type="custom" allowBlank="1" showInputMessage="1" showErrorMessage="1" error="Please do not change this formula" sqref="R6:R19 R23:R1048576 N1:N1048576 O1:R5 O6:Q1048576" xr:uid="{23358093-4DAE-4DC8-88BC-FE299EB94AC9}">
      <formula1>"Please do not change this formula"</formula1>
    </dataValidation>
    <dataValidation type="custom" allowBlank="1" showInputMessage="1" showErrorMessage="1" error="Please do not change" sqref="R20:R22" xr:uid="{25220802-73E7-4605-BD67-DDEBF25886BE}">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2597C4E9-CA8E-47AA-B7B8-E3FA204D49B2}">
      <formula1>0</formula1>
    </dataValidation>
  </dataValidations>
  <hyperlinks>
    <hyperlink ref="I2:J2" location="'Waste Further Transport'!A1" display="Go to the next step of this pathway" xr:uid="{593C3D66-E095-4CBE-8C76-E5E28BF9CD03}"/>
    <hyperlink ref="I2:K2" location="Waste_Further_Transport!A1" display="Go to the next step of this pathway" xr:uid="{24A43B58-B5B8-44CC-8763-E756C8080821}"/>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400-000001000000}">
            <xm:f>AND(Path&lt;&gt;Units!$B$101, Path &lt;&gt;Units!$B$102,Master_Switch="On")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4" id="{00000000-000E-0000-2B00-000003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17B5-8E75-429E-8EBA-94AB7F3854D0}">
  <sheetPr codeName="Sheet37">
    <tabColor theme="7" tint="0.59999389629810485"/>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20.42578125" customWidth="1"/>
    <col min="16" max="16" width="8"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IF(AND(Path&lt;&gt;Units!$B$101,Path&lt;&gt;Units!$B$102,Master_Switch="On"),"User should not fill in this sheet, but switch to other non-blank GHG worksheets","")</f>
        <v>User should not fill in this sheet, but switch to other non-blank GHG worksheets</v>
      </c>
      <c r="E1" s="254"/>
    </row>
    <row r="2" spans="1:29" ht="20.45" customHeight="1">
      <c r="B2" s="80" t="str">
        <f>IF(AND(OR(GHG_WASTE_GASIFICATION!$D$5="Default",GHG_WASTE_GASIFICATION!$D$27="Default"),Master_Switch="On"),"Default data selected for this step, move to the next step of the pathway","")</f>
        <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1293</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 t="shared" ref="S9:S17" si="1">IF(B9="", "", IF(D9="MWh/yr (LHV)", "Use column to right", "Enter data here"))</f>
        <v>Use column to right</v>
      </c>
      <c r="T9" s="35" t="e">
        <f>INDEX(Proj_grid_intensity_kWh,MATCH(Operations_year,Proj_grid_year,0))/Conversion_kWh_to_MJ</f>
        <v>#N/A</v>
      </c>
      <c r="U9" s="35" t="s">
        <v>1112</v>
      </c>
      <c r="V9" s="240"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35" t="str">
        <f t="shared" si="1"/>
        <v>Enter data here</v>
      </c>
      <c r="T10" s="35" t="str">
        <f t="shared" ref="T10:T17" si="3">IF(B10="", "", IF(D10="MWh/yr (LHV)", "Enter data here", "Use column to left"))</f>
        <v>Use column to left</v>
      </c>
      <c r="U10" s="35" t="s">
        <v>1148</v>
      </c>
      <c r="V10" s="240"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P11" s="12"/>
      <c r="S11" s="35" t="str">
        <f t="shared" si="1"/>
        <v>Enter data here</v>
      </c>
      <c r="T11" s="35" t="str">
        <f t="shared" si="3"/>
        <v>Use column to left</v>
      </c>
      <c r="U11" s="35" t="s">
        <v>1148</v>
      </c>
      <c r="V11" s="240"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1"/>
        <v>Enter data here</v>
      </c>
      <c r="T12" s="35" t="str">
        <f t="shared" si="3"/>
        <v>Use column to left</v>
      </c>
      <c r="U12" s="35" t="s">
        <v>1148</v>
      </c>
      <c r="V12" s="240" t="str">
        <f t="shared" si="2"/>
        <v>Unfilled fields to left</v>
      </c>
      <c r="X12" s="25"/>
      <c r="Y12" s="12"/>
    </row>
    <row r="13" spans="1:29">
      <c r="B13" s="184" t="s">
        <v>1099</v>
      </c>
      <c r="C13" s="182" t="s">
        <v>1101</v>
      </c>
      <c r="D13" s="177" t="s">
        <v>425</v>
      </c>
      <c r="E13" s="35"/>
      <c r="F13" s="21"/>
      <c r="G13" s="21"/>
      <c r="H13" s="20"/>
      <c r="I13" s="36"/>
      <c r="J13" s="298"/>
      <c r="K13" s="300"/>
      <c r="L13" s="300"/>
      <c r="M13" s="300"/>
      <c r="N13" s="240">
        <f t="shared" si="0"/>
        <v>0</v>
      </c>
      <c r="O13" s="12"/>
      <c r="P13" s="12"/>
      <c r="S13" s="35" t="str">
        <f t="shared" si="1"/>
        <v>Enter data here</v>
      </c>
      <c r="T13" s="35" t="str">
        <f t="shared" si="3"/>
        <v>Use column to left</v>
      </c>
      <c r="U13" s="35" t="s">
        <v>1148</v>
      </c>
      <c r="V13" s="240"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1"/>
        <v>Enter data here</v>
      </c>
      <c r="T14" s="35" t="str">
        <f t="shared" si="3"/>
        <v>Use column to left</v>
      </c>
      <c r="U14" s="35" t="s">
        <v>1148</v>
      </c>
      <c r="V14" s="240"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1"/>
        <v>Enter data here</v>
      </c>
      <c r="T15" s="35" t="str">
        <f t="shared" si="3"/>
        <v>Use column to left</v>
      </c>
      <c r="U15" s="35" t="s">
        <v>1148</v>
      </c>
      <c r="V15" s="240"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1"/>
        <v>Enter data here</v>
      </c>
      <c r="T16" s="35" t="str">
        <f t="shared" si="3"/>
        <v>Use column to left</v>
      </c>
      <c r="U16" s="35" t="s">
        <v>1148</v>
      </c>
      <c r="V16" s="240"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1"/>
        <v/>
      </c>
      <c r="T17" s="35" t="str">
        <f t="shared" si="3"/>
        <v/>
      </c>
      <c r="U17" s="35"/>
      <c r="V17" s="240" t="str">
        <f t="shared" si="2"/>
        <v>Unfilled fields to left</v>
      </c>
      <c r="X17" s="25"/>
      <c r="Y17" s="12"/>
    </row>
    <row r="18" spans="2:29">
      <c r="C18" s="17"/>
      <c r="D18" s="17"/>
      <c r="E18" s="502"/>
      <c r="F18" s="26"/>
      <c r="G18" s="27"/>
      <c r="H18" s="22"/>
      <c r="I18" s="22"/>
      <c r="J18" s="41"/>
      <c r="K18" s="41"/>
      <c r="L18" s="41"/>
      <c r="M18" s="41"/>
      <c r="N18" s="41"/>
      <c r="S18" s="41"/>
      <c r="T18" s="41"/>
      <c r="U18" s="41"/>
      <c r="V18" s="41"/>
      <c r="X18" s="27"/>
      <c r="Y18" s="12"/>
    </row>
    <row r="19" spans="2:29">
      <c r="B19" s="144" t="s">
        <v>1151</v>
      </c>
      <c r="C19" s="144"/>
      <c r="D19" s="144"/>
      <c r="E19" s="299"/>
      <c r="F19" s="144"/>
      <c r="G19" s="144"/>
      <c r="H19" s="144"/>
      <c r="I19" s="144"/>
      <c r="J19" s="299"/>
      <c r="K19" s="299"/>
      <c r="L19" s="299"/>
      <c r="M19" s="299"/>
      <c r="N19" s="299"/>
      <c r="Q19"/>
      <c r="R19"/>
      <c r="S19" s="40"/>
      <c r="T19" s="40"/>
      <c r="U19" s="40"/>
      <c r="V19" s="40"/>
      <c r="W19" s="19"/>
      <c r="X19" s="19"/>
      <c r="Y19" s="19"/>
      <c r="Z19" s="19"/>
      <c r="AA19" s="19"/>
      <c r="AB19" s="19"/>
      <c r="AC19" s="19"/>
    </row>
    <row r="20" spans="2:29">
      <c r="B20" s="16" t="s">
        <v>1152</v>
      </c>
      <c r="C20" s="182" t="s">
        <v>1293</v>
      </c>
      <c r="D20" s="177" t="s">
        <v>425</v>
      </c>
      <c r="E20" s="35"/>
      <c r="F20" s="21"/>
      <c r="G20" s="21"/>
      <c r="H20" s="21"/>
      <c r="I20" s="21"/>
      <c r="J20" s="298"/>
      <c r="K20" s="304"/>
      <c r="L20" s="304"/>
      <c r="M20" s="304"/>
      <c r="N20" s="240">
        <f t="shared" ref="N20:N31" si="4">IF($D20="MWh/yr (LHV)",$E20,$J20*$E20*(1-$L20)/Conversion_kWh_to_MJ)</f>
        <v>0</v>
      </c>
      <c r="O20" s="244" t="str">
        <f>IFERROR(N20/N8,"")</f>
        <v/>
      </c>
      <c r="Q20" s="511">
        <f>IF($D20="MWh/yr (LHV)",$E20,$E20*MAX(0, $J20*(1-$L20)-2.441*$L20)/Conversion_kWh_to_MJ)</f>
        <v>0</v>
      </c>
      <c r="R20" s="243" t="str">
        <f>IFERROR(Q20/(SUM($Q$20:$Q$22)),"")</f>
        <v/>
      </c>
      <c r="S20" s="42"/>
      <c r="T20" s="42"/>
      <c r="U20" s="42"/>
      <c r="V20" s="42"/>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4"/>
        <v>0</v>
      </c>
      <c r="O27" s="12"/>
      <c r="P27" s="12"/>
      <c r="Q27" s="12"/>
      <c r="R27" s="12"/>
      <c r="S27" s="35">
        <v>1000</v>
      </c>
      <c r="T27" s="514"/>
      <c r="U27" s="35" t="s">
        <v>1313</v>
      </c>
      <c r="V27" s="240"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35">
        <v>28000</v>
      </c>
      <c r="T28" s="514"/>
      <c r="U28" s="35" t="s">
        <v>1107</v>
      </c>
      <c r="V28" s="240"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40"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40"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40"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40"/>
      <c r="Y32" s="12"/>
    </row>
    <row r="33" spans="2:25">
      <c r="D33" s="17"/>
      <c r="E33" s="139"/>
      <c r="J33" s="39"/>
      <c r="K33" s="39"/>
      <c r="L33" s="39"/>
      <c r="M33" s="39"/>
      <c r="O33" s="12"/>
      <c r="P33" s="12"/>
      <c r="S33" s="39"/>
      <c r="T33" s="39"/>
      <c r="U33" s="38" t="s">
        <v>1162</v>
      </c>
      <c r="V33" s="152">
        <f>SUM(V7:V32)</f>
        <v>0</v>
      </c>
      <c r="Y33" s="12"/>
    </row>
    <row r="34" spans="2:25">
      <c r="B34" s="144" t="s">
        <v>133</v>
      </c>
      <c r="C34" s="158"/>
      <c r="D34" s="158"/>
      <c r="E34" s="495"/>
      <c r="I34" s="12"/>
      <c r="J34" s="107"/>
      <c r="K34" s="107"/>
      <c r="L34" s="107"/>
      <c r="M34" s="107"/>
      <c r="N34" s="107"/>
      <c r="O34" s="12"/>
      <c r="P34" s="12"/>
      <c r="S34" s="107"/>
      <c r="T34" s="107"/>
      <c r="U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X37" s="25"/>
    </row>
    <row r="38" spans="2:25">
      <c r="B38" s="16"/>
      <c r="C38" s="15"/>
      <c r="D38" s="15"/>
      <c r="E38" s="503"/>
      <c r="J38" s="39"/>
      <c r="K38" s="39"/>
      <c r="L38" s="39"/>
      <c r="M38" s="39"/>
      <c r="S38" s="39"/>
      <c r="T38" s="39"/>
      <c r="U38" s="39"/>
      <c r="X38" s="25"/>
    </row>
    <row r="39" spans="2:25">
      <c r="E39" s="107"/>
      <c r="J39" s="39"/>
      <c r="K39" s="39"/>
      <c r="L39" s="39"/>
      <c r="M39" s="39"/>
      <c r="S39" s="39"/>
      <c r="T39" s="39"/>
      <c r="U39" s="39"/>
    </row>
    <row r="40" spans="2:25">
      <c r="E40" s="107"/>
      <c r="J40" s="39"/>
      <c r="K40" s="39"/>
      <c r="L40" s="39"/>
      <c r="M40" s="39"/>
      <c r="S40" s="39"/>
      <c r="T40" s="39"/>
      <c r="U40" s="39"/>
    </row>
    <row r="41" spans="2:25">
      <c r="E41" s="107"/>
      <c r="J41" s="39"/>
      <c r="K41" s="39"/>
      <c r="L41" s="39"/>
      <c r="M41" s="39"/>
      <c r="S41" s="39"/>
      <c r="T41" s="39"/>
      <c r="U41" s="39"/>
    </row>
    <row r="42" spans="2:25">
      <c r="E42" s="107"/>
      <c r="J42" s="39"/>
      <c r="K42" s="39"/>
      <c r="L42" s="39"/>
      <c r="M42" s="39"/>
      <c r="S42" s="39"/>
      <c r="T42" s="39"/>
      <c r="U42" s="39"/>
    </row>
    <row r="43" spans="2:25">
      <c r="E43" s="107"/>
      <c r="J43" s="39"/>
      <c r="K43" s="39"/>
      <c r="L43" s="39"/>
      <c r="M43" s="39"/>
      <c r="S43" s="39"/>
      <c r="T43" s="39"/>
      <c r="U43" s="39"/>
    </row>
    <row r="44" spans="2:25">
      <c r="E44" s="107"/>
      <c r="J44" s="39"/>
      <c r="K44" s="39"/>
      <c r="L44" s="39"/>
      <c r="M44" s="39"/>
      <c r="S44" s="39"/>
      <c r="T44" s="39"/>
      <c r="U44" s="39"/>
    </row>
    <row r="45" spans="2:25">
      <c r="E45" s="107"/>
      <c r="J45" s="39"/>
      <c r="K45" s="39"/>
      <c r="L45" s="39"/>
      <c r="M45" s="39"/>
      <c r="S45" s="39"/>
      <c r="T45" s="39"/>
      <c r="U45" s="39"/>
    </row>
    <row r="46" spans="2:25">
      <c r="E46" s="107"/>
      <c r="J46" s="39"/>
      <c r="K46" s="39"/>
      <c r="L46" s="39"/>
      <c r="M46" s="39"/>
      <c r="S46" s="39"/>
      <c r="T46" s="39"/>
      <c r="U46" s="39"/>
    </row>
    <row r="47" spans="2:25">
      <c r="E47" s="107"/>
      <c r="J47" s="39"/>
      <c r="K47" s="39"/>
      <c r="L47" s="39"/>
      <c r="M47" s="39"/>
      <c r="S47" s="39"/>
      <c r="T47" s="39"/>
      <c r="U47" s="39"/>
    </row>
    <row r="48" spans="2:25">
      <c r="E48" s="107"/>
      <c r="J48" s="39"/>
      <c r="K48" s="39"/>
      <c r="L48" s="39"/>
      <c r="M48" s="39"/>
      <c r="S48" s="39"/>
      <c r="T48" s="39"/>
      <c r="U48" s="39"/>
    </row>
    <row r="49" spans="5:21">
      <c r="E49" s="107"/>
      <c r="J49" s="39"/>
      <c r="K49" s="39"/>
      <c r="L49" s="39"/>
      <c r="M49" s="39"/>
      <c r="S49" s="39"/>
      <c r="T49" s="39"/>
      <c r="U49" s="39"/>
    </row>
    <row r="50" spans="5:21">
      <c r="E50" s="107"/>
      <c r="J50" s="39"/>
      <c r="K50" s="39"/>
      <c r="L50" s="39"/>
      <c r="M50" s="39"/>
      <c r="S50" s="39"/>
      <c r="T50" s="39"/>
      <c r="U50" s="39"/>
    </row>
    <row r="51" spans="5:21">
      <c r="E51" s="107"/>
      <c r="J51" s="39"/>
      <c r="K51" s="39"/>
      <c r="L51" s="39"/>
      <c r="M51" s="39"/>
      <c r="S51" s="39"/>
      <c r="T51" s="39"/>
      <c r="U51" s="39"/>
    </row>
    <row r="52" spans="5:21">
      <c r="E52" s="107"/>
      <c r="J52" s="39"/>
      <c r="K52" s="39"/>
      <c r="L52" s="39"/>
      <c r="M52" s="39"/>
      <c r="S52" s="39"/>
      <c r="T52" s="39"/>
      <c r="U52" s="39"/>
    </row>
    <row r="53" spans="5:21">
      <c r="E53" s="107"/>
      <c r="J53" s="39"/>
      <c r="K53" s="39"/>
      <c r="L53" s="39"/>
      <c r="M53" s="39"/>
      <c r="S53" s="39"/>
      <c r="T53" s="39"/>
      <c r="U53" s="39"/>
    </row>
    <row r="54" spans="5:21">
      <c r="E54" s="107"/>
      <c r="J54" s="39"/>
      <c r="K54" s="39"/>
      <c r="L54" s="39"/>
      <c r="M54" s="39"/>
      <c r="S54" s="39"/>
      <c r="T54" s="39"/>
      <c r="U54" s="39"/>
    </row>
    <row r="55" spans="5:21">
      <c r="E55" s="107"/>
      <c r="J55" s="39"/>
      <c r="K55" s="39"/>
      <c r="L55" s="39"/>
      <c r="M55" s="39"/>
      <c r="S55" s="39"/>
      <c r="T55" s="39"/>
      <c r="U55" s="39"/>
    </row>
    <row r="56" spans="5:21">
      <c r="E56" s="107"/>
      <c r="J56" s="39"/>
      <c r="K56" s="39"/>
      <c r="L56" s="39"/>
      <c r="M56" s="39"/>
      <c r="S56" s="39"/>
      <c r="T56" s="39"/>
      <c r="U56" s="39"/>
    </row>
    <row r="57" spans="5:21">
      <c r="E57" s="107"/>
      <c r="J57" s="39"/>
      <c r="K57" s="39"/>
      <c r="L57" s="39"/>
      <c r="M57" s="39"/>
      <c r="S57" s="39"/>
      <c r="T57" s="39"/>
      <c r="U57" s="39"/>
    </row>
    <row r="58" spans="5:21">
      <c r="E58" s="107"/>
      <c r="J58" s="39"/>
      <c r="K58" s="39"/>
      <c r="L58" s="39"/>
      <c r="M58" s="39"/>
      <c r="S58" s="39"/>
      <c r="T58" s="39"/>
      <c r="U58" s="39"/>
    </row>
    <row r="59" spans="5:21">
      <c r="E59" s="107"/>
      <c r="J59" s="39"/>
      <c r="K59" s="39"/>
      <c r="L59" s="39"/>
      <c r="M59" s="39"/>
      <c r="S59" s="39"/>
      <c r="T59" s="39"/>
      <c r="U59" s="39"/>
    </row>
    <row r="60" spans="5:21">
      <c r="E60" s="107"/>
      <c r="J60" s="39"/>
      <c r="K60" s="39"/>
      <c r="L60" s="39"/>
      <c r="M60" s="39"/>
      <c r="S60" s="39"/>
      <c r="T60" s="39"/>
      <c r="U60" s="39"/>
    </row>
    <row r="61" spans="5:21">
      <c r="E61" s="107"/>
      <c r="J61" s="39"/>
      <c r="K61" s="39"/>
      <c r="L61" s="39"/>
      <c r="M61" s="39"/>
      <c r="S61" s="39"/>
      <c r="T61" s="39"/>
      <c r="U61" s="39"/>
    </row>
    <row r="62" spans="5:21">
      <c r="E62" s="107"/>
      <c r="J62" s="39"/>
      <c r="K62" s="39"/>
      <c r="L62" s="39"/>
      <c r="M62" s="39"/>
      <c r="S62" s="39"/>
      <c r="T62" s="39"/>
      <c r="U62" s="39"/>
    </row>
    <row r="63" spans="5:21">
      <c r="E63" s="107"/>
      <c r="J63" s="39"/>
      <c r="K63" s="39"/>
      <c r="L63" s="39"/>
      <c r="M63" s="39"/>
      <c r="S63" s="39"/>
      <c r="T63" s="39"/>
      <c r="U63" s="39"/>
    </row>
    <row r="64" spans="5:21">
      <c r="E64" s="107"/>
      <c r="J64" s="39"/>
      <c r="K64" s="39"/>
      <c r="L64" s="39"/>
      <c r="M64" s="39"/>
      <c r="S64" s="39"/>
      <c r="T64" s="39"/>
      <c r="U64" s="39"/>
    </row>
    <row r="65" spans="5:21">
      <c r="E65" s="107"/>
      <c r="J65" s="39"/>
      <c r="K65" s="39"/>
      <c r="L65" s="39"/>
      <c r="M65" s="39"/>
      <c r="S65" s="39"/>
      <c r="T65" s="39"/>
      <c r="U65" s="39"/>
    </row>
    <row r="66" spans="5:21">
      <c r="E66" s="107"/>
      <c r="J66" s="39"/>
      <c r="K66" s="39"/>
      <c r="L66" s="39"/>
      <c r="M66" s="39"/>
      <c r="S66" s="39"/>
      <c r="T66" s="39"/>
      <c r="U66" s="39"/>
    </row>
    <row r="67" spans="5:21">
      <c r="E67" s="107"/>
      <c r="J67" s="39"/>
      <c r="K67" s="39"/>
      <c r="L67" s="39"/>
      <c r="M67" s="39"/>
      <c r="S67" s="39"/>
      <c r="T67" s="39"/>
      <c r="U67" s="39"/>
    </row>
    <row r="68" spans="5:21">
      <c r="E68" s="107"/>
      <c r="J68" s="39"/>
      <c r="K68" s="39"/>
      <c r="L68" s="39"/>
      <c r="M68" s="39"/>
      <c r="S68" s="39"/>
      <c r="T68" s="39"/>
      <c r="U68" s="39"/>
    </row>
    <row r="69" spans="5:21">
      <c r="E69" s="107"/>
      <c r="J69" s="39"/>
      <c r="K69" s="39"/>
      <c r="L69" s="39"/>
      <c r="M69" s="39"/>
      <c r="S69" s="39"/>
      <c r="T69" s="39"/>
      <c r="U69" s="39"/>
    </row>
    <row r="70" spans="5:21">
      <c r="E70" s="107"/>
      <c r="J70" s="39"/>
      <c r="K70" s="39"/>
      <c r="L70" s="39"/>
      <c r="M70" s="39"/>
      <c r="S70" s="39"/>
      <c r="T70" s="39"/>
      <c r="U70" s="39"/>
    </row>
    <row r="71" spans="5:21">
      <c r="E71" s="107"/>
      <c r="J71" s="39"/>
      <c r="K71" s="39"/>
      <c r="L71" s="39"/>
      <c r="M71" s="39"/>
      <c r="S71" s="39"/>
      <c r="T71" s="39"/>
      <c r="U71" s="39"/>
    </row>
    <row r="72" spans="5:21">
      <c r="E72" s="107"/>
      <c r="J72" s="39"/>
      <c r="K72" s="39"/>
      <c r="L72" s="39"/>
      <c r="M72" s="39"/>
      <c r="S72" s="39"/>
      <c r="T72" s="39"/>
      <c r="U72" s="39"/>
    </row>
    <row r="73" spans="5:21">
      <c r="E73" s="107"/>
      <c r="J73" s="39"/>
      <c r="K73" s="39"/>
      <c r="L73" s="39"/>
      <c r="M73" s="39"/>
      <c r="S73" s="39"/>
      <c r="T73" s="39"/>
      <c r="U73" s="39"/>
    </row>
    <row r="74" spans="5:21">
      <c r="E74" s="107"/>
      <c r="J74" s="39"/>
      <c r="K74" s="39"/>
      <c r="L74" s="39"/>
      <c r="M74" s="39"/>
      <c r="S74" s="39"/>
      <c r="T74" s="39"/>
      <c r="U74" s="39"/>
    </row>
    <row r="75" spans="5:21">
      <c r="E75" s="107"/>
      <c r="J75" s="39"/>
      <c r="K75" s="39"/>
      <c r="L75" s="39"/>
      <c r="M75" s="39"/>
      <c r="S75" s="39"/>
      <c r="T75" s="39"/>
      <c r="U75" s="39"/>
    </row>
    <row r="76" spans="5:21">
      <c r="E76" s="107"/>
      <c r="J76" s="39"/>
      <c r="K76" s="39"/>
      <c r="L76" s="39"/>
      <c r="M76" s="39"/>
      <c r="S76" s="39"/>
      <c r="T76" s="39"/>
      <c r="U76" s="39"/>
    </row>
    <row r="77" spans="5:21">
      <c r="E77" s="107"/>
      <c r="J77" s="39"/>
      <c r="K77" s="39"/>
      <c r="L77" s="39"/>
      <c r="M77" s="39"/>
      <c r="S77" s="39"/>
      <c r="T77" s="39"/>
      <c r="U77" s="39"/>
    </row>
    <row r="78" spans="5:21">
      <c r="E78" s="107"/>
      <c r="J78" s="39"/>
      <c r="K78" s="39"/>
      <c r="L78" s="39"/>
      <c r="M78" s="39"/>
      <c r="S78" s="39"/>
      <c r="T78" s="39"/>
      <c r="U78" s="39"/>
    </row>
    <row r="79" spans="5:21">
      <c r="E79" s="107"/>
      <c r="J79" s="39"/>
      <c r="K79" s="39"/>
      <c r="L79" s="39"/>
      <c r="M79" s="39"/>
      <c r="S79" s="39"/>
      <c r="T79" s="39"/>
      <c r="U79" s="39"/>
    </row>
    <row r="80" spans="5:21">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state="hidden">
      <pane xSplit="3" ySplit="5" topLeftCell="H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H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4D40DF06-8074-45B7-B099-9F7A53B442E9}">
      <formula1>Flow_units</formula1>
    </dataValidation>
    <dataValidation type="custom" allowBlank="1" showInputMessage="1" showErrorMessage="1" error="Please do not change this formula" prompt="Please do not change this formula" sqref="W4 V1:V4 V6:V1048576 S5:V5" xr:uid="{A0862A00-CD26-42C1-AE68-2E8586E4BCDF}">
      <formula1>"Please do not change this formula"</formula1>
    </dataValidation>
    <dataValidation type="custom" allowBlank="1" showInputMessage="1" showErrorMessage="1" error="Please do not change this formula" sqref="R6:R19 R23:R1048576 N1:N1048576 O1:R5 O6:Q1048576" xr:uid="{B6B9C25B-7F87-4E18-A015-C37D19A5DFA0}">
      <formula1>"Please do not change this formula"</formula1>
    </dataValidation>
    <dataValidation type="custom" allowBlank="1" showInputMessage="1" showErrorMessage="1" error="Please do not change" sqref="R20:R22" xr:uid="{035CFD45-8316-46C3-AF7D-2C4B5CC007FF}">
      <formula1>"Please do not change"</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9BB0A9C6-764C-4B1C-A912-90CB2C3002C9}">
      <formula1>0</formula1>
    </dataValidation>
  </dataValidations>
  <hyperlinks>
    <hyperlink ref="I2:J2" location="'Waste Gasification (+CCS)'!A1" display="Go to the next step of this pathway" xr:uid="{C1CA7BCB-3305-4D8C-B2B9-CA5611FCF6B4}"/>
    <hyperlink ref="I2:K2" location="Waste_Gasification_CCS!A1" display="Go to the next step of this pathway" xr:uid="{5602B993-1F8F-4B48-8B12-BEE4A30FD0C7}"/>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1" id="{00000000-000E-0000-3500-000001000000}">
            <xm:f>AND(Path&lt;&gt;Units!$B$101, Path &lt;&gt;Units!$B$102,Master_Switch="On")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 id="{00000000-000E-0000-2C00-000002000000}">
            <xm:f>AND(OR(GHG_WASTE_GASIFICATION!$D$5="Default",GHG_WASTE_GASIFICATION!$D$27="Default"),Master_Switch="On")</xm:f>
            <x14:dxf>
              <font>
                <color theme="0"/>
              </font>
              <fill>
                <patternFill>
                  <bgColor theme="0"/>
                </patternFill>
              </fill>
              <border>
                <left/>
                <right/>
                <top/>
                <bottom/>
                <vertical/>
                <horizontal/>
              </border>
            </x14:dxf>
          </x14:cfRule>
          <xm:sqref>A3:XFD200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907C6-176E-41EA-8ADF-601E7AE18E62}">
  <sheetPr codeName="Sheet39">
    <tabColor theme="7" tint="0.59999389629810485"/>
  </sheetPr>
  <dimension ref="A1:AC273"/>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453"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7109375" style="39" customWidth="1"/>
    <col min="16" max="16" width="7.42578125" customWidth="1"/>
    <col min="17" max="17" width="16.5703125" style="12" customWidth="1"/>
    <col min="18" max="18" width="17.5703125" style="12" customWidth="1"/>
    <col min="19" max="20" width="20.7109375" style="13" customWidth="1"/>
    <col min="21" max="21" width="22.7109375" style="13" customWidth="1"/>
    <col min="22" max="22" width="20.28515625" style="39" customWidth="1"/>
    <col min="23" max="23" width="8.42578125" style="12" customWidth="1"/>
    <col min="24" max="24" width="26" style="12" customWidth="1"/>
    <col min="26" max="16384" width="7.140625" style="12"/>
  </cols>
  <sheetData>
    <row r="1" spans="1:28" ht="31.9" customHeight="1">
      <c r="A1" s="80" t="str">
        <f>IF(AND(Path&lt;&gt;Units!$B$101,Path&lt;&gt;Units!$B$102,Master_Switch="On"),"User should not fill in this sheet, but switch to other non-blank GHG worksheets","")</f>
        <v>User should not fill in this sheet, but switch to other non-blank GHG worksheets</v>
      </c>
      <c r="E1" s="254"/>
    </row>
    <row r="2" spans="1:28" ht="20.45" customHeight="1">
      <c r="E2" s="254"/>
      <c r="I2" s="735" t="s">
        <v>1031</v>
      </c>
      <c r="J2" s="737"/>
      <c r="K2" s="738"/>
      <c r="L2" s="552"/>
      <c r="M2" s="552"/>
    </row>
    <row r="3" spans="1:28" ht="15" customHeight="1">
      <c r="E3" s="254"/>
      <c r="L3" s="548"/>
      <c r="N3" s="548"/>
      <c r="O3" s="548"/>
    </row>
    <row r="4" spans="1:28" ht="15.6" customHeight="1" thickBot="1">
      <c r="B4" s="3"/>
      <c r="C4" s="3"/>
      <c r="D4" s="3"/>
      <c r="E4" s="451"/>
      <c r="F4" s="3"/>
      <c r="G4" s="3"/>
      <c r="H4" s="1"/>
      <c r="I4" s="1"/>
      <c r="J4" s="1"/>
      <c r="K4" s="1"/>
      <c r="L4" s="1"/>
      <c r="M4" s="1"/>
      <c r="N4" s="37"/>
      <c r="O4" s="37"/>
      <c r="P4" s="1"/>
      <c r="Q4" s="1"/>
      <c r="R4" s="3"/>
      <c r="S4" s="1"/>
      <c r="T4" s="1"/>
      <c r="U4" s="1"/>
      <c r="V4" s="37"/>
      <c r="W4" s="37"/>
      <c r="X4" s="37"/>
    </row>
    <row r="5" spans="1:28"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O6" s="12"/>
      <c r="Q6" s="39"/>
    </row>
    <row r="7" spans="1:28">
      <c r="B7" s="144" t="s">
        <v>1051</v>
      </c>
      <c r="C7" s="144"/>
      <c r="D7" s="144"/>
      <c r="E7" s="322"/>
      <c r="F7" s="144"/>
      <c r="G7" s="144"/>
      <c r="H7" s="144"/>
      <c r="I7" s="144"/>
      <c r="J7" s="144"/>
      <c r="K7" s="144"/>
      <c r="L7" s="144"/>
      <c r="M7" s="144"/>
      <c r="N7" s="299"/>
      <c r="O7" s="551"/>
      <c r="P7" s="551"/>
      <c r="Q7" s="551"/>
      <c r="R7" s="551"/>
      <c r="S7" s="18"/>
      <c r="T7" s="18"/>
      <c r="U7" s="18"/>
      <c r="V7" s="40"/>
      <c r="Y7" s="12"/>
    </row>
    <row r="8" spans="1:28">
      <c r="B8" s="16" t="s">
        <v>1052</v>
      </c>
      <c r="C8" s="182" t="s">
        <v>1293</v>
      </c>
      <c r="D8" s="177" t="s">
        <v>425</v>
      </c>
      <c r="E8" s="35"/>
      <c r="F8" s="24"/>
      <c r="G8" s="21"/>
      <c r="H8" s="21"/>
      <c r="I8" s="21"/>
      <c r="J8" s="35"/>
      <c r="K8" s="304"/>
      <c r="L8" s="304"/>
      <c r="M8" s="304"/>
      <c r="N8" s="240">
        <f t="shared" ref="N8:N17" si="0">IF($D8="MWh/yr (LHV)",$E8,$J8*$E8*(1-$L8)/Conversion_kWh_to_MJ)</f>
        <v>0</v>
      </c>
      <c r="O8" s="12"/>
      <c r="P8" s="12"/>
      <c r="Q8" s="550"/>
      <c r="S8" s="40"/>
      <c r="T8" s="40"/>
      <c r="U8" s="40"/>
      <c r="V8" s="40"/>
      <c r="X8" s="21"/>
      <c r="Y8" s="12"/>
    </row>
    <row r="9" spans="1:28">
      <c r="B9" s="16" t="s">
        <v>1054</v>
      </c>
      <c r="C9" s="15" t="s">
        <v>1314</v>
      </c>
      <c r="D9" s="15" t="s">
        <v>425</v>
      </c>
      <c r="E9" s="35">
        <f>Hydrogen_flow</f>
        <v>0</v>
      </c>
      <c r="F9" s="21"/>
      <c r="G9" s="21"/>
      <c r="H9" s="21"/>
      <c r="I9" s="21"/>
      <c r="J9" s="35">
        <v>120</v>
      </c>
      <c r="K9" s="304"/>
      <c r="L9" s="547">
        <v>0</v>
      </c>
      <c r="M9" s="304"/>
      <c r="N9" s="240">
        <f t="shared" si="0"/>
        <v>0</v>
      </c>
      <c r="O9" s="242" t="str">
        <f>IFERROR(N9/N8,"")</f>
        <v/>
      </c>
      <c r="P9" s="12"/>
      <c r="Q9" s="511">
        <f>IF($D9="MWh/yr (LHV)",$E9,$E9*MAX(0, $J9*(1-$L9)-2.441*$L9)/Conversion_kWh_to_MJ)</f>
        <v>0</v>
      </c>
      <c r="R9" s="243" t="str">
        <f>IFERROR(Q9/(SUM($Q$9:$Q$13)),"")</f>
        <v/>
      </c>
      <c r="S9" s="42"/>
      <c r="T9" s="42"/>
      <c r="U9" s="42"/>
      <c r="V9" s="12"/>
      <c r="X9" s="21"/>
      <c r="Y9" s="12"/>
    </row>
    <row r="10" spans="1:28">
      <c r="B10" s="184" t="s">
        <v>1056</v>
      </c>
      <c r="C10" s="182" t="s">
        <v>1057</v>
      </c>
      <c r="D10" s="177" t="s">
        <v>447</v>
      </c>
      <c r="E10" s="35"/>
      <c r="F10" s="21"/>
      <c r="G10" s="21"/>
      <c r="H10" s="20"/>
      <c r="I10" s="33"/>
      <c r="J10" s="298"/>
      <c r="K10" s="300"/>
      <c r="L10" s="300"/>
      <c r="M10" s="300"/>
      <c r="N10" s="240">
        <f t="shared" si="0"/>
        <v>0</v>
      </c>
      <c r="P10" s="12"/>
      <c r="Q10" s="511">
        <f>IF($D10="MWh/yr (LHV)",$E10,$E10*MAX(0, $J10*(1-$L10)-2.441*$L10)/Conversion_kWh_to_MJ)</f>
        <v>0</v>
      </c>
      <c r="R10" s="243" t="str">
        <f t="shared" ref="R10:R13" si="1">IFERROR(Q10/(SUM($Q$9:$Q$13)),"")</f>
        <v/>
      </c>
      <c r="S10" s="42"/>
      <c r="T10" s="42"/>
      <c r="U10" s="42"/>
      <c r="V10" s="19"/>
      <c r="W10" s="23"/>
      <c r="X10" s="21"/>
      <c r="Y10" s="12"/>
    </row>
    <row r="11" spans="1:28">
      <c r="B11" s="184" t="s">
        <v>1056</v>
      </c>
      <c r="C11" s="182" t="s">
        <v>1146</v>
      </c>
      <c r="D11" s="177" t="s">
        <v>447</v>
      </c>
      <c r="E11" s="35"/>
      <c r="F11" s="21"/>
      <c r="G11" s="21"/>
      <c r="H11" s="20"/>
      <c r="I11" s="20"/>
      <c r="J11" s="300"/>
      <c r="K11" s="300"/>
      <c r="L11" s="300"/>
      <c r="M11" s="300"/>
      <c r="N11" s="240">
        <f t="shared" si="0"/>
        <v>0</v>
      </c>
      <c r="P11" s="12"/>
      <c r="Q11" s="511">
        <f>IF($D11="MWh/yr (LHV)",$E11,$E11*MAX(0, $J11*(1-$L11)-2.441*$L11)/Conversion_kWh_to_MJ)</f>
        <v>0</v>
      </c>
      <c r="R11" s="243" t="str">
        <f t="shared" si="1"/>
        <v/>
      </c>
      <c r="S11" s="42"/>
      <c r="T11" s="42"/>
      <c r="U11" s="42"/>
      <c r="V11" s="14"/>
      <c r="W11" s="23"/>
      <c r="X11" s="21"/>
      <c r="Y11" s="12"/>
    </row>
    <row r="12" spans="1:28">
      <c r="B12" s="184" t="s">
        <v>1056</v>
      </c>
      <c r="C12" s="182" t="s">
        <v>1059</v>
      </c>
      <c r="D12" s="177" t="s">
        <v>425</v>
      </c>
      <c r="E12" s="35"/>
      <c r="F12" s="21"/>
      <c r="G12" s="21"/>
      <c r="H12" s="20"/>
      <c r="I12" s="20"/>
      <c r="J12" s="300"/>
      <c r="K12" s="300"/>
      <c r="L12" s="300"/>
      <c r="M12" s="300"/>
      <c r="N12" s="240">
        <f t="shared" si="0"/>
        <v>0</v>
      </c>
      <c r="P12" s="12"/>
      <c r="Q12" s="511">
        <f>IF($D12="MWh/yr (LHV)",$E12,$E12*MAX(0, $J12*(1-$L12)-2.441*$L12)/Conversion_kWh_to_MJ)</f>
        <v>0</v>
      </c>
      <c r="R12" s="243" t="str">
        <f t="shared" si="1"/>
        <v/>
      </c>
      <c r="S12" s="40"/>
      <c r="T12" s="40"/>
      <c r="U12" s="40"/>
      <c r="V12" s="40"/>
      <c r="X12" s="21"/>
      <c r="Y12" s="12"/>
    </row>
    <row r="13" spans="1:28">
      <c r="B13" s="184" t="s">
        <v>1056</v>
      </c>
      <c r="C13" s="182" t="s">
        <v>1060</v>
      </c>
      <c r="D13" s="177" t="s">
        <v>425</v>
      </c>
      <c r="E13" s="35"/>
      <c r="F13" s="21"/>
      <c r="G13" s="21"/>
      <c r="H13" s="20"/>
      <c r="I13" s="20"/>
      <c r="J13" s="300"/>
      <c r="K13" s="300"/>
      <c r="L13" s="300"/>
      <c r="M13" s="300"/>
      <c r="N13" s="240">
        <f t="shared" si="0"/>
        <v>0</v>
      </c>
      <c r="P13" s="12"/>
      <c r="Q13" s="511">
        <f>IF($D13="MWh/yr (LHV)",$E13,$E13*MAX(0, $J13*(1-$L13)-2.441*$L13)/Conversion_kWh_to_MJ)</f>
        <v>0</v>
      </c>
      <c r="R13" s="243" t="str">
        <f t="shared" si="1"/>
        <v/>
      </c>
      <c r="S13" s="40"/>
      <c r="T13" s="40"/>
      <c r="U13" s="40"/>
      <c r="V13" s="40"/>
      <c r="X13" s="21"/>
      <c r="Y13" s="12"/>
    </row>
    <row r="14" spans="1:28" s="14" customFormat="1">
      <c r="B14" s="184" t="s">
        <v>1061</v>
      </c>
      <c r="C14" s="182" t="s">
        <v>1156</v>
      </c>
      <c r="D14" s="177" t="s">
        <v>425</v>
      </c>
      <c r="E14" s="35"/>
      <c r="F14" s="21"/>
      <c r="G14" s="21"/>
      <c r="H14" s="20"/>
      <c r="I14" s="20"/>
      <c r="J14" s="300"/>
      <c r="K14" s="300"/>
      <c r="L14" s="300"/>
      <c r="M14" s="300"/>
      <c r="N14" s="240">
        <f t="shared" si="0"/>
        <v>0</v>
      </c>
      <c r="P14" s="12"/>
      <c r="Q14" s="550"/>
      <c r="R14" s="12"/>
      <c r="S14" s="107"/>
      <c r="T14" s="107"/>
      <c r="U14" s="107"/>
      <c r="V14" s="12"/>
      <c r="W14" s="23"/>
      <c r="X14" s="21"/>
      <c r="Y14" s="23"/>
      <c r="Z14" s="42"/>
      <c r="AB14" s="12"/>
    </row>
    <row r="15" spans="1:28" s="14" customFormat="1">
      <c r="B15" s="184" t="s">
        <v>1061</v>
      </c>
      <c r="C15" s="182" t="s">
        <v>1063</v>
      </c>
      <c r="D15" s="177" t="s">
        <v>425</v>
      </c>
      <c r="E15" s="35"/>
      <c r="F15" s="21"/>
      <c r="G15" s="21"/>
      <c r="H15" s="20"/>
      <c r="I15" s="20"/>
      <c r="J15" s="300"/>
      <c r="K15" s="300"/>
      <c r="L15" s="549"/>
      <c r="M15" s="300"/>
      <c r="N15" s="240">
        <f t="shared" si="0"/>
        <v>0</v>
      </c>
      <c r="P15" s="12"/>
      <c r="Q15" s="550"/>
      <c r="R15" s="12"/>
      <c r="S15" s="107"/>
      <c r="T15" s="107"/>
      <c r="U15" s="107"/>
      <c r="V15" s="12"/>
      <c r="W15" s="23"/>
      <c r="X15" s="21"/>
      <c r="Y15" s="23"/>
      <c r="Z15" s="42"/>
      <c r="AB15" s="12"/>
    </row>
    <row r="16" spans="1:28" s="14" customFormat="1">
      <c r="B16" s="184" t="s">
        <v>1064</v>
      </c>
      <c r="C16" s="182" t="s">
        <v>1065</v>
      </c>
      <c r="D16" s="177" t="s">
        <v>425</v>
      </c>
      <c r="E16" s="35"/>
      <c r="F16" s="21"/>
      <c r="G16" s="21"/>
      <c r="H16" s="20"/>
      <c r="I16" s="36"/>
      <c r="J16" s="298"/>
      <c r="K16" s="300"/>
      <c r="L16" s="300"/>
      <c r="M16" s="300"/>
      <c r="N16" s="240">
        <f t="shared" si="0"/>
        <v>0</v>
      </c>
      <c r="P16" s="12"/>
      <c r="Q16" s="550"/>
      <c r="R16" s="12"/>
      <c r="S16" s="107"/>
      <c r="T16" s="107"/>
      <c r="U16" s="107"/>
      <c r="V16" s="12"/>
      <c r="X16" s="21"/>
    </row>
    <row r="17" spans="2:29" s="14" customFormat="1">
      <c r="B17" s="184" t="s">
        <v>1064</v>
      </c>
      <c r="C17" s="182" t="s">
        <v>1066</v>
      </c>
      <c r="D17" s="177" t="s">
        <v>425</v>
      </c>
      <c r="E17" s="35"/>
      <c r="F17" s="21"/>
      <c r="G17" s="21"/>
      <c r="H17" s="20"/>
      <c r="I17" s="36"/>
      <c r="J17" s="298"/>
      <c r="K17" s="300"/>
      <c r="L17" s="300"/>
      <c r="M17" s="300"/>
      <c r="N17" s="240">
        <f t="shared" si="0"/>
        <v>0</v>
      </c>
      <c r="P17" s="12"/>
      <c r="Q17" s="550"/>
      <c r="R17" s="12"/>
      <c r="S17" s="107"/>
      <c r="T17" s="107"/>
      <c r="U17" s="107"/>
      <c r="V17" s="358"/>
      <c r="X17" s="21"/>
    </row>
    <row r="18" spans="2:29">
      <c r="B18" s="68"/>
      <c r="C18" s="69"/>
      <c r="D18" s="78"/>
      <c r="E18" s="75"/>
      <c r="F18" s="76"/>
      <c r="G18" s="79"/>
      <c r="H18" s="71"/>
      <c r="I18" s="71"/>
      <c r="J18" s="75"/>
      <c r="K18" s="73"/>
      <c r="L18" s="73"/>
      <c r="M18" s="73"/>
      <c r="N18" s="73"/>
      <c r="O18" s="73"/>
      <c r="P18" s="12"/>
      <c r="S18" s="40"/>
      <c r="T18" s="40"/>
      <c r="U18" s="40"/>
      <c r="V18" s="12"/>
      <c r="X18" s="76"/>
      <c r="Y18" s="12"/>
    </row>
    <row r="19" spans="2:29" ht="30.95">
      <c r="B19" s="80" t="str">
        <f>IF(AND(OR(GHG_WASTE_GASIFICATION!$D$9="Default",GHG_WASTE_GASIFICATION!$D$31="Default"),Master_Switch="On"),"Default data selected for the emissions category below, move to the next emissions category within this step","")</f>
        <v/>
      </c>
      <c r="C19" s="69"/>
      <c r="D19" s="78"/>
      <c r="E19" s="75"/>
      <c r="F19" s="76"/>
      <c r="G19" s="79"/>
      <c r="H19" s="71"/>
      <c r="I19" s="71"/>
      <c r="J19" s="75"/>
      <c r="K19" s="73"/>
      <c r="L19" s="73"/>
      <c r="M19" s="73"/>
      <c r="N19" s="73"/>
      <c r="O19" s="73"/>
      <c r="P19" s="12"/>
      <c r="S19" s="40"/>
      <c r="T19" s="40"/>
      <c r="U19" s="40"/>
      <c r="V19" s="358" t="s">
        <v>1085</v>
      </c>
      <c r="X19" s="76"/>
      <c r="Y19" s="12"/>
    </row>
    <row r="20" spans="2:29">
      <c r="B20" s="144" t="s">
        <v>1171</v>
      </c>
      <c r="C20" s="145"/>
      <c r="D20" s="145"/>
      <c r="E20" s="146"/>
      <c r="F20" s="147"/>
      <c r="G20" s="148"/>
      <c r="H20" s="149"/>
      <c r="I20" s="149"/>
      <c r="J20" s="146"/>
      <c r="K20" s="488"/>
      <c r="L20" s="488"/>
      <c r="M20" s="488"/>
      <c r="N20" s="487"/>
      <c r="O20" s="487"/>
      <c r="P20" s="150"/>
      <c r="Q20" s="151"/>
      <c r="R20" s="151"/>
      <c r="S20" s="476" t="s">
        <v>1315</v>
      </c>
      <c r="T20" s="476" t="s">
        <v>1315</v>
      </c>
      <c r="U20" s="476"/>
      <c r="V20" s="152">
        <f>SUM(V21:V30)</f>
        <v>0</v>
      </c>
      <c r="W20" s="91"/>
      <c r="Y20" s="12"/>
    </row>
    <row r="21" spans="2:29">
      <c r="B21" s="184" t="s">
        <v>1069</v>
      </c>
      <c r="C21" s="182" t="s">
        <v>1271</v>
      </c>
      <c r="D21" s="177" t="s">
        <v>447</v>
      </c>
      <c r="E21" s="35"/>
      <c r="F21" s="24"/>
      <c r="G21" s="21"/>
      <c r="H21" s="21"/>
      <c r="I21" s="21"/>
      <c r="J21" s="301"/>
      <c r="K21" s="304"/>
      <c r="L21" s="304"/>
      <c r="M21" s="304"/>
      <c r="N21" s="240">
        <f t="shared" ref="N21:N30" si="2">IF($D21="MWh/yr (LHV)",$E21,$J21*$E21*(1-$L21)/Conversion_kWh_to_MJ)</f>
        <v>0</v>
      </c>
      <c r="O21" s="550"/>
      <c r="P21" s="12"/>
      <c r="S21" s="298" t="str">
        <f t="shared" ref="S21:S30" si="3">IF(B21="", "", IF(D21="MWh/yr (LHV)", "Use column to right", "Enter data here"))</f>
        <v>Use column to right</v>
      </c>
      <c r="T21" s="298" t="e">
        <f>IF(B21="", "", IF(D21="MWh/yr (LHV)", Initial_questions!$E$43*1/Conversion_kWh_to_MJ, "Use column to left"))</f>
        <v>#VALUE!</v>
      </c>
      <c r="U21" s="35" t="s">
        <v>1110</v>
      </c>
      <c r="V21" s="241" t="str">
        <f t="shared" ref="V21:V30" si="4">IFERROR(IF(D21="tonnes/yr", $S21*$E21/($N$9*3.6), $T21*$E21*3.6/($N$9*3.6)), "Unfilled fields to left")</f>
        <v>Unfilled fields to left</v>
      </c>
      <c r="X21" s="21"/>
      <c r="Y21" s="12"/>
    </row>
    <row r="22" spans="2:29" s="14" customFormat="1">
      <c r="B22" s="184" t="s">
        <v>1069</v>
      </c>
      <c r="C22" s="182" t="s">
        <v>1087</v>
      </c>
      <c r="D22" s="177" t="s">
        <v>447</v>
      </c>
      <c r="E22" s="35"/>
      <c r="F22" s="24"/>
      <c r="G22" s="21"/>
      <c r="H22" s="63"/>
      <c r="I22" s="63"/>
      <c r="J22" s="302"/>
      <c r="K22" s="304"/>
      <c r="L22" s="304"/>
      <c r="M22" s="304"/>
      <c r="N22" s="240">
        <f t="shared" si="2"/>
        <v>0</v>
      </c>
      <c r="O22" s="550"/>
      <c r="P22" s="19"/>
      <c r="Q22" s="19"/>
      <c r="R22" s="19"/>
      <c r="S22" s="298" t="str">
        <f t="shared" si="3"/>
        <v>Use column to right</v>
      </c>
      <c r="T22" s="298" t="str">
        <f t="shared" ref="T22:T30" si="5">IF(B22="", "", IF(D22="MWh/yr (LHV)", "Enter data here", "Use column to left"))</f>
        <v>Enter data here</v>
      </c>
      <c r="U22" s="35" t="s">
        <v>1088</v>
      </c>
      <c r="V22" s="355" t="str">
        <f t="shared" si="4"/>
        <v>Unfilled fields to left</v>
      </c>
      <c r="X22" s="21"/>
    </row>
    <row r="23" spans="2:29" s="14" customFormat="1">
      <c r="B23" s="184" t="s">
        <v>1069</v>
      </c>
      <c r="C23" s="182" t="s">
        <v>1089</v>
      </c>
      <c r="D23" s="177" t="s">
        <v>447</v>
      </c>
      <c r="E23" s="35"/>
      <c r="F23" s="24"/>
      <c r="G23" s="21"/>
      <c r="H23" s="63"/>
      <c r="I23" s="63"/>
      <c r="J23" s="302"/>
      <c r="K23" s="304"/>
      <c r="L23" s="304"/>
      <c r="M23" s="304"/>
      <c r="N23" s="240">
        <f t="shared" si="2"/>
        <v>0</v>
      </c>
      <c r="O23" s="550"/>
      <c r="P23" s="19"/>
      <c r="Q23" s="19"/>
      <c r="R23" s="19"/>
      <c r="S23" s="513" t="str">
        <f t="shared" si="3"/>
        <v>Use column to right</v>
      </c>
      <c r="T23" s="298" t="str">
        <f t="shared" si="5"/>
        <v>Enter data here</v>
      </c>
      <c r="U23" s="35" t="s">
        <v>1088</v>
      </c>
      <c r="V23" s="355" t="str">
        <f t="shared" si="4"/>
        <v>Unfilled fields to left</v>
      </c>
      <c r="X23" s="65"/>
    </row>
    <row r="24" spans="2:29">
      <c r="B24" s="184" t="s">
        <v>1090</v>
      </c>
      <c r="C24" s="182" t="s">
        <v>1091</v>
      </c>
      <c r="D24" s="177" t="s">
        <v>425</v>
      </c>
      <c r="E24" s="35"/>
      <c r="F24" s="82"/>
      <c r="G24" s="21"/>
      <c r="H24" s="20"/>
      <c r="I24" s="36"/>
      <c r="J24" s="298"/>
      <c r="K24" s="300"/>
      <c r="L24" s="300"/>
      <c r="M24" s="300"/>
      <c r="N24" s="240">
        <f t="shared" si="2"/>
        <v>0</v>
      </c>
      <c r="O24" s="550"/>
      <c r="P24" s="12"/>
      <c r="S24" s="298" t="str">
        <f t="shared" si="3"/>
        <v>Enter data here</v>
      </c>
      <c r="T24" s="298" t="str">
        <f t="shared" si="5"/>
        <v>Use column to left</v>
      </c>
      <c r="U24" s="35" t="s">
        <v>1092</v>
      </c>
      <c r="V24" s="355" t="str">
        <f t="shared" si="4"/>
        <v>Unfilled fields to left</v>
      </c>
      <c r="X24" s="25"/>
      <c r="Y24" s="12"/>
    </row>
    <row r="25" spans="2:29">
      <c r="B25" s="184" t="s">
        <v>1090</v>
      </c>
      <c r="C25" s="182" t="s">
        <v>1093</v>
      </c>
      <c r="D25" s="177" t="s">
        <v>425</v>
      </c>
      <c r="E25" s="35"/>
      <c r="F25" s="21"/>
      <c r="G25" s="21"/>
      <c r="H25" s="20"/>
      <c r="I25" s="36"/>
      <c r="J25" s="298"/>
      <c r="K25" s="300"/>
      <c r="L25" s="300"/>
      <c r="M25" s="300"/>
      <c r="N25" s="240">
        <f t="shared" si="2"/>
        <v>0</v>
      </c>
      <c r="O25" s="550"/>
      <c r="P25" s="12"/>
      <c r="S25" s="298" t="str">
        <f t="shared" si="3"/>
        <v>Enter data here</v>
      </c>
      <c r="T25" s="298" t="str">
        <f t="shared" si="5"/>
        <v>Use column to left</v>
      </c>
      <c r="U25" s="35" t="s">
        <v>1092</v>
      </c>
      <c r="V25" s="355" t="str">
        <f t="shared" si="4"/>
        <v>Unfilled fields to left</v>
      </c>
      <c r="X25" s="25"/>
      <c r="Y25" s="12"/>
    </row>
    <row r="26" spans="2:29">
      <c r="B26" s="184" t="s">
        <v>1090</v>
      </c>
      <c r="C26" s="182" t="s">
        <v>1094</v>
      </c>
      <c r="D26" s="177" t="s">
        <v>425</v>
      </c>
      <c r="E26" s="35"/>
      <c r="F26" s="21"/>
      <c r="G26" s="21"/>
      <c r="H26" s="20"/>
      <c r="I26" s="36"/>
      <c r="J26" s="298"/>
      <c r="K26" s="300"/>
      <c r="L26" s="300"/>
      <c r="M26" s="300"/>
      <c r="N26" s="240">
        <f t="shared" si="2"/>
        <v>0</v>
      </c>
      <c r="O26" s="550"/>
      <c r="P26" s="19"/>
      <c r="Q26" s="19"/>
      <c r="R26" s="19"/>
      <c r="S26" s="298" t="str">
        <f t="shared" si="3"/>
        <v>Enter data here</v>
      </c>
      <c r="T26" s="298" t="str">
        <f t="shared" si="5"/>
        <v>Use column to left</v>
      </c>
      <c r="U26" s="35" t="s">
        <v>1092</v>
      </c>
      <c r="V26" s="355" t="str">
        <f t="shared" si="4"/>
        <v>Unfilled fields to left</v>
      </c>
      <c r="W26" s="19"/>
      <c r="X26" s="25"/>
      <c r="Y26" s="19"/>
      <c r="Z26" s="19"/>
      <c r="AA26" s="19"/>
      <c r="AB26" s="19"/>
      <c r="AC26" s="19"/>
    </row>
    <row r="27" spans="2:29">
      <c r="B27" s="16"/>
      <c r="C27" s="15"/>
      <c r="D27" s="177"/>
      <c r="E27" s="35"/>
      <c r="F27" s="21"/>
      <c r="G27" s="21"/>
      <c r="H27" s="20"/>
      <c r="I27" s="36"/>
      <c r="J27" s="298"/>
      <c r="K27" s="300"/>
      <c r="L27" s="300"/>
      <c r="M27" s="300"/>
      <c r="N27" s="240">
        <f t="shared" si="2"/>
        <v>0</v>
      </c>
      <c r="O27" s="550"/>
      <c r="P27" s="19"/>
      <c r="Q27" s="19"/>
      <c r="R27" s="19"/>
      <c r="S27" s="298" t="str">
        <f t="shared" si="3"/>
        <v/>
      </c>
      <c r="T27" s="298" t="str">
        <f t="shared" si="5"/>
        <v/>
      </c>
      <c r="U27" s="35"/>
      <c r="V27" s="355" t="str">
        <f t="shared" si="4"/>
        <v>Unfilled fields to left</v>
      </c>
      <c r="W27" s="19"/>
      <c r="X27" s="25"/>
      <c r="Y27" s="19"/>
      <c r="Z27" s="19"/>
      <c r="AA27" s="19"/>
      <c r="AB27" s="19"/>
      <c r="AC27" s="19"/>
    </row>
    <row r="28" spans="2:29">
      <c r="B28" s="16"/>
      <c r="C28" s="15"/>
      <c r="D28" s="177"/>
      <c r="E28" s="35"/>
      <c r="F28" s="21"/>
      <c r="G28" s="21"/>
      <c r="H28" s="20"/>
      <c r="I28" s="36"/>
      <c r="J28" s="298"/>
      <c r="K28" s="300"/>
      <c r="L28" s="300"/>
      <c r="M28" s="300"/>
      <c r="N28" s="240">
        <f t="shared" si="2"/>
        <v>0</v>
      </c>
      <c r="O28" s="550"/>
      <c r="P28" s="19"/>
      <c r="Q28" s="19"/>
      <c r="R28" s="19"/>
      <c r="S28" s="298" t="str">
        <f t="shared" si="3"/>
        <v/>
      </c>
      <c r="T28" s="298" t="str">
        <f t="shared" si="5"/>
        <v/>
      </c>
      <c r="U28" s="35"/>
      <c r="V28" s="355" t="str">
        <f t="shared" si="4"/>
        <v>Unfilled fields to left</v>
      </c>
      <c r="W28" s="19"/>
      <c r="X28" s="25"/>
      <c r="Y28" s="19"/>
      <c r="Z28" s="19"/>
      <c r="AA28" s="19"/>
      <c r="AB28" s="19"/>
      <c r="AC28" s="19"/>
    </row>
    <row r="29" spans="2:29">
      <c r="B29" s="16"/>
      <c r="C29" s="15"/>
      <c r="D29" s="177"/>
      <c r="E29" s="35"/>
      <c r="F29" s="21"/>
      <c r="G29" s="21"/>
      <c r="H29" s="20"/>
      <c r="I29" s="36"/>
      <c r="J29" s="298"/>
      <c r="K29" s="300"/>
      <c r="L29" s="300"/>
      <c r="M29" s="300"/>
      <c r="N29" s="240">
        <f t="shared" si="2"/>
        <v>0</v>
      </c>
      <c r="O29" s="550"/>
      <c r="P29" s="19"/>
      <c r="Q29" s="19"/>
      <c r="R29" s="19"/>
      <c r="S29" s="298" t="str">
        <f t="shared" si="3"/>
        <v/>
      </c>
      <c r="T29" s="298" t="str">
        <f t="shared" si="5"/>
        <v/>
      </c>
      <c r="U29" s="35"/>
      <c r="V29" s="355" t="str">
        <f t="shared" si="4"/>
        <v>Unfilled fields to left</v>
      </c>
      <c r="W29" s="19"/>
      <c r="X29" s="25"/>
      <c r="Y29" s="19"/>
      <c r="Z29" s="19"/>
      <c r="AA29" s="19"/>
      <c r="AB29" s="19"/>
      <c r="AC29" s="19"/>
    </row>
    <row r="30" spans="2:29">
      <c r="B30" s="16"/>
      <c r="C30" s="15"/>
      <c r="D30" s="177"/>
      <c r="E30" s="35"/>
      <c r="F30" s="21"/>
      <c r="G30" s="21"/>
      <c r="H30" s="20"/>
      <c r="I30" s="36"/>
      <c r="J30" s="298"/>
      <c r="K30" s="300"/>
      <c r="L30" s="300"/>
      <c r="M30" s="300"/>
      <c r="N30" s="240">
        <f t="shared" si="2"/>
        <v>0</v>
      </c>
      <c r="O30" s="550"/>
      <c r="P30" s="19"/>
      <c r="Q30" s="19"/>
      <c r="R30" s="19"/>
      <c r="S30" s="298" t="str">
        <f t="shared" si="3"/>
        <v/>
      </c>
      <c r="T30" s="298" t="str">
        <f t="shared" si="5"/>
        <v/>
      </c>
      <c r="U30" s="35"/>
      <c r="V30" s="355" t="str">
        <f t="shared" si="4"/>
        <v>Unfilled fields to left</v>
      </c>
      <c r="W30" s="19"/>
      <c r="X30" s="25"/>
      <c r="Y30" s="19"/>
      <c r="Z30" s="19"/>
      <c r="AA30" s="19"/>
      <c r="AB30" s="19"/>
      <c r="AC30" s="19"/>
    </row>
    <row r="31" spans="2:29">
      <c r="C31" s="69"/>
      <c r="D31" s="69"/>
      <c r="E31" s="500"/>
      <c r="F31" s="70"/>
      <c r="G31" s="70"/>
      <c r="H31" s="71"/>
      <c r="I31" s="72"/>
      <c r="J31" s="75"/>
      <c r="K31" s="73"/>
      <c r="L31" s="73"/>
      <c r="M31" s="73"/>
      <c r="N31" s="73"/>
      <c r="O31" s="73"/>
      <c r="P31" s="12"/>
      <c r="S31" s="75"/>
      <c r="T31" s="73"/>
      <c r="U31" s="73"/>
      <c r="V31" s="73"/>
      <c r="X31" s="74"/>
      <c r="Y31" s="12"/>
    </row>
    <row r="32" spans="2:29" ht="30.95">
      <c r="B32" s="80" t="str">
        <f>IF(AND(OR(GHG_WASTE_GASIFICATION!$D$10="Default",GHG_WASTE_GASIFICATION!$D$32="Default"),Master_Switch="On"),"Default data selected for the emissions category below, move to the next emissions category within this step","")</f>
        <v/>
      </c>
      <c r="C32" s="69"/>
      <c r="D32" s="69"/>
      <c r="E32" s="500"/>
      <c r="F32" s="70"/>
      <c r="G32" s="70"/>
      <c r="H32" s="71"/>
      <c r="I32" s="72"/>
      <c r="J32" s="75"/>
      <c r="K32" s="73"/>
      <c r="L32" s="73"/>
      <c r="M32" s="73"/>
      <c r="N32" s="73"/>
      <c r="O32" s="73"/>
      <c r="P32" s="12"/>
      <c r="S32" s="75"/>
      <c r="T32" s="73"/>
      <c r="U32" s="73"/>
      <c r="V32" s="358" t="s">
        <v>1085</v>
      </c>
      <c r="X32" s="74"/>
      <c r="Y32" s="12"/>
    </row>
    <row r="33" spans="2:26" ht="16.5">
      <c r="B33" s="144" t="s">
        <v>1175</v>
      </c>
      <c r="C33" s="153"/>
      <c r="D33" s="153"/>
      <c r="E33" s="501"/>
      <c r="F33" s="154"/>
      <c r="G33" s="154"/>
      <c r="H33" s="155"/>
      <c r="I33" s="156"/>
      <c r="J33" s="303"/>
      <c r="K33" s="472"/>
      <c r="L33" s="472"/>
      <c r="M33" s="472"/>
      <c r="N33" s="472"/>
      <c r="O33" s="472"/>
      <c r="P33" s="157"/>
      <c r="Q33" s="157"/>
      <c r="R33" s="157"/>
      <c r="S33" s="488" t="s">
        <v>1315</v>
      </c>
      <c r="T33" s="488" t="s">
        <v>1315</v>
      </c>
      <c r="U33" s="472"/>
      <c r="V33" s="152">
        <f>SUM(V34:V43)</f>
        <v>0</v>
      </c>
      <c r="W33" s="91"/>
      <c r="X33" s="74"/>
      <c r="Y33" s="12"/>
    </row>
    <row r="34" spans="2:26">
      <c r="B34" s="184" t="s">
        <v>1096</v>
      </c>
      <c r="C34" s="182" t="s">
        <v>1176</v>
      </c>
      <c r="D34" s="177" t="s">
        <v>425</v>
      </c>
      <c r="E34" s="35"/>
      <c r="F34" s="21"/>
      <c r="G34" s="21"/>
      <c r="H34" s="21"/>
      <c r="I34" s="21"/>
      <c r="J34" s="304"/>
      <c r="K34" s="304"/>
      <c r="L34" s="304"/>
      <c r="M34" s="304"/>
      <c r="N34" s="240">
        <f t="shared" ref="N34:N43" si="6">IF($D34="MWh/yr (LHV)",$E34,$J34*$E34*(1-$L34)/Conversion_kWh_to_MJ)</f>
        <v>0</v>
      </c>
      <c r="O34" s="550"/>
      <c r="P34" s="12"/>
      <c r="S34" s="298" t="str">
        <f t="shared" ref="S34:S43" si="7">IF(B34="", "", IF(D34="MWh/yr (LHV)", "Use column to right", "Enter data here"))</f>
        <v>Enter data here</v>
      </c>
      <c r="T34" s="298" t="str">
        <f t="shared" ref="T34:T43" si="8">IF(B34="", "", IF(D34="MWh/yr (LHV)", "Enter data here", "Use column to left"))</f>
        <v>Use column to left</v>
      </c>
      <c r="U34" s="35" t="s">
        <v>1098</v>
      </c>
      <c r="V34" s="240" t="str">
        <f t="shared" ref="V34:V43" si="9">IFERROR(IF(D34="tonnes/yr", $S34*$E34/($N$9*3.6), $T34*$E34*3.6/($N$9*3.6)), "Unfilled fields to left")</f>
        <v>Unfilled fields to left</v>
      </c>
      <c r="X34" s="21"/>
      <c r="Y34" s="12"/>
    </row>
    <row r="35" spans="2:26">
      <c r="B35" s="184" t="s">
        <v>1099</v>
      </c>
      <c r="C35" s="182" t="s">
        <v>1272</v>
      </c>
      <c r="D35" s="177" t="s">
        <v>425</v>
      </c>
      <c r="E35" s="35"/>
      <c r="F35" s="24"/>
      <c r="G35" s="21"/>
      <c r="H35" s="20"/>
      <c r="I35" s="36"/>
      <c r="J35" s="298"/>
      <c r="K35" s="300"/>
      <c r="L35" s="300"/>
      <c r="M35" s="300"/>
      <c r="N35" s="240">
        <f t="shared" si="6"/>
        <v>0</v>
      </c>
      <c r="O35" s="550"/>
      <c r="P35" s="12"/>
      <c r="S35" s="298" t="str">
        <f t="shared" si="7"/>
        <v>Enter data here</v>
      </c>
      <c r="T35" s="298" t="str">
        <f t="shared" si="8"/>
        <v>Use column to left</v>
      </c>
      <c r="U35" s="35" t="s">
        <v>1098</v>
      </c>
      <c r="V35" s="240" t="str">
        <f t="shared" si="9"/>
        <v>Unfilled fields to left</v>
      </c>
      <c r="X35" s="25"/>
      <c r="Y35" s="12"/>
    </row>
    <row r="36" spans="2:26">
      <c r="B36" s="184" t="s">
        <v>1099</v>
      </c>
      <c r="C36" s="182" t="s">
        <v>1058</v>
      </c>
      <c r="D36" s="177" t="s">
        <v>425</v>
      </c>
      <c r="E36" s="35"/>
      <c r="F36" s="24"/>
      <c r="G36" s="21"/>
      <c r="H36" s="20"/>
      <c r="I36" s="36"/>
      <c r="J36" s="298"/>
      <c r="K36" s="300"/>
      <c r="L36" s="300"/>
      <c r="M36" s="300"/>
      <c r="N36" s="240">
        <f t="shared" si="6"/>
        <v>0</v>
      </c>
      <c r="O36" s="550"/>
      <c r="P36" s="12"/>
      <c r="S36" s="298" t="str">
        <f t="shared" si="7"/>
        <v>Enter data here</v>
      </c>
      <c r="T36" s="298" t="str">
        <f t="shared" si="8"/>
        <v>Use column to left</v>
      </c>
      <c r="U36" s="35" t="s">
        <v>1098</v>
      </c>
      <c r="V36" s="240" t="str">
        <f t="shared" si="9"/>
        <v>Unfilled fields to left</v>
      </c>
      <c r="X36" s="25"/>
      <c r="Y36" s="12"/>
    </row>
    <row r="37" spans="2:26">
      <c r="B37" s="184" t="s">
        <v>1099</v>
      </c>
      <c r="C37" s="182" t="s">
        <v>1101</v>
      </c>
      <c r="D37" s="177" t="s">
        <v>425</v>
      </c>
      <c r="E37" s="35"/>
      <c r="F37" s="24"/>
      <c r="G37" s="21"/>
      <c r="H37" s="20"/>
      <c r="I37" s="36"/>
      <c r="J37" s="298"/>
      <c r="K37" s="300"/>
      <c r="L37" s="300"/>
      <c r="M37" s="300"/>
      <c r="N37" s="240">
        <f t="shared" si="6"/>
        <v>0</v>
      </c>
      <c r="O37" s="550"/>
      <c r="P37" s="12"/>
      <c r="S37" s="298" t="str">
        <f t="shared" si="7"/>
        <v>Enter data here</v>
      </c>
      <c r="T37" s="298" t="str">
        <f t="shared" si="8"/>
        <v>Use column to left</v>
      </c>
      <c r="U37" s="35" t="s">
        <v>1098</v>
      </c>
      <c r="V37" s="240" t="str">
        <f t="shared" si="9"/>
        <v>Unfilled fields to left</v>
      </c>
      <c r="X37" s="25"/>
      <c r="Y37" s="12"/>
    </row>
    <row r="38" spans="2:26">
      <c r="B38" s="184" t="s">
        <v>1102</v>
      </c>
      <c r="C38" s="182" t="s">
        <v>1103</v>
      </c>
      <c r="D38" s="177" t="s">
        <v>425</v>
      </c>
      <c r="E38" s="35"/>
      <c r="F38" s="21"/>
      <c r="G38" s="21"/>
      <c r="H38" s="20"/>
      <c r="I38" s="36"/>
      <c r="J38" s="298"/>
      <c r="K38" s="300"/>
      <c r="L38" s="300"/>
      <c r="M38" s="300"/>
      <c r="N38" s="240">
        <f t="shared" si="6"/>
        <v>0</v>
      </c>
      <c r="O38" s="550"/>
      <c r="P38" s="12"/>
      <c r="S38" s="298" t="str">
        <f t="shared" si="7"/>
        <v>Enter data here</v>
      </c>
      <c r="T38" s="298" t="str">
        <f t="shared" si="8"/>
        <v>Use column to left</v>
      </c>
      <c r="U38" s="35" t="s">
        <v>1098</v>
      </c>
      <c r="V38" s="240" t="str">
        <f t="shared" si="9"/>
        <v>Unfilled fields to left</v>
      </c>
      <c r="X38" s="25"/>
      <c r="Y38" s="12"/>
    </row>
    <row r="39" spans="2:26">
      <c r="B39" s="184" t="s">
        <v>1102</v>
      </c>
      <c r="C39" s="182" t="s">
        <v>1103</v>
      </c>
      <c r="D39" s="177" t="s">
        <v>425</v>
      </c>
      <c r="E39" s="35"/>
      <c r="F39" s="21"/>
      <c r="G39" s="21"/>
      <c r="H39" s="20"/>
      <c r="I39" s="36"/>
      <c r="J39" s="298"/>
      <c r="K39" s="300"/>
      <c r="L39" s="300"/>
      <c r="M39" s="300"/>
      <c r="N39" s="240">
        <f t="shared" si="6"/>
        <v>0</v>
      </c>
      <c r="O39" s="550"/>
      <c r="P39" s="12"/>
      <c r="S39" s="298" t="str">
        <f t="shared" si="7"/>
        <v>Enter data here</v>
      </c>
      <c r="T39" s="298" t="str">
        <f t="shared" si="8"/>
        <v>Use column to left</v>
      </c>
      <c r="U39" s="35" t="s">
        <v>1098</v>
      </c>
      <c r="V39" s="240" t="str">
        <f t="shared" si="9"/>
        <v>Unfilled fields to left</v>
      </c>
      <c r="X39" s="25"/>
      <c r="Y39" s="12"/>
    </row>
    <row r="40" spans="2:26">
      <c r="B40" s="16"/>
      <c r="C40" s="15"/>
      <c r="D40" s="177"/>
      <c r="E40" s="35"/>
      <c r="F40" s="54"/>
      <c r="G40" s="21"/>
      <c r="H40" s="20"/>
      <c r="I40" s="36"/>
      <c r="J40" s="298"/>
      <c r="K40" s="300"/>
      <c r="L40" s="300"/>
      <c r="M40" s="300"/>
      <c r="N40" s="240">
        <f t="shared" si="6"/>
        <v>0</v>
      </c>
      <c r="O40" s="550"/>
      <c r="P40" s="12"/>
      <c r="S40" s="298" t="str">
        <f t="shared" si="7"/>
        <v/>
      </c>
      <c r="T40" s="298" t="str">
        <f t="shared" si="8"/>
        <v/>
      </c>
      <c r="U40" s="298"/>
      <c r="V40" s="240" t="str">
        <f t="shared" si="9"/>
        <v>Unfilled fields to left</v>
      </c>
      <c r="X40" s="25"/>
      <c r="Y40" s="12"/>
    </row>
    <row r="41" spans="2:26">
      <c r="B41" s="16"/>
      <c r="C41" s="15"/>
      <c r="D41" s="177"/>
      <c r="E41" s="35"/>
      <c r="F41" s="54"/>
      <c r="G41" s="21"/>
      <c r="H41" s="20"/>
      <c r="I41" s="36"/>
      <c r="J41" s="298"/>
      <c r="K41" s="300"/>
      <c r="L41" s="300"/>
      <c r="M41" s="300"/>
      <c r="N41" s="240">
        <f t="shared" si="6"/>
        <v>0</v>
      </c>
      <c r="O41" s="550"/>
      <c r="P41" s="12"/>
      <c r="S41" s="298" t="str">
        <f t="shared" si="7"/>
        <v/>
      </c>
      <c r="T41" s="298" t="str">
        <f t="shared" si="8"/>
        <v/>
      </c>
      <c r="U41" s="298"/>
      <c r="V41" s="240" t="str">
        <f t="shared" si="9"/>
        <v>Unfilled fields to left</v>
      </c>
      <c r="X41" s="25"/>
      <c r="Y41" s="12"/>
    </row>
    <row r="42" spans="2:26">
      <c r="B42" s="16"/>
      <c r="C42" s="15"/>
      <c r="D42" s="177"/>
      <c r="E42" s="35"/>
      <c r="F42" s="54"/>
      <c r="G42" s="21"/>
      <c r="H42" s="20"/>
      <c r="I42" s="36"/>
      <c r="J42" s="298"/>
      <c r="K42" s="300"/>
      <c r="L42" s="300"/>
      <c r="M42" s="300"/>
      <c r="N42" s="240">
        <f t="shared" si="6"/>
        <v>0</v>
      </c>
      <c r="O42" s="550"/>
      <c r="P42" s="12"/>
      <c r="S42" s="298" t="str">
        <f t="shared" si="7"/>
        <v/>
      </c>
      <c r="T42" s="298" t="str">
        <f t="shared" si="8"/>
        <v/>
      </c>
      <c r="U42" s="298"/>
      <c r="V42" s="240" t="str">
        <f t="shared" si="9"/>
        <v>Unfilled fields to left</v>
      </c>
      <c r="X42" s="25"/>
      <c r="Y42" s="12"/>
    </row>
    <row r="43" spans="2:26">
      <c r="B43" s="16"/>
      <c r="C43" s="15"/>
      <c r="D43" s="177"/>
      <c r="E43" s="35"/>
      <c r="F43" s="21"/>
      <c r="G43" s="21"/>
      <c r="H43" s="20"/>
      <c r="I43" s="36"/>
      <c r="J43" s="298"/>
      <c r="K43" s="300"/>
      <c r="L43" s="300"/>
      <c r="M43" s="300"/>
      <c r="N43" s="240">
        <f t="shared" si="6"/>
        <v>0</v>
      </c>
      <c r="O43" s="550"/>
      <c r="P43" s="12"/>
      <c r="S43" s="298" t="str">
        <f t="shared" si="7"/>
        <v/>
      </c>
      <c r="T43" s="298" t="str">
        <f t="shared" si="8"/>
        <v/>
      </c>
      <c r="U43" s="298"/>
      <c r="V43" s="240" t="str">
        <f t="shared" si="9"/>
        <v>Unfilled fields to left</v>
      </c>
      <c r="X43" s="25"/>
      <c r="Y43" s="12"/>
    </row>
    <row r="44" spans="2:26">
      <c r="C44" s="83"/>
      <c r="D44" s="83"/>
      <c r="E44" s="494"/>
      <c r="F44" s="84"/>
      <c r="G44" s="85"/>
      <c r="H44" s="86"/>
      <c r="I44" s="86"/>
      <c r="J44" s="87"/>
      <c r="K44" s="87"/>
      <c r="L44" s="87"/>
      <c r="M44" s="87"/>
      <c r="N44" s="87"/>
      <c r="O44" s="87"/>
      <c r="P44" s="28"/>
      <c r="Q44" s="14"/>
      <c r="R44" s="14"/>
      <c r="S44" s="87"/>
      <c r="T44" s="87"/>
      <c r="U44" s="87"/>
      <c r="V44" s="87"/>
      <c r="X44" s="27"/>
      <c r="Y44" s="12"/>
    </row>
    <row r="45" spans="2:26">
      <c r="B45" s="14"/>
      <c r="C45" s="83"/>
      <c r="D45" s="83"/>
      <c r="E45" s="494"/>
      <c r="F45" s="84"/>
      <c r="G45" s="85"/>
      <c r="H45" s="86"/>
      <c r="I45" s="86"/>
      <c r="J45" s="87"/>
      <c r="K45" s="87"/>
      <c r="L45" s="87"/>
      <c r="M45" s="87"/>
      <c r="N45" s="87"/>
      <c r="O45" s="87"/>
      <c r="P45" s="28"/>
      <c r="Q45" s="14"/>
      <c r="R45" s="14"/>
      <c r="S45" s="87"/>
      <c r="T45" s="87"/>
      <c r="U45" s="87"/>
      <c r="V45" s="521" t="s">
        <v>1299</v>
      </c>
      <c r="X45" s="27"/>
      <c r="Y45" s="12"/>
    </row>
    <row r="46" spans="2:26" s="14" customFormat="1" ht="13.5" customHeight="1">
      <c r="B46" s="144" t="s">
        <v>1316</v>
      </c>
      <c r="C46" s="158"/>
      <c r="D46" s="158"/>
      <c r="E46" s="495"/>
      <c r="F46" s="159"/>
      <c r="G46" s="160"/>
      <c r="H46" s="159"/>
      <c r="I46" s="159"/>
      <c r="J46" s="305"/>
      <c r="K46" s="305"/>
      <c r="L46" s="305"/>
      <c r="M46" s="305"/>
      <c r="N46" s="305"/>
      <c r="O46" s="305"/>
      <c r="P46" s="161"/>
      <c r="Q46" s="162"/>
      <c r="R46" s="151"/>
      <c r="S46" s="305" t="s">
        <v>1317</v>
      </c>
      <c r="T46" s="305"/>
      <c r="U46" s="305"/>
      <c r="V46" s="152">
        <f>SUM(V47:V49)</f>
        <v>0</v>
      </c>
      <c r="W46" s="19"/>
      <c r="X46" s="70"/>
      <c r="Z46" s="19"/>
    </row>
    <row r="47" spans="2:26" s="14" customFormat="1">
      <c r="B47" s="184" t="s">
        <v>1105</v>
      </c>
      <c r="C47" s="182" t="s">
        <v>1318</v>
      </c>
      <c r="D47" s="177" t="s">
        <v>425</v>
      </c>
      <c r="E47" s="35"/>
      <c r="F47" s="24"/>
      <c r="G47" s="21"/>
      <c r="H47" s="21"/>
      <c r="I47" s="21"/>
      <c r="J47" s="304"/>
      <c r="K47" s="304"/>
      <c r="L47" s="304"/>
      <c r="M47" s="304"/>
      <c r="N47" s="44">
        <f>IF($D47="MWh/yr (LHV)",$E47,$J47*$E47*(1-$L47)/Conversion_kWh_to_MJ)</f>
        <v>0</v>
      </c>
      <c r="O47" s="73"/>
      <c r="P47" s="12"/>
      <c r="Q47" s="12"/>
      <c r="R47" s="12"/>
      <c r="S47" s="298">
        <v>0</v>
      </c>
      <c r="T47" s="473"/>
      <c r="U47" s="35" t="s">
        <v>1248</v>
      </c>
      <c r="V47" s="44" t="str">
        <f>IFERROR(IF(D47="tonnes/yr", $S47*$E47/($N$9*3.6*$E$106), $T47*$E47*3.6/($N$9*3.6*$E$106)), "Unfilled fields to left")</f>
        <v>Unfilled fields to left</v>
      </c>
      <c r="W47" s="19"/>
      <c r="X47" s="21"/>
      <c r="Z47" s="19"/>
    </row>
    <row r="48" spans="2:26" s="14" customFormat="1">
      <c r="B48" s="16"/>
      <c r="C48" s="15"/>
      <c r="D48" s="177"/>
      <c r="E48" s="35"/>
      <c r="F48" s="63"/>
      <c r="G48" s="63"/>
      <c r="H48" s="63"/>
      <c r="I48" s="63"/>
      <c r="J48" s="302"/>
      <c r="K48" s="304"/>
      <c r="L48" s="304"/>
      <c r="M48" s="304"/>
      <c r="N48" s="44">
        <f>IF($D48="MWh/yr (LHV)",$E48,$J48*$E48*(1-$L48)/Conversion_kWh_to_MJ)</f>
        <v>0</v>
      </c>
      <c r="O48" s="73"/>
      <c r="P48" s="12"/>
      <c r="Q48" s="12"/>
      <c r="R48" s="12"/>
      <c r="S48" s="300"/>
      <c r="T48" s="473"/>
      <c r="U48" s="300"/>
      <c r="V48" s="44" t="str">
        <f>IFERROR(IF(D48="tonnes/yr", $S48*$E48/($N$9*3.6*$E$106), $T48*$E48*3.6/($N$9*3.6*$E$106)), "Unfilled fields to left")</f>
        <v>Unfilled fields to left</v>
      </c>
      <c r="W48" s="19"/>
      <c r="X48" s="21"/>
      <c r="Z48" s="19"/>
    </row>
    <row r="49" spans="2:26" s="14" customFormat="1">
      <c r="B49" s="64"/>
      <c r="C49" s="15"/>
      <c r="D49" s="177"/>
      <c r="E49" s="35"/>
      <c r="F49" s="21"/>
      <c r="G49" s="21"/>
      <c r="H49" s="21"/>
      <c r="I49" s="21"/>
      <c r="J49" s="21"/>
      <c r="K49" s="304"/>
      <c r="L49" s="304"/>
      <c r="M49" s="304"/>
      <c r="N49" s="44">
        <f>IF($D49="MWh/yr (LHV)",$E49,$J49*$E49*(1-$L49)/Conversion_kWh_to_MJ)</f>
        <v>0</v>
      </c>
      <c r="O49" s="73"/>
      <c r="P49" s="19"/>
      <c r="Q49" s="19"/>
      <c r="R49" s="19"/>
      <c r="S49" s="300"/>
      <c r="T49" s="473"/>
      <c r="U49" s="300"/>
      <c r="V49" s="44" t="str">
        <f>IFERROR(IF(D49="tonnes/yr", $S49*$E49/($N$9*3.6*$E$106), $T49*$E49*3.6/($N$9*3.6*$E$106)), "Unfilled fields to left")</f>
        <v>Unfilled fields to left</v>
      </c>
      <c r="W49" s="19"/>
      <c r="X49" s="65"/>
      <c r="Z49" s="19"/>
    </row>
    <row r="50" spans="2:26" s="14" customFormat="1">
      <c r="B50" s="68"/>
      <c r="C50" s="69"/>
      <c r="D50" s="69"/>
      <c r="E50" s="500"/>
      <c r="F50" s="70"/>
      <c r="G50" s="70"/>
      <c r="H50" s="70"/>
      <c r="I50" s="70"/>
      <c r="J50" s="141"/>
      <c r="K50" s="141"/>
      <c r="L50" s="141"/>
      <c r="M50" s="141"/>
      <c r="N50" s="73"/>
      <c r="O50" s="73"/>
      <c r="P50" s="19"/>
      <c r="Q50" s="19"/>
      <c r="R50" s="19"/>
      <c r="S50" s="73"/>
      <c r="T50" s="73"/>
      <c r="U50" s="73"/>
      <c r="V50" s="87"/>
      <c r="W50" s="19"/>
      <c r="X50" s="70"/>
      <c r="Z50" s="19"/>
    </row>
    <row r="51" spans="2:26">
      <c r="B51" s="14"/>
      <c r="C51" s="83"/>
      <c r="D51" s="83"/>
      <c r="E51" s="494"/>
      <c r="F51" s="84"/>
      <c r="G51" s="85"/>
      <c r="H51" s="86"/>
      <c r="I51" s="86"/>
      <c r="J51" s="87"/>
      <c r="K51" s="87"/>
      <c r="L51" s="87"/>
      <c r="M51" s="87"/>
      <c r="N51" s="87"/>
      <c r="O51" s="87"/>
      <c r="P51" s="28"/>
      <c r="Q51" s="14"/>
      <c r="R51" s="14"/>
      <c r="S51" s="87"/>
      <c r="T51" s="87"/>
      <c r="U51" s="87"/>
      <c r="V51" s="521" t="s">
        <v>1303</v>
      </c>
      <c r="X51" s="27"/>
      <c r="Y51" s="12"/>
    </row>
    <row r="52" spans="2:26" s="14" customFormat="1" ht="13.5" customHeight="1">
      <c r="B52" s="144" t="s">
        <v>1319</v>
      </c>
      <c r="C52" s="158"/>
      <c r="D52" s="158"/>
      <c r="E52" s="495"/>
      <c r="F52" s="159"/>
      <c r="G52" s="160"/>
      <c r="H52" s="159"/>
      <c r="I52" s="159"/>
      <c r="J52" s="305"/>
      <c r="K52" s="305"/>
      <c r="L52" s="305"/>
      <c r="M52" s="305"/>
      <c r="N52" s="305"/>
      <c r="O52" s="305"/>
      <c r="P52" s="161"/>
      <c r="Q52" s="162"/>
      <c r="R52" s="151"/>
      <c r="S52" s="305" t="s">
        <v>1317</v>
      </c>
      <c r="T52" s="305"/>
      <c r="U52" s="305"/>
      <c r="V52" s="152">
        <f>SUM(V53:V55)</f>
        <v>0</v>
      </c>
      <c r="W52" s="113"/>
      <c r="X52" s="70"/>
      <c r="Z52" s="19"/>
    </row>
    <row r="53" spans="2:26" s="14" customFormat="1">
      <c r="B53" s="184" t="s">
        <v>1105</v>
      </c>
      <c r="C53" s="182" t="s">
        <v>1320</v>
      </c>
      <c r="D53" s="177" t="s">
        <v>425</v>
      </c>
      <c r="E53" s="35"/>
      <c r="F53" s="24"/>
      <c r="G53" s="21"/>
      <c r="H53" s="21"/>
      <c r="I53" s="21"/>
      <c r="J53" s="304"/>
      <c r="K53" s="304"/>
      <c r="L53" s="304"/>
      <c r="M53" s="304"/>
      <c r="N53" s="44">
        <f>IF($D53="MWh/yr (LHV)",$E53,$J53*$E53*(1-$L53)/Conversion_kWh_to_MJ)</f>
        <v>0</v>
      </c>
      <c r="O53" s="73"/>
      <c r="P53" s="12"/>
      <c r="Q53" s="12"/>
      <c r="R53" s="12"/>
      <c r="S53" s="524">
        <v>1000</v>
      </c>
      <c r="T53" s="473"/>
      <c r="U53" s="526" t="s">
        <v>1305</v>
      </c>
      <c r="V53" s="44" t="str">
        <f>IFERROR(IF(D53="tonnes/yr", $S53*$E53/($N$9*3.6*$E$107), $T53*$E53*3.6/($N$9*3.6*$E$107)), "Unfilled fields to left")</f>
        <v>Unfilled fields to left</v>
      </c>
      <c r="W53" s="19"/>
      <c r="X53" s="21"/>
      <c r="Z53" s="19"/>
    </row>
    <row r="54" spans="2:26" s="14" customFormat="1">
      <c r="B54" s="16"/>
      <c r="C54" s="15"/>
      <c r="D54" s="177"/>
      <c r="E54" s="35"/>
      <c r="F54" s="63"/>
      <c r="G54" s="63"/>
      <c r="H54" s="63"/>
      <c r="I54" s="63"/>
      <c r="J54" s="302"/>
      <c r="K54" s="304"/>
      <c r="L54" s="304"/>
      <c r="M54" s="304"/>
      <c r="N54" s="44">
        <f>IF($D54="MWh/yr (LHV)",$E54,$J54*$E54*(1-$L54)/Conversion_kWh_to_MJ)</f>
        <v>0</v>
      </c>
      <c r="O54" s="73"/>
      <c r="P54" s="12"/>
      <c r="Q54" s="12"/>
      <c r="R54" s="12"/>
      <c r="S54" s="525"/>
      <c r="T54" s="473"/>
      <c r="U54" s="527"/>
      <c r="V54" s="44" t="str">
        <f>IFERROR(IF(D54="tonnes/yr", $S54*$E54/($N$9*3.6*$E$107), $T54*$E54*3.6/($N$9*3.6*$E$107)), "Unfilled fields to left")</f>
        <v>Unfilled fields to left</v>
      </c>
      <c r="W54" s="19"/>
      <c r="X54" s="21"/>
      <c r="Z54" s="19"/>
    </row>
    <row r="55" spans="2:26" s="14" customFormat="1">
      <c r="B55" s="64"/>
      <c r="C55" s="15"/>
      <c r="D55" s="177"/>
      <c r="E55" s="35"/>
      <c r="F55" s="21"/>
      <c r="G55" s="21"/>
      <c r="H55" s="21"/>
      <c r="I55" s="21"/>
      <c r="J55" s="21"/>
      <c r="K55" s="304"/>
      <c r="L55" s="304"/>
      <c r="M55" s="304"/>
      <c r="N55" s="44">
        <f>IF($D55="MWh/yr (LHV)",$E55,$J55*$E55*(1-$L55)/Conversion_kWh_to_MJ)</f>
        <v>0</v>
      </c>
      <c r="O55" s="73"/>
      <c r="P55" s="19"/>
      <c r="Q55" s="19"/>
      <c r="R55" s="19"/>
      <c r="S55" s="525"/>
      <c r="T55" s="473"/>
      <c r="U55" s="527"/>
      <c r="V55" s="44" t="str">
        <f>IFERROR(IF(D55="tonnes/yr", $S55*$E55/($N$9*3.6*$E$107), $T55*$E55*3.6/($N$9*3.6*$E$107)), "Unfilled fields to left")</f>
        <v>Unfilled fields to left</v>
      </c>
      <c r="W55" s="19"/>
      <c r="X55" s="65"/>
      <c r="Z55" s="19"/>
    </row>
    <row r="56" spans="2:26">
      <c r="B56" s="14"/>
      <c r="C56" s="83"/>
      <c r="D56" s="83"/>
      <c r="E56" s="494"/>
      <c r="F56" s="84"/>
      <c r="G56" s="85"/>
      <c r="H56" s="86"/>
      <c r="I56" s="86"/>
      <c r="J56" s="87"/>
      <c r="K56" s="87"/>
      <c r="L56" s="87"/>
      <c r="M56" s="87"/>
      <c r="N56" s="87"/>
      <c r="O56" s="87"/>
      <c r="P56" s="28"/>
      <c r="Q56" s="14"/>
      <c r="R56" s="14"/>
      <c r="S56" s="87"/>
      <c r="T56" s="87"/>
      <c r="U56" s="87"/>
      <c r="V56" s="12"/>
      <c r="X56" s="27"/>
      <c r="Y56" s="12"/>
    </row>
    <row r="57" spans="2:26">
      <c r="B57" s="14"/>
      <c r="C57" s="83"/>
      <c r="D57" s="83"/>
      <c r="E57" s="494"/>
      <c r="F57" s="84"/>
      <c r="G57" s="85"/>
      <c r="H57" s="86"/>
      <c r="I57" s="86"/>
      <c r="J57" s="87"/>
      <c r="K57" s="87"/>
      <c r="L57" s="87"/>
      <c r="M57" s="87"/>
      <c r="N57" s="87"/>
      <c r="O57" s="87"/>
      <c r="P57" s="28"/>
      <c r="Q57" s="14"/>
      <c r="R57" s="14"/>
      <c r="S57" s="87"/>
      <c r="T57" s="87"/>
      <c r="U57" s="87"/>
      <c r="V57" s="358" t="s">
        <v>1085</v>
      </c>
      <c r="X57" s="27"/>
      <c r="Y57" s="12"/>
    </row>
    <row r="58" spans="2:26" s="14" customFormat="1" ht="13.5" customHeight="1">
      <c r="B58" s="144" t="s">
        <v>1321</v>
      </c>
      <c r="C58" s="158"/>
      <c r="D58" s="158"/>
      <c r="E58" s="495"/>
      <c r="F58" s="159"/>
      <c r="G58" s="160"/>
      <c r="H58" s="159"/>
      <c r="I58" s="159"/>
      <c r="J58" s="305"/>
      <c r="K58" s="305"/>
      <c r="L58" s="305"/>
      <c r="M58" s="305"/>
      <c r="N58" s="305"/>
      <c r="O58" s="305"/>
      <c r="P58" s="161"/>
      <c r="Q58" s="162"/>
      <c r="R58" s="151"/>
      <c r="S58" s="305" t="s">
        <v>1317</v>
      </c>
      <c r="T58" s="305"/>
      <c r="U58" s="305"/>
      <c r="V58" s="152">
        <f>SUM(V59:V61)</f>
        <v>0</v>
      </c>
      <c r="W58" s="113"/>
      <c r="X58" s="70"/>
      <c r="Z58" s="19"/>
    </row>
    <row r="59" spans="2:26" s="14" customFormat="1">
      <c r="B59" s="184" t="s">
        <v>1105</v>
      </c>
      <c r="C59" s="182" t="s">
        <v>1322</v>
      </c>
      <c r="D59" s="177" t="s">
        <v>425</v>
      </c>
      <c r="E59" s="35"/>
      <c r="F59" s="24"/>
      <c r="G59" s="21"/>
      <c r="H59" s="21"/>
      <c r="I59" s="21"/>
      <c r="J59" s="304"/>
      <c r="K59" s="304"/>
      <c r="L59" s="304"/>
      <c r="M59" s="304"/>
      <c r="N59" s="44">
        <f>IF($D59="MWh/yr (LHV)",$E59,$J59*$E59*(1-$L59)/Conversion_kWh_to_MJ)</f>
        <v>0</v>
      </c>
      <c r="O59" s="73"/>
      <c r="P59" s="12"/>
      <c r="Q59" s="12"/>
      <c r="R59" s="12"/>
      <c r="S59" s="524">
        <v>0</v>
      </c>
      <c r="T59" s="473"/>
      <c r="U59" s="526" t="s">
        <v>1248</v>
      </c>
      <c r="V59" s="44" t="str">
        <f>IFERROR(IF(D59="tonnes/yr", $S59*$E59/($N$9*3.6), $T59*$E59*3.6/($N$9*3.6)), "Unfilled fields to left")</f>
        <v>Unfilled fields to left</v>
      </c>
      <c r="W59" s="19"/>
      <c r="X59" s="21"/>
      <c r="Z59" s="19"/>
    </row>
    <row r="60" spans="2:26" s="14" customFormat="1">
      <c r="B60" s="184" t="s">
        <v>1105</v>
      </c>
      <c r="C60" s="182" t="s">
        <v>1259</v>
      </c>
      <c r="D60" s="177" t="s">
        <v>425</v>
      </c>
      <c r="E60" s="35"/>
      <c r="F60" s="63"/>
      <c r="G60" s="63"/>
      <c r="H60" s="63"/>
      <c r="I60" s="63"/>
      <c r="J60" s="302"/>
      <c r="K60" s="304"/>
      <c r="L60" s="304"/>
      <c r="M60" s="304"/>
      <c r="N60" s="44">
        <f>IF($D60="MWh/yr (LHV)",$E60,$J60*$E60*(1-$L60)/Conversion_kWh_to_MJ)</f>
        <v>0</v>
      </c>
      <c r="O60" s="73"/>
      <c r="P60" s="12"/>
      <c r="Q60" s="12"/>
      <c r="R60" s="12"/>
      <c r="S60" s="524">
        <v>1000</v>
      </c>
      <c r="T60" s="473"/>
      <c r="U60" s="526" t="s">
        <v>1158</v>
      </c>
      <c r="V60" s="44" t="str">
        <f>IFERROR(IF(D60="tonnes/yr", $S60*$E60/($N$9*3.6), $T60*$E60*3.6/($N$9*3.6)), "Unfilled fields to left")</f>
        <v>Unfilled fields to left</v>
      </c>
      <c r="W60" s="19"/>
      <c r="X60" s="21"/>
      <c r="Z60" s="19"/>
    </row>
    <row r="61" spans="2:26" s="14" customFormat="1">
      <c r="B61" s="64"/>
      <c r="C61" s="15"/>
      <c r="D61" s="177"/>
      <c r="E61" s="35"/>
      <c r="F61" s="21"/>
      <c r="G61" s="21"/>
      <c r="H61" s="21"/>
      <c r="I61" s="21"/>
      <c r="J61" s="21"/>
      <c r="K61" s="304"/>
      <c r="L61" s="304"/>
      <c r="M61" s="304"/>
      <c r="N61" s="44">
        <f>IF($D61="MWh/yr (LHV)",$E61,$J61*$E61*(1-$L61)/Conversion_kWh_to_MJ)</f>
        <v>0</v>
      </c>
      <c r="O61" s="73"/>
      <c r="P61" s="19"/>
      <c r="Q61" s="19"/>
      <c r="R61" s="19"/>
      <c r="S61" s="525"/>
      <c r="T61" s="473"/>
      <c r="U61" s="527"/>
      <c r="V61" s="44" t="str">
        <f>IFERROR(IF(D61="tonnes/yr", $S61*$E61/($N$9*3.6), $T61*$E61*3.6/($N$9*3.6)), "Unfilled fields to left")</f>
        <v>Unfilled fields to left</v>
      </c>
      <c r="W61" s="19"/>
      <c r="X61" s="65"/>
      <c r="Z61" s="19"/>
    </row>
    <row r="62" spans="2:26">
      <c r="B62" s="14"/>
      <c r="C62" s="83"/>
      <c r="D62" s="83"/>
      <c r="E62" s="494"/>
      <c r="F62" s="84"/>
      <c r="G62" s="85"/>
      <c r="H62" s="86"/>
      <c r="I62" s="86"/>
      <c r="J62" s="87"/>
      <c r="K62" s="87"/>
      <c r="L62" s="87"/>
      <c r="M62" s="87"/>
      <c r="N62" s="87"/>
      <c r="O62" s="87"/>
      <c r="P62" s="28"/>
      <c r="Q62" s="14"/>
      <c r="R62" s="14"/>
      <c r="S62" s="87"/>
      <c r="T62" s="87"/>
      <c r="U62" s="87"/>
      <c r="V62" s="12"/>
      <c r="X62" s="27"/>
      <c r="Y62" s="12"/>
    </row>
    <row r="63" spans="2:26" s="14" customFormat="1">
      <c r="B63" s="68"/>
      <c r="C63" s="69"/>
      <c r="D63" s="69"/>
      <c r="E63" s="500"/>
      <c r="F63" s="70"/>
      <c r="G63" s="70"/>
      <c r="H63" s="70"/>
      <c r="I63" s="70"/>
      <c r="J63" s="141"/>
      <c r="K63" s="141"/>
      <c r="L63" s="141"/>
      <c r="M63" s="141"/>
      <c r="N63" s="73"/>
      <c r="O63" s="73"/>
      <c r="P63" s="19"/>
      <c r="Q63" s="19"/>
      <c r="R63" s="19"/>
      <c r="S63" s="73"/>
      <c r="T63" s="73"/>
      <c r="U63" s="73"/>
      <c r="V63" s="358" t="s">
        <v>1085</v>
      </c>
      <c r="W63" s="19"/>
      <c r="X63" s="70"/>
      <c r="Z63" s="19"/>
    </row>
    <row r="64" spans="2:26" ht="16.5">
      <c r="B64" s="144" t="s">
        <v>1108</v>
      </c>
      <c r="C64" s="153"/>
      <c r="D64" s="153"/>
      <c r="E64" s="501"/>
      <c r="F64" s="154"/>
      <c r="G64" s="154"/>
      <c r="H64" s="155"/>
      <c r="I64" s="156"/>
      <c r="J64" s="303"/>
      <c r="K64" s="472"/>
      <c r="L64" s="472"/>
      <c r="M64" s="472"/>
      <c r="N64" s="472"/>
      <c r="O64" s="472"/>
      <c r="P64" s="157"/>
      <c r="Q64" s="157"/>
      <c r="R64" s="157"/>
      <c r="S64" s="529" t="s">
        <v>1323</v>
      </c>
      <c r="T64" s="529" t="s">
        <v>1323</v>
      </c>
      <c r="U64" s="472"/>
      <c r="V64" s="152">
        <f>SUM(V65:V70)</f>
        <v>0</v>
      </c>
      <c r="W64" s="19"/>
      <c r="X64" s="74"/>
      <c r="Y64" s="12"/>
      <c r="Z64" s="19"/>
    </row>
    <row r="65" spans="2:25">
      <c r="B65" s="184" t="s">
        <v>1069</v>
      </c>
      <c r="C65" s="182" t="s">
        <v>1111</v>
      </c>
      <c r="D65" s="177" t="s">
        <v>447</v>
      </c>
      <c r="E65" s="35"/>
      <c r="F65" s="24"/>
      <c r="G65" s="21"/>
      <c r="H65" s="20"/>
      <c r="I65" s="36"/>
      <c r="J65" s="298"/>
      <c r="K65" s="300"/>
      <c r="L65" s="300"/>
      <c r="M65" s="300"/>
      <c r="N65" s="44">
        <f t="shared" ref="N65:N70" si="10">IF($D65="MWh/yr (LHV)",$E65,$J65*$E65*(1-$L65)/Conversion_kWh_to_MJ)</f>
        <v>0</v>
      </c>
      <c r="O65" s="73"/>
      <c r="P65" s="12"/>
      <c r="S65" s="298" t="str">
        <f t="shared" ref="S65:S70" si="11">IF(B65="", "", IF(D65="MWh/yr (LHV)", "Use column to right", "Enter data here"))</f>
        <v>Use column to right</v>
      </c>
      <c r="T65" s="298" t="e">
        <f>IF(B65="", "", IF(D65="MWh/yr (LHV)", Initial_questions!$E$43*1/Conversion_kWh_to_MJ, "Use column to left"))</f>
        <v>#VALUE!</v>
      </c>
      <c r="U65" s="35" t="s">
        <v>1110</v>
      </c>
      <c r="V65" s="44" t="str">
        <f t="shared" ref="V65:V70" si="12">IFERROR(IF(D65="tonnes/yr", $S65*$E65/($N$9*3.6), $T65*$E65*3.6/($N$9*3.6)), "Unfilled fields to left")</f>
        <v>Unfilled fields to left</v>
      </c>
      <c r="X65" s="25"/>
      <c r="Y65" s="12"/>
    </row>
    <row r="66" spans="2:25">
      <c r="B66" s="184" t="s">
        <v>1069</v>
      </c>
      <c r="C66" s="182" t="s">
        <v>1109</v>
      </c>
      <c r="D66" s="177" t="s">
        <v>447</v>
      </c>
      <c r="E66" s="35"/>
      <c r="F66" s="24"/>
      <c r="G66" s="21"/>
      <c r="H66" s="20"/>
      <c r="I66" s="36"/>
      <c r="J66" s="298"/>
      <c r="K66" s="300"/>
      <c r="L66" s="300"/>
      <c r="M66" s="300"/>
      <c r="N66" s="44">
        <f t="shared" si="10"/>
        <v>0</v>
      </c>
      <c r="O66" s="73"/>
      <c r="P66" s="55"/>
      <c r="S66" s="298" t="str">
        <f t="shared" si="11"/>
        <v>Use column to right</v>
      </c>
      <c r="T66" s="298" t="e">
        <f>INDEX(Proj_grid_intensity_kWh,MATCH(Operations_year,Proj_grid_year,0))/Conversion_kWh_to_MJ</f>
        <v>#N/A</v>
      </c>
      <c r="U66" s="35" t="s">
        <v>1112</v>
      </c>
      <c r="V66" s="44" t="str">
        <f t="shared" si="12"/>
        <v>Unfilled fields to left</v>
      </c>
      <c r="X66" s="25"/>
      <c r="Y66" s="12"/>
    </row>
    <row r="67" spans="2:25" s="14" customFormat="1">
      <c r="B67" s="184" t="s">
        <v>1069</v>
      </c>
      <c r="C67" s="182" t="s">
        <v>1324</v>
      </c>
      <c r="D67" s="177" t="s">
        <v>425</v>
      </c>
      <c r="E67" s="35"/>
      <c r="F67" s="24"/>
      <c r="G67" s="21"/>
      <c r="H67" s="21"/>
      <c r="I67" s="21"/>
      <c r="J67" s="304"/>
      <c r="K67" s="304"/>
      <c r="L67" s="304"/>
      <c r="M67" s="304"/>
      <c r="N67" s="44">
        <f t="shared" si="10"/>
        <v>0</v>
      </c>
      <c r="O67" s="73"/>
      <c r="P67" s="12"/>
      <c r="Q67" s="12"/>
      <c r="R67" s="12"/>
      <c r="S67" s="298" t="str">
        <f t="shared" si="11"/>
        <v>Enter data here</v>
      </c>
      <c r="T67" s="298" t="str">
        <f>IF(B67="", "", IF(D67="MWh/yr (LHV)", "Enter data here", "Use column to left"))</f>
        <v>Use column to left</v>
      </c>
      <c r="U67" s="35" t="s">
        <v>1114</v>
      </c>
      <c r="V67" s="44" t="str">
        <f t="shared" si="12"/>
        <v>Unfilled fields to left</v>
      </c>
      <c r="W67" s="19"/>
      <c r="X67" s="21"/>
    </row>
    <row r="68" spans="2:25" s="14" customFormat="1">
      <c r="B68" s="184" t="s">
        <v>1069</v>
      </c>
      <c r="C68" s="182" t="s">
        <v>1325</v>
      </c>
      <c r="D68" s="177" t="s">
        <v>425</v>
      </c>
      <c r="E68" s="35"/>
      <c r="F68" s="24"/>
      <c r="G68" s="21"/>
      <c r="H68" s="21"/>
      <c r="I68" s="21"/>
      <c r="J68" s="304"/>
      <c r="K68" s="304"/>
      <c r="L68" s="304"/>
      <c r="M68" s="304"/>
      <c r="N68" s="44">
        <f t="shared" si="10"/>
        <v>0</v>
      </c>
      <c r="O68" s="73"/>
      <c r="P68" s="12"/>
      <c r="Q68" s="12"/>
      <c r="R68" s="12"/>
      <c r="S68" s="298" t="str">
        <f t="shared" si="11"/>
        <v>Enter data here</v>
      </c>
      <c r="T68" s="298" t="str">
        <f>IF(B68="", "", IF(D68="MWh/yr (LHV)", "Enter data here", "Use column to left"))</f>
        <v>Use column to left</v>
      </c>
      <c r="U68" s="35" t="s">
        <v>1114</v>
      </c>
      <c r="V68" s="44" t="str">
        <f t="shared" si="12"/>
        <v>Unfilled fields to left</v>
      </c>
      <c r="W68" s="19"/>
      <c r="X68" s="21"/>
    </row>
    <row r="69" spans="2:25" s="14" customFormat="1">
      <c r="B69" s="184" t="s">
        <v>1069</v>
      </c>
      <c r="C69" s="182" t="s">
        <v>1116</v>
      </c>
      <c r="D69" s="177" t="s">
        <v>447</v>
      </c>
      <c r="E69" s="35"/>
      <c r="F69" s="24"/>
      <c r="G69" s="21"/>
      <c r="H69" s="21"/>
      <c r="I69" s="21"/>
      <c r="J69" s="304"/>
      <c r="K69" s="304"/>
      <c r="L69" s="304"/>
      <c r="M69" s="304"/>
      <c r="N69" s="44">
        <f t="shared" si="10"/>
        <v>0</v>
      </c>
      <c r="O69" s="73"/>
      <c r="P69" s="12"/>
      <c r="Q69" s="12"/>
      <c r="R69" s="12"/>
      <c r="S69" s="298" t="str">
        <f t="shared" si="11"/>
        <v>Use column to right</v>
      </c>
      <c r="T69" s="298" t="e">
        <f>INDEX(Proj_grid_intensity_kWh,MATCH(Operations_year,Proj_grid_year,0))/Conversion_kWh_to_MJ</f>
        <v>#N/A</v>
      </c>
      <c r="U69" s="35" t="s">
        <v>1112</v>
      </c>
      <c r="V69" s="44" t="str">
        <f t="shared" si="12"/>
        <v>Unfilled fields to left</v>
      </c>
      <c r="W69" s="19"/>
      <c r="X69" s="21"/>
    </row>
    <row r="70" spans="2:25" s="14" customFormat="1">
      <c r="B70" s="16"/>
      <c r="C70" s="15"/>
      <c r="D70" s="177"/>
      <c r="E70" s="35"/>
      <c r="F70" s="24"/>
      <c r="G70" s="21"/>
      <c r="H70" s="21"/>
      <c r="I70" s="21"/>
      <c r="J70" s="304"/>
      <c r="K70" s="304"/>
      <c r="L70" s="304"/>
      <c r="M70" s="304"/>
      <c r="N70" s="44">
        <f t="shared" si="10"/>
        <v>0</v>
      </c>
      <c r="O70" s="73"/>
      <c r="P70" s="12"/>
      <c r="Q70" s="12"/>
      <c r="R70" s="12"/>
      <c r="S70" s="298" t="str">
        <f t="shared" si="11"/>
        <v/>
      </c>
      <c r="T70" s="298" t="str">
        <f>IF(B70="", "", IF(D70="MWh/yr (LHV)", "Enter data here", "Use column to left"))</f>
        <v/>
      </c>
      <c r="U70" s="298"/>
      <c r="V70" s="44" t="str">
        <f t="shared" si="12"/>
        <v>Unfilled fields to left</v>
      </c>
      <c r="W70" s="19"/>
      <c r="X70" s="21"/>
    </row>
    <row r="71" spans="2:25" s="14" customFormat="1">
      <c r="B71" s="68"/>
      <c r="C71" s="69"/>
      <c r="D71" s="69"/>
      <c r="E71" s="141"/>
      <c r="F71" s="70"/>
      <c r="G71" s="70"/>
      <c r="H71" s="71"/>
      <c r="I71" s="71"/>
      <c r="J71" s="73"/>
      <c r="K71" s="73"/>
      <c r="L71" s="73"/>
      <c r="M71" s="73"/>
      <c r="N71" s="73"/>
      <c r="O71" s="73"/>
      <c r="P71" s="12"/>
      <c r="Q71" s="12"/>
      <c r="R71" s="12"/>
      <c r="S71" s="73"/>
      <c r="T71" s="73"/>
      <c r="U71" s="73"/>
      <c r="V71" s="87"/>
      <c r="W71" s="19"/>
      <c r="X71" s="70"/>
    </row>
    <row r="72" spans="2:25" s="14" customFormat="1">
      <c r="B72" s="68"/>
      <c r="C72" s="69"/>
      <c r="D72" s="69"/>
      <c r="E72" s="500"/>
      <c r="F72" s="70"/>
      <c r="G72" s="70"/>
      <c r="H72" s="70"/>
      <c r="I72" s="70"/>
      <c r="J72" s="141"/>
      <c r="K72" s="141"/>
      <c r="L72" s="141"/>
      <c r="M72" s="141"/>
      <c r="N72" s="73"/>
      <c r="O72" s="73"/>
      <c r="P72" s="19"/>
      <c r="Q72" s="19"/>
      <c r="R72" s="19"/>
      <c r="S72" s="73"/>
      <c r="T72" s="73"/>
      <c r="U72" s="73"/>
      <c r="V72" s="521" t="s">
        <v>1299</v>
      </c>
      <c r="W72" s="19"/>
      <c r="X72" s="70"/>
    </row>
    <row r="73" spans="2:25" s="14" customFormat="1" ht="16.5">
      <c r="B73" s="144" t="s">
        <v>1326</v>
      </c>
      <c r="C73" s="158"/>
      <c r="D73" s="158"/>
      <c r="E73" s="495"/>
      <c r="F73" s="159"/>
      <c r="G73" s="160"/>
      <c r="H73" s="159"/>
      <c r="I73" s="159"/>
      <c r="J73" s="305"/>
      <c r="K73" s="305"/>
      <c r="L73" s="305"/>
      <c r="M73" s="305"/>
      <c r="N73" s="305"/>
      <c r="O73" s="305"/>
      <c r="P73" s="161"/>
      <c r="Q73" s="162"/>
      <c r="R73" s="151"/>
      <c r="S73" s="305" t="s">
        <v>1327</v>
      </c>
      <c r="T73" s="305"/>
      <c r="U73" s="305"/>
      <c r="V73" s="152">
        <f>SUM(V74:V76)</f>
        <v>0</v>
      </c>
      <c r="W73" s="19"/>
      <c r="X73" s="70"/>
    </row>
    <row r="74" spans="2:25" s="14" customFormat="1">
      <c r="B74" s="184" t="s">
        <v>1118</v>
      </c>
      <c r="C74" s="182" t="s">
        <v>1328</v>
      </c>
      <c r="D74" s="177" t="s">
        <v>425</v>
      </c>
      <c r="E74" s="35">
        <f>E47*$E$105</f>
        <v>0</v>
      </c>
      <c r="F74" s="63"/>
      <c r="G74" s="63"/>
      <c r="H74" s="63"/>
      <c r="I74" s="63"/>
      <c r="J74" s="302"/>
      <c r="K74" s="304"/>
      <c r="L74" s="304"/>
      <c r="M74" s="304"/>
      <c r="N74" s="44">
        <f>IF($D74="MWh/yr (LHV)",$E74,$J74*$E74*(1-$L74)/Conversion_kWh_to_MJ)</f>
        <v>0</v>
      </c>
      <c r="O74" s="73"/>
      <c r="P74" s="12"/>
      <c r="Q74" s="12"/>
      <c r="R74" s="12"/>
      <c r="S74" s="524">
        <v>-1000</v>
      </c>
      <c r="T74" s="473"/>
      <c r="U74" s="526" t="s">
        <v>1251</v>
      </c>
      <c r="V74" s="44" t="str">
        <f>IFERROR(IF(D74="tonnes/yr", $S74*$E74/($N$9*3.6*$E$106), $T74*$E74*3.6/($N$9*3.6*$E$106)), "Unfilled fields to left")</f>
        <v>Unfilled fields to left</v>
      </c>
      <c r="W74" s="19"/>
      <c r="X74" s="21"/>
    </row>
    <row r="75" spans="2:25" s="14" customFormat="1">
      <c r="B75" s="64"/>
      <c r="C75" s="15"/>
      <c r="D75" s="177"/>
      <c r="E75" s="35"/>
      <c r="F75" s="21"/>
      <c r="G75" s="21"/>
      <c r="H75" s="63"/>
      <c r="I75" s="63"/>
      <c r="J75" s="302"/>
      <c r="K75" s="304"/>
      <c r="L75" s="304"/>
      <c r="M75" s="304"/>
      <c r="N75" s="44">
        <f>IF($D75="MWh/yr (LHV)",$E75,$J75*$E75*(1-$L75)/Conversion_kWh_to_MJ)</f>
        <v>0</v>
      </c>
      <c r="O75" s="73"/>
      <c r="P75" s="19"/>
      <c r="Q75" s="19"/>
      <c r="R75" s="19"/>
      <c r="S75" s="525"/>
      <c r="T75" s="473"/>
      <c r="U75" s="527"/>
      <c r="V75" s="44" t="str">
        <f>IFERROR(IF(D75="tonnes/yr", $S75*$E75/($N$9*3.6*$E$106), $T75*$E75*3.6/($N$9*3.6*$E$106)), "Unfilled fields to left")</f>
        <v>Unfilled fields to left</v>
      </c>
      <c r="X75" s="65"/>
    </row>
    <row r="76" spans="2:25" s="14" customFormat="1">
      <c r="B76" s="64"/>
      <c r="C76" s="15"/>
      <c r="D76" s="177"/>
      <c r="E76" s="35"/>
      <c r="F76" s="21"/>
      <c r="G76" s="21"/>
      <c r="H76" s="21"/>
      <c r="I76" s="21"/>
      <c r="J76" s="21"/>
      <c r="K76" s="304"/>
      <c r="L76" s="304"/>
      <c r="M76" s="304"/>
      <c r="N76" s="44">
        <f>IF($D76="MWh/yr (LHV)",$E76,$J76*$E76*(1-$L76)/Conversion_kWh_to_MJ)</f>
        <v>0</v>
      </c>
      <c r="O76" s="73"/>
      <c r="P76" s="19"/>
      <c r="Q76" s="19"/>
      <c r="R76" s="19"/>
      <c r="S76" s="525"/>
      <c r="T76" s="473"/>
      <c r="U76" s="527"/>
      <c r="V76" s="44" t="str">
        <f>IFERROR(IF(D76="tonnes/yr", $S76*$E76/($N$9*3.6*$E$106), $T76*$E76*3.6/($N$9*3.6*$E$106)), "Unfilled fields to left")</f>
        <v>Unfilled fields to left</v>
      </c>
      <c r="X76" s="65"/>
    </row>
    <row r="77" spans="2:25" s="14" customFormat="1">
      <c r="B77" s="68"/>
      <c r="C77" s="69"/>
      <c r="D77" s="69"/>
      <c r="E77" s="141"/>
      <c r="F77" s="70"/>
      <c r="G77" s="70"/>
      <c r="H77" s="71"/>
      <c r="I77" s="71"/>
      <c r="J77" s="73"/>
      <c r="K77" s="73"/>
      <c r="L77" s="73"/>
      <c r="M77" s="73"/>
      <c r="N77" s="73"/>
      <c r="O77" s="73"/>
      <c r="P77" s="12"/>
      <c r="Q77" s="12"/>
      <c r="R77" s="12"/>
      <c r="S77" s="73"/>
      <c r="T77" s="87"/>
      <c r="U77" s="73"/>
      <c r="X77" s="70"/>
    </row>
    <row r="78" spans="2:25" s="14" customFormat="1">
      <c r="B78" s="68"/>
      <c r="C78" s="69"/>
      <c r="D78" s="69"/>
      <c r="E78" s="141"/>
      <c r="F78" s="70"/>
      <c r="G78" s="70"/>
      <c r="H78" s="71"/>
      <c r="I78" s="71"/>
      <c r="J78" s="73"/>
      <c r="K78" s="73"/>
      <c r="L78" s="73"/>
      <c r="M78" s="73"/>
      <c r="N78" s="73"/>
      <c r="O78" s="73"/>
      <c r="P78" s="12"/>
      <c r="Q78" s="12"/>
      <c r="R78" s="12"/>
      <c r="S78" s="73"/>
      <c r="T78" s="73"/>
      <c r="U78" s="73"/>
      <c r="V78" s="358" t="s">
        <v>1303</v>
      </c>
      <c r="W78" s="19"/>
      <c r="X78" s="70"/>
    </row>
    <row r="79" spans="2:25" s="14" customFormat="1" ht="13.5" customHeight="1">
      <c r="B79" s="144" t="s">
        <v>1329</v>
      </c>
      <c r="C79" s="158"/>
      <c r="D79" s="158"/>
      <c r="E79" s="495"/>
      <c r="F79" s="159"/>
      <c r="G79" s="160"/>
      <c r="H79" s="159"/>
      <c r="I79" s="159"/>
      <c r="J79" s="305"/>
      <c r="K79" s="305"/>
      <c r="L79" s="305"/>
      <c r="M79" s="305"/>
      <c r="N79" s="305"/>
      <c r="O79" s="305"/>
      <c r="P79" s="161"/>
      <c r="Q79" s="162"/>
      <c r="R79" s="151"/>
      <c r="S79" s="305" t="s">
        <v>1327</v>
      </c>
      <c r="T79" s="305"/>
      <c r="U79" s="305"/>
      <c r="V79" s="152">
        <f>SUM(V80:V82)</f>
        <v>0</v>
      </c>
      <c r="W79" s="19"/>
      <c r="X79" s="70"/>
    </row>
    <row r="80" spans="2:25" s="14" customFormat="1">
      <c r="B80" s="184" t="s">
        <v>1118</v>
      </c>
      <c r="C80" s="182" t="s">
        <v>1330</v>
      </c>
      <c r="D80" s="177" t="s">
        <v>425</v>
      </c>
      <c r="E80" s="35">
        <f>E53*$E$105</f>
        <v>0</v>
      </c>
      <c r="F80" s="63"/>
      <c r="G80" s="63"/>
      <c r="H80" s="63"/>
      <c r="I80" s="63"/>
      <c r="J80" s="302"/>
      <c r="K80" s="304"/>
      <c r="L80" s="304"/>
      <c r="M80" s="304"/>
      <c r="N80" s="44">
        <f>IF($D80="MWh/yr (LHV)",$E80,$J80*$E80*(1-$L80)/Conversion_kWh_to_MJ)</f>
        <v>0</v>
      </c>
      <c r="O80" s="73"/>
      <c r="P80" s="12"/>
      <c r="Q80" s="12"/>
      <c r="R80" s="12"/>
      <c r="S80" s="298">
        <v>-1000</v>
      </c>
      <c r="T80" s="473"/>
      <c r="U80" s="35" t="s">
        <v>1307</v>
      </c>
      <c r="V80" s="44" t="str">
        <f>IFERROR(IF(D80="tonnes/yr", $S80*$E80/($N$9*3.6*$E$107), $T80*$E80*3.6/($N$9*3.6*$E$107)), "Unfilled fields to left")</f>
        <v>Unfilled fields to left</v>
      </c>
      <c r="W80" s="19"/>
      <c r="X80" s="21"/>
    </row>
    <row r="81" spans="2:24" s="14" customFormat="1">
      <c r="B81" s="64"/>
      <c r="C81" s="15"/>
      <c r="D81" s="177"/>
      <c r="E81" s="35"/>
      <c r="F81" s="21"/>
      <c r="G81" s="21"/>
      <c r="H81" s="63"/>
      <c r="I81" s="63"/>
      <c r="J81" s="302"/>
      <c r="K81" s="304"/>
      <c r="L81" s="304"/>
      <c r="M81" s="304"/>
      <c r="N81" s="44">
        <f>IF($D81="MWh/yr (LHV)",$E81,$J81*$E81*(1-$L81)/Conversion_kWh_to_MJ)</f>
        <v>0</v>
      </c>
      <c r="O81" s="73"/>
      <c r="P81" s="19"/>
      <c r="Q81" s="19"/>
      <c r="R81" s="19"/>
      <c r="S81" s="300"/>
      <c r="T81" s="473"/>
      <c r="U81" s="300"/>
      <c r="V81" s="44" t="str">
        <f>IFERROR(IF(D81="tonnes/yr", $S81*$E81/($N$9*3.6*$E$107), $T81*$E81*3.6/($N$9*3.6*$E$107)), "Unfilled fields to left")</f>
        <v>Unfilled fields to left</v>
      </c>
      <c r="W81" s="19"/>
      <c r="X81" s="65"/>
    </row>
    <row r="82" spans="2:24" s="14" customFormat="1">
      <c r="B82" s="64"/>
      <c r="C82" s="15"/>
      <c r="D82" s="177"/>
      <c r="E82" s="35"/>
      <c r="F82" s="21"/>
      <c r="G82" s="21"/>
      <c r="H82" s="21"/>
      <c r="I82" s="21"/>
      <c r="J82" s="304"/>
      <c r="K82" s="304"/>
      <c r="L82" s="304"/>
      <c r="M82" s="304"/>
      <c r="N82" s="44">
        <f>IF($D82="MWh/yr (LHV)",$E82,$J82*$E82*(1-$L82)/Conversion_kWh_to_MJ)</f>
        <v>0</v>
      </c>
      <c r="O82" s="73"/>
      <c r="P82" s="19"/>
      <c r="Q82" s="19"/>
      <c r="R82" s="19"/>
      <c r="S82" s="306"/>
      <c r="T82" s="473"/>
      <c r="U82" s="300"/>
      <c r="V82" s="44" t="str">
        <f>IFERROR(IF(D82="tonnes/yr", $S82*$E82/($N$9*3.6*$E$107), $T82*$E82*3.6/($N$9*3.6*$E$107)), "Unfilled fields to left")</f>
        <v>Unfilled fields to left</v>
      </c>
      <c r="W82" s="19"/>
      <c r="X82" s="65"/>
    </row>
    <row r="83" spans="2:24" s="14" customFormat="1">
      <c r="B83" s="68"/>
      <c r="C83" s="69"/>
      <c r="D83" s="69"/>
      <c r="E83" s="500"/>
      <c r="F83" s="70"/>
      <c r="G83" s="70"/>
      <c r="H83" s="70"/>
      <c r="I83" s="70"/>
      <c r="J83" s="141"/>
      <c r="K83" s="141"/>
      <c r="L83" s="141"/>
      <c r="M83" s="141"/>
      <c r="N83" s="73"/>
      <c r="O83" s="73"/>
      <c r="P83" s="19"/>
      <c r="Q83" s="19"/>
      <c r="R83" s="19"/>
      <c r="S83" s="73"/>
      <c r="T83" s="73"/>
      <c r="U83" s="73"/>
      <c r="V83" s="87"/>
      <c r="W83" s="19"/>
      <c r="X83" s="70"/>
    </row>
    <row r="84" spans="2:24" s="14" customFormat="1">
      <c r="B84" s="68"/>
      <c r="C84" s="69"/>
      <c r="D84" s="69"/>
      <c r="E84" s="141"/>
      <c r="F84" s="70"/>
      <c r="G84" s="70"/>
      <c r="H84" s="71"/>
      <c r="I84" s="71"/>
      <c r="J84" s="73"/>
      <c r="K84" s="73"/>
      <c r="L84" s="73"/>
      <c r="M84" s="73"/>
      <c r="N84" s="73"/>
      <c r="O84" s="73"/>
      <c r="P84" s="12"/>
      <c r="Q84" s="12"/>
      <c r="R84" s="12"/>
      <c r="S84" s="73"/>
      <c r="T84" s="73"/>
      <c r="U84" s="73"/>
      <c r="V84" s="358" t="s">
        <v>1085</v>
      </c>
      <c r="W84" s="19"/>
      <c r="X84" s="70"/>
    </row>
    <row r="85" spans="2:24" s="14" customFormat="1" ht="13.5" customHeight="1">
      <c r="B85" s="144" t="s">
        <v>1331</v>
      </c>
      <c r="C85" s="158"/>
      <c r="D85" s="158"/>
      <c r="E85" s="495"/>
      <c r="F85" s="159"/>
      <c r="G85" s="160"/>
      <c r="H85" s="159"/>
      <c r="I85" s="159"/>
      <c r="J85" s="305"/>
      <c r="K85" s="305"/>
      <c r="L85" s="305"/>
      <c r="M85" s="305"/>
      <c r="N85" s="305"/>
      <c r="O85" s="305"/>
      <c r="P85" s="161"/>
      <c r="Q85" s="162"/>
      <c r="R85" s="151"/>
      <c r="S85" s="305" t="s">
        <v>1327</v>
      </c>
      <c r="T85" s="305"/>
      <c r="U85" s="305"/>
      <c r="V85" s="152">
        <f>SUM(V86:V88)</f>
        <v>0</v>
      </c>
      <c r="W85" s="19"/>
      <c r="X85" s="70"/>
    </row>
    <row r="86" spans="2:24" s="14" customFormat="1">
      <c r="B86" s="184" t="s">
        <v>1118</v>
      </c>
      <c r="C86" s="182" t="s">
        <v>1332</v>
      </c>
      <c r="D86" s="177" t="s">
        <v>425</v>
      </c>
      <c r="E86" s="35">
        <f>E59*$E$105</f>
        <v>0</v>
      </c>
      <c r="F86" s="63"/>
      <c r="G86" s="63"/>
      <c r="H86" s="63"/>
      <c r="I86" s="63"/>
      <c r="J86" s="302"/>
      <c r="K86" s="304"/>
      <c r="L86" s="304"/>
      <c r="M86" s="304"/>
      <c r="N86" s="44">
        <f>IF($D86="MWh/yr (LHV)",$E86,$J86*$E86*(1-$L86)/Conversion_kWh_to_MJ)</f>
        <v>0</v>
      </c>
      <c r="O86" s="73"/>
      <c r="P86" s="12"/>
      <c r="Q86" s="12"/>
      <c r="R86" s="12"/>
      <c r="S86" s="298">
        <v>-1000</v>
      </c>
      <c r="T86" s="473"/>
      <c r="U86" s="35" t="s">
        <v>1251</v>
      </c>
      <c r="V86" s="44" t="str">
        <f>IFERROR(IF(D86="tonnes/yr", $S86*$E86/($N$9*3.6), $T86*$E86*3.6/($N$9*3.6)), "Unfilled fields to left")</f>
        <v>Unfilled fields to left</v>
      </c>
      <c r="W86" s="19"/>
      <c r="X86" s="21"/>
    </row>
    <row r="87" spans="2:24" s="14" customFormat="1">
      <c r="B87" s="184" t="s">
        <v>1118</v>
      </c>
      <c r="C87" s="182" t="s">
        <v>1333</v>
      </c>
      <c r="D87" s="177" t="s">
        <v>425</v>
      </c>
      <c r="E87" s="35">
        <f>E60*$E$105</f>
        <v>0</v>
      </c>
      <c r="F87" s="21"/>
      <c r="G87" s="21"/>
      <c r="H87" s="63"/>
      <c r="I87" s="63"/>
      <c r="J87" s="302"/>
      <c r="K87" s="304"/>
      <c r="L87" s="304"/>
      <c r="M87" s="304"/>
      <c r="N87" s="44">
        <f>IF($D87="MWh/yr (LHV)",$E87,$J87*$E87*(1-$L87)/Conversion_kWh_to_MJ)</f>
        <v>0</v>
      </c>
      <c r="O87" s="73"/>
      <c r="P87" s="19"/>
      <c r="Q87" s="19"/>
      <c r="R87" s="19"/>
      <c r="S87" s="298">
        <v>-1000</v>
      </c>
      <c r="T87" s="473"/>
      <c r="U87" s="35" t="s">
        <v>1182</v>
      </c>
      <c r="V87" s="44" t="str">
        <f>IFERROR(IF(D87="tonnes/yr", $S87*$E87/($N$9*3.6), $T87*$E87*3.6/($N$9*3.6)), "Unfilled fields to left")</f>
        <v>Unfilled fields to left</v>
      </c>
      <c r="W87" s="19"/>
      <c r="X87" s="65"/>
    </row>
    <row r="88" spans="2:24" s="14" customFormat="1">
      <c r="B88" s="64"/>
      <c r="C88" s="15"/>
      <c r="D88" s="177"/>
      <c r="E88" s="35"/>
      <c r="F88" s="21"/>
      <c r="G88" s="21"/>
      <c r="H88" s="21"/>
      <c r="I88" s="21"/>
      <c r="J88" s="304"/>
      <c r="K88" s="304"/>
      <c r="L88" s="304"/>
      <c r="M88" s="304"/>
      <c r="N88" s="44">
        <f>IF($D88="MWh/yr (LHV)",$E88,$J88*$E88*(1-$L88)/Conversion_kWh_to_MJ)</f>
        <v>0</v>
      </c>
      <c r="O88" s="73"/>
      <c r="P88" s="19"/>
      <c r="Q88" s="19"/>
      <c r="R88" s="19"/>
      <c r="S88" s="306"/>
      <c r="T88" s="473"/>
      <c r="U88" s="300"/>
      <c r="V88" s="44" t="str">
        <f>IFERROR(IF(D88="tonnes/yr", $S88*$E88/($N$9*3.6), $T88*$E88*3.6/($N$9*3.6)), "Unfilled fields to left")</f>
        <v>Unfilled fields to left</v>
      </c>
      <c r="W88" s="19"/>
      <c r="X88" s="65"/>
    </row>
    <row r="89" spans="2:24" s="14" customFormat="1">
      <c r="B89" s="68"/>
      <c r="C89" s="69"/>
      <c r="D89" s="69"/>
      <c r="E89" s="141"/>
      <c r="F89" s="70"/>
      <c r="G89" s="70"/>
      <c r="H89" s="71"/>
      <c r="I89" s="71"/>
      <c r="J89" s="73"/>
      <c r="K89" s="73"/>
      <c r="L89" s="73"/>
      <c r="M89" s="73"/>
      <c r="N89" s="73"/>
      <c r="O89" s="73"/>
      <c r="P89" s="12"/>
      <c r="Q89" s="12"/>
      <c r="R89" s="12"/>
      <c r="S89" s="73"/>
      <c r="T89" s="73"/>
      <c r="U89" s="73"/>
      <c r="V89" s="358"/>
      <c r="X89" s="70"/>
    </row>
    <row r="90" spans="2:24" s="14" customFormat="1">
      <c r="B90" s="68"/>
      <c r="C90" s="69"/>
      <c r="D90" s="69"/>
      <c r="E90" s="141"/>
      <c r="F90" s="70"/>
      <c r="G90" s="70"/>
      <c r="H90" s="71"/>
      <c r="I90" s="71"/>
      <c r="J90" s="73"/>
      <c r="K90" s="73"/>
      <c r="L90" s="73"/>
      <c r="M90" s="73"/>
      <c r="N90" s="73"/>
      <c r="O90" s="73"/>
      <c r="P90" s="12"/>
      <c r="Q90" s="12"/>
      <c r="R90" s="12"/>
      <c r="S90" s="73"/>
      <c r="T90" s="73"/>
      <c r="U90" s="73"/>
      <c r="V90" s="358" t="s">
        <v>1085</v>
      </c>
      <c r="X90" s="70"/>
    </row>
    <row r="91" spans="2:24" s="14" customFormat="1" ht="16.5">
      <c r="B91" s="144" t="s">
        <v>132</v>
      </c>
      <c r="C91" s="158"/>
      <c r="D91" s="158"/>
      <c r="E91" s="495"/>
      <c r="F91" s="159"/>
      <c r="G91" s="160"/>
      <c r="H91" s="159"/>
      <c r="I91" s="159"/>
      <c r="J91" s="305"/>
      <c r="K91" s="305"/>
      <c r="L91" s="305"/>
      <c r="M91" s="305"/>
      <c r="N91" s="305"/>
      <c r="O91" s="305"/>
      <c r="P91" s="161"/>
      <c r="Q91" s="162"/>
      <c r="R91" s="151"/>
      <c r="S91" s="305" t="s">
        <v>1334</v>
      </c>
      <c r="T91" s="305"/>
      <c r="U91" s="305"/>
      <c r="V91" s="152">
        <f>SUM(V92:V99)</f>
        <v>0</v>
      </c>
      <c r="X91" s="70"/>
    </row>
    <row r="92" spans="2:24" s="14" customFormat="1">
      <c r="B92" s="184" t="s">
        <v>1120</v>
      </c>
      <c r="C92" s="182" t="s">
        <v>1121</v>
      </c>
      <c r="D92" s="177" t="s">
        <v>425</v>
      </c>
      <c r="E92" s="35"/>
      <c r="F92" s="21"/>
      <c r="G92" s="21"/>
      <c r="H92" s="21"/>
      <c r="I92" s="21"/>
      <c r="J92" s="304"/>
      <c r="K92" s="304"/>
      <c r="L92" s="304"/>
      <c r="M92" s="304"/>
      <c r="N92" s="44">
        <f t="shared" ref="N92:N99" si="13">IF($D92="MWh/yr (LHV)",$E92,$J92*$E92*(1-$L92)/Conversion_kWh_to_MJ)</f>
        <v>0</v>
      </c>
      <c r="O92" s="73"/>
      <c r="P92" s="12"/>
      <c r="Q92" s="12"/>
      <c r="R92" s="12"/>
      <c r="S92" s="35">
        <v>28000</v>
      </c>
      <c r="T92" s="514"/>
      <c r="U92" s="35" t="s">
        <v>1107</v>
      </c>
      <c r="V92" s="44" t="str">
        <f t="shared" ref="V92:V99" si="14">IFERROR(IF(D92="tonnes/yr", $S92*$E92/($N$9*3.6), $T92*$E92*3.6/($N$9*3.6)), "Unfilled fields to left")</f>
        <v>Unfilled fields to left</v>
      </c>
      <c r="X92" s="21"/>
    </row>
    <row r="93" spans="2:24" s="14" customFormat="1">
      <c r="B93" s="185" t="s">
        <v>1122</v>
      </c>
      <c r="C93" s="182" t="s">
        <v>1123</v>
      </c>
      <c r="D93" s="177" t="s">
        <v>425</v>
      </c>
      <c r="E93" s="35"/>
      <c r="F93" s="65"/>
      <c r="G93" s="65"/>
      <c r="H93" s="66"/>
      <c r="I93" s="66"/>
      <c r="J93" s="306"/>
      <c r="K93" s="306"/>
      <c r="L93" s="306"/>
      <c r="M93" s="306"/>
      <c r="N93" s="44">
        <f t="shared" si="13"/>
        <v>0</v>
      </c>
      <c r="O93" s="73"/>
      <c r="P93" s="19"/>
      <c r="Q93" s="19"/>
      <c r="R93" s="19"/>
      <c r="S93" s="35">
        <v>265000</v>
      </c>
      <c r="T93" s="514"/>
      <c r="U93" s="479" t="s">
        <v>1107</v>
      </c>
      <c r="V93" s="44" t="str">
        <f t="shared" si="14"/>
        <v>Unfilled fields to left</v>
      </c>
      <c r="X93" s="65"/>
    </row>
    <row r="94" spans="2:24" s="14" customFormat="1">
      <c r="B94" s="185" t="s">
        <v>1124</v>
      </c>
      <c r="C94" s="182" t="s">
        <v>1125</v>
      </c>
      <c r="D94" s="177" t="s">
        <v>425</v>
      </c>
      <c r="E94" s="35"/>
      <c r="F94" s="65"/>
      <c r="G94" s="65"/>
      <c r="H94" s="66"/>
      <c r="I94" s="66"/>
      <c r="J94" s="306"/>
      <c r="K94" s="306"/>
      <c r="L94" s="306"/>
      <c r="M94" s="306"/>
      <c r="N94" s="44">
        <f t="shared" si="13"/>
        <v>0</v>
      </c>
      <c r="O94" s="73"/>
      <c r="P94" s="19"/>
      <c r="Q94" s="19"/>
      <c r="R94" s="19"/>
      <c r="S94" s="35">
        <v>23500000</v>
      </c>
      <c r="T94" s="514"/>
      <c r="U94" s="479" t="s">
        <v>1107</v>
      </c>
      <c r="V94" s="44" t="str">
        <f t="shared" si="14"/>
        <v>Unfilled fields to left</v>
      </c>
      <c r="X94" s="65"/>
    </row>
    <row r="95" spans="2:24" s="14" customFormat="1">
      <c r="B95" s="185" t="s">
        <v>1126</v>
      </c>
      <c r="C95" s="182" t="s">
        <v>1127</v>
      </c>
      <c r="D95" s="177" t="s">
        <v>425</v>
      </c>
      <c r="E95" s="35"/>
      <c r="F95" s="65"/>
      <c r="G95" s="65"/>
      <c r="H95" s="66"/>
      <c r="I95" s="66"/>
      <c r="J95" s="306"/>
      <c r="K95" s="306"/>
      <c r="L95" s="306"/>
      <c r="M95" s="306"/>
      <c r="N95" s="44">
        <f t="shared" si="13"/>
        <v>0</v>
      </c>
      <c r="O95" s="73"/>
      <c r="P95" s="19"/>
      <c r="Q95" s="19"/>
      <c r="R95" s="19"/>
      <c r="S95" s="515" t="s">
        <v>1128</v>
      </c>
      <c r="T95" s="514"/>
      <c r="U95" s="479"/>
      <c r="V95" s="44" t="str">
        <f t="shared" si="14"/>
        <v>Unfilled fields to left</v>
      </c>
      <c r="X95" s="65"/>
    </row>
    <row r="96" spans="2:24" s="14" customFormat="1">
      <c r="B96" s="185" t="s">
        <v>1126</v>
      </c>
      <c r="C96" s="182" t="s">
        <v>1127</v>
      </c>
      <c r="D96" s="177" t="s">
        <v>425</v>
      </c>
      <c r="E96" s="35"/>
      <c r="F96" s="65"/>
      <c r="G96" s="65"/>
      <c r="H96" s="66"/>
      <c r="I96" s="66"/>
      <c r="J96" s="306"/>
      <c r="K96" s="306"/>
      <c r="L96" s="306"/>
      <c r="M96" s="306"/>
      <c r="N96" s="44">
        <f t="shared" si="13"/>
        <v>0</v>
      </c>
      <c r="O96" s="73"/>
      <c r="P96" s="19"/>
      <c r="Q96" s="19"/>
      <c r="R96" s="19"/>
      <c r="S96" s="515" t="s">
        <v>1128</v>
      </c>
      <c r="T96" s="514"/>
      <c r="U96" s="479"/>
      <c r="V96" s="44" t="str">
        <f t="shared" si="14"/>
        <v>Unfilled fields to left</v>
      </c>
      <c r="X96" s="65"/>
    </row>
    <row r="97" spans="2:25" s="14" customFormat="1">
      <c r="B97" s="185" t="s">
        <v>1126</v>
      </c>
      <c r="C97" s="182" t="s">
        <v>1127</v>
      </c>
      <c r="D97" s="177" t="s">
        <v>425</v>
      </c>
      <c r="E97" s="35"/>
      <c r="F97" s="65"/>
      <c r="G97" s="65"/>
      <c r="H97" s="66"/>
      <c r="I97" s="66"/>
      <c r="J97" s="306"/>
      <c r="K97" s="306"/>
      <c r="L97" s="306"/>
      <c r="M97" s="306"/>
      <c r="N97" s="44">
        <f t="shared" si="13"/>
        <v>0</v>
      </c>
      <c r="O97" s="73"/>
      <c r="P97" s="19"/>
      <c r="Q97" s="19"/>
      <c r="R97" s="19"/>
      <c r="S97" s="515" t="s">
        <v>1128</v>
      </c>
      <c r="T97" s="514"/>
      <c r="U97" s="479"/>
      <c r="V97" s="44" t="str">
        <f t="shared" si="14"/>
        <v>Unfilled fields to left</v>
      </c>
      <c r="X97" s="65"/>
    </row>
    <row r="98" spans="2:25" s="14" customFormat="1">
      <c r="B98" s="64"/>
      <c r="C98" s="15"/>
      <c r="D98" s="178"/>
      <c r="E98" s="496"/>
      <c r="F98" s="65"/>
      <c r="G98" s="65"/>
      <c r="H98" s="66"/>
      <c r="I98" s="66"/>
      <c r="J98" s="306"/>
      <c r="K98" s="306"/>
      <c r="L98" s="306"/>
      <c r="M98" s="306"/>
      <c r="N98" s="44">
        <f t="shared" si="13"/>
        <v>0</v>
      </c>
      <c r="O98" s="73"/>
      <c r="P98" s="19"/>
      <c r="Q98" s="19"/>
      <c r="R98" s="19"/>
      <c r="S98" s="300"/>
      <c r="T98" s="473"/>
      <c r="U98" s="306"/>
      <c r="V98" s="44" t="str">
        <f t="shared" si="14"/>
        <v>Unfilled fields to left</v>
      </c>
      <c r="X98" s="65"/>
    </row>
    <row r="99" spans="2:25" s="14" customFormat="1">
      <c r="B99" s="64"/>
      <c r="C99" s="15"/>
      <c r="D99" s="178"/>
      <c r="E99" s="496"/>
      <c r="F99" s="65"/>
      <c r="G99" s="65"/>
      <c r="H99" s="66"/>
      <c r="I99" s="66"/>
      <c r="J99" s="306"/>
      <c r="K99" s="306"/>
      <c r="L99" s="306"/>
      <c r="M99" s="306"/>
      <c r="N99" s="44">
        <f t="shared" si="13"/>
        <v>0</v>
      </c>
      <c r="O99" s="73"/>
      <c r="P99" s="19"/>
      <c r="Q99" s="19"/>
      <c r="R99" s="19"/>
      <c r="S99" s="300"/>
      <c r="T99" s="473"/>
      <c r="U99" s="306"/>
      <c r="V99" s="44" t="str">
        <f t="shared" si="14"/>
        <v>Unfilled fields to left</v>
      </c>
      <c r="X99" s="65"/>
    </row>
    <row r="100" spans="2:25">
      <c r="C100" s="17"/>
      <c r="D100" s="17"/>
      <c r="E100" s="139"/>
      <c r="F100" s="17"/>
      <c r="H100" s="18"/>
      <c r="I100" s="18"/>
      <c r="J100" s="40"/>
      <c r="K100" s="40"/>
      <c r="L100" s="40"/>
      <c r="M100" s="40"/>
      <c r="N100" s="40"/>
      <c r="O100" s="40"/>
      <c r="P100" s="12"/>
      <c r="S100" s="40"/>
      <c r="T100" s="40"/>
      <c r="U100" s="40"/>
      <c r="V100" s="40"/>
      <c r="Y100" s="12"/>
    </row>
    <row r="101" spans="2:25">
      <c r="E101" s="107"/>
      <c r="I101" s="12"/>
      <c r="J101" s="107"/>
      <c r="K101" s="107"/>
      <c r="L101" s="107"/>
      <c r="M101" s="107"/>
      <c r="N101" s="107"/>
      <c r="O101" s="107"/>
      <c r="P101" s="12"/>
      <c r="S101" s="39"/>
      <c r="T101" s="39"/>
      <c r="U101" s="38" t="s">
        <v>1308</v>
      </c>
      <c r="V101" s="152">
        <f>IF(OR(COUNTIF(Initial_questions!$E$112,"Default"), COUNTIF(Initial_questions!$E$114:$E$115,"Default")),"Default data selected",SUM(V20,V33,V46,V58,V64,V73,V85,V91))</f>
        <v>0</v>
      </c>
      <c r="W101" s="92"/>
      <c r="Y101" s="12"/>
    </row>
    <row r="102" spans="2:25">
      <c r="E102" s="107"/>
      <c r="I102" s="12"/>
      <c r="J102" s="107"/>
      <c r="K102" s="107"/>
      <c r="L102" s="107"/>
      <c r="M102" s="107"/>
      <c r="N102" s="107"/>
      <c r="O102" s="107"/>
      <c r="P102" s="12"/>
      <c r="S102" s="39"/>
      <c r="T102" s="39"/>
      <c r="U102" s="38" t="s">
        <v>1309</v>
      </c>
      <c r="V102" s="170">
        <f>IF(OR(COUNTIF(Initial_questions!$E$112,"Default"), COUNTIF(Initial_questions!$E$114:$E$115,"Default")),"Default data selected",SUM(V20,V33,V52,V57,V64,V79,V85,V91))</f>
        <v>0</v>
      </c>
      <c r="W102" s="92"/>
      <c r="Y102" s="12"/>
    </row>
    <row r="103" spans="2:25">
      <c r="B103" s="144" t="s">
        <v>133</v>
      </c>
      <c r="C103" s="158"/>
      <c r="D103" s="158"/>
      <c r="E103" s="495"/>
      <c r="I103" s="12"/>
      <c r="J103" s="107"/>
      <c r="K103" s="107"/>
      <c r="L103" s="107"/>
      <c r="M103" s="107"/>
      <c r="N103" s="107"/>
      <c r="O103" s="107"/>
      <c r="P103" s="12"/>
      <c r="S103" s="107"/>
      <c r="T103" s="107"/>
      <c r="U103" s="107"/>
      <c r="V103" s="12"/>
      <c r="Y103" s="12"/>
    </row>
    <row r="104" spans="2:25">
      <c r="B104" s="16" t="s">
        <v>1134</v>
      </c>
      <c r="C104" s="15" t="s">
        <v>1135</v>
      </c>
      <c r="D104" s="15" t="s">
        <v>1136</v>
      </c>
      <c r="E104" s="497"/>
      <c r="G104" s="19"/>
      <c r="H104" s="12"/>
      <c r="I104" s="12"/>
      <c r="J104" s="107"/>
      <c r="K104" s="107"/>
      <c r="L104" s="107"/>
      <c r="M104" s="107"/>
      <c r="N104" s="107"/>
      <c r="O104" s="107"/>
      <c r="P104" s="12"/>
      <c r="S104" s="107"/>
      <c r="T104" s="107"/>
      <c r="U104" s="107"/>
      <c r="V104" s="12"/>
      <c r="X104" s="25"/>
      <c r="Y104" s="12"/>
    </row>
    <row r="105" spans="2:25">
      <c r="B105" s="16" t="s">
        <v>1139</v>
      </c>
      <c r="C105" s="15" t="s">
        <v>1184</v>
      </c>
      <c r="D105" s="15" t="s">
        <v>897</v>
      </c>
      <c r="E105" s="507">
        <f>Initial_questions!$E$102</f>
        <v>0</v>
      </c>
      <c r="I105" s="12"/>
      <c r="J105" s="107"/>
      <c r="K105" s="107"/>
      <c r="L105" s="107"/>
      <c r="M105" s="107"/>
      <c r="N105" s="107"/>
      <c r="O105" s="107"/>
      <c r="P105" s="12"/>
      <c r="S105" s="107"/>
      <c r="T105" s="107"/>
      <c r="U105" s="107"/>
      <c r="V105" s="12"/>
      <c r="X105" s="25"/>
      <c r="Y105" s="12"/>
    </row>
    <row r="106" spans="2:25">
      <c r="B106" s="16" t="s">
        <v>1310</v>
      </c>
      <c r="C106" s="15" t="s">
        <v>1311</v>
      </c>
      <c r="D106" s="15" t="s">
        <v>897</v>
      </c>
      <c r="E106" s="507"/>
      <c r="I106" s="12"/>
      <c r="J106" s="107"/>
      <c r="K106" s="107"/>
      <c r="L106" s="107"/>
      <c r="M106" s="107"/>
      <c r="N106" s="107"/>
      <c r="O106" s="107"/>
      <c r="P106" s="12"/>
      <c r="S106" s="107"/>
      <c r="T106" s="107"/>
      <c r="U106" s="107"/>
      <c r="V106" s="12"/>
      <c r="X106" s="25"/>
      <c r="Y106" s="12"/>
    </row>
    <row r="107" spans="2:25">
      <c r="B107" s="16" t="s">
        <v>1310</v>
      </c>
      <c r="C107" s="15" t="s">
        <v>1312</v>
      </c>
      <c r="D107" s="15" t="s">
        <v>897</v>
      </c>
      <c r="E107" s="507">
        <f>1-E106</f>
        <v>1</v>
      </c>
      <c r="I107" s="12"/>
      <c r="J107" s="107"/>
      <c r="K107" s="107"/>
      <c r="L107" s="107"/>
      <c r="M107" s="107"/>
      <c r="N107" s="107"/>
      <c r="O107" s="107"/>
      <c r="P107" s="12"/>
      <c r="S107" s="107"/>
      <c r="T107" s="107"/>
      <c r="U107" s="107"/>
      <c r="V107" s="12"/>
      <c r="X107" s="25"/>
      <c r="Y107" s="12"/>
    </row>
    <row r="108" spans="2:25">
      <c r="B108" s="16"/>
      <c r="C108" s="15"/>
      <c r="D108" s="15"/>
      <c r="E108" s="497"/>
      <c r="I108" s="12"/>
      <c r="J108" s="107"/>
      <c r="K108" s="107"/>
      <c r="L108" s="107"/>
      <c r="M108" s="107"/>
      <c r="N108" s="107"/>
      <c r="O108" s="107"/>
      <c r="P108" s="12"/>
      <c r="S108" s="107"/>
      <c r="T108" s="107"/>
      <c r="U108" s="107"/>
      <c r="V108" s="12"/>
      <c r="X108" s="25"/>
      <c r="Y108" s="12"/>
    </row>
    <row r="109" spans="2:25">
      <c r="B109" s="16"/>
      <c r="C109" s="15"/>
      <c r="D109" s="15"/>
      <c r="E109" s="497"/>
      <c r="H109" s="12"/>
      <c r="I109" s="12"/>
      <c r="J109" s="107"/>
      <c r="K109" s="107"/>
      <c r="L109" s="107"/>
      <c r="M109" s="107"/>
      <c r="N109" s="107"/>
      <c r="O109" s="107"/>
      <c r="P109" s="12"/>
      <c r="S109" s="39"/>
      <c r="T109" s="39"/>
      <c r="U109" s="39"/>
      <c r="X109" s="25"/>
    </row>
    <row r="110" spans="2:25">
      <c r="E110" s="113"/>
      <c r="H110" s="12"/>
      <c r="I110" s="12"/>
      <c r="J110" s="107"/>
      <c r="K110" s="107"/>
      <c r="L110" s="107"/>
      <c r="M110" s="107"/>
      <c r="N110" s="107"/>
      <c r="O110" s="107"/>
      <c r="P110" s="12"/>
      <c r="S110" s="39"/>
      <c r="T110" s="39"/>
      <c r="U110" s="39"/>
    </row>
    <row r="111" spans="2:25">
      <c r="E111" s="113"/>
      <c r="J111" s="39"/>
      <c r="K111" s="39"/>
      <c r="L111" s="39"/>
      <c r="M111" s="39"/>
      <c r="S111" s="39"/>
      <c r="T111" s="39"/>
      <c r="U111" s="39"/>
    </row>
    <row r="112" spans="2:25">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J123" s="39"/>
      <c r="K123" s="39"/>
      <c r="L123" s="39"/>
      <c r="M123" s="39"/>
      <c r="S123" s="39"/>
      <c r="T123" s="39"/>
      <c r="U123" s="39"/>
    </row>
    <row r="124" spans="5:21">
      <c r="E124" s="113"/>
      <c r="J124" s="39"/>
      <c r="K124" s="39"/>
      <c r="L124" s="39"/>
      <c r="M124" s="39"/>
      <c r="S124" s="39"/>
      <c r="T124" s="39"/>
      <c r="U124" s="39"/>
    </row>
    <row r="125" spans="5:21">
      <c r="E125" s="113"/>
      <c r="J125" s="39"/>
      <c r="K125" s="39"/>
      <c r="L125" s="39"/>
      <c r="M125" s="39"/>
      <c r="S125" s="39"/>
      <c r="T125" s="39"/>
      <c r="U125" s="39"/>
    </row>
    <row r="126" spans="5:21">
      <c r="E126" s="113"/>
      <c r="J126" s="39"/>
      <c r="K126" s="39"/>
      <c r="L126" s="39"/>
      <c r="M126" s="39"/>
      <c r="S126" s="39"/>
      <c r="T126" s="39"/>
      <c r="U126" s="39"/>
    </row>
    <row r="127" spans="5:21">
      <c r="E127" s="113"/>
      <c r="S127" s="39"/>
      <c r="T127" s="39"/>
      <c r="U127" s="39"/>
    </row>
    <row r="128" spans="5:21">
      <c r="E128" s="113"/>
      <c r="S128" s="39"/>
      <c r="T128" s="39"/>
      <c r="U128" s="39"/>
    </row>
    <row r="129" spans="5:21">
      <c r="E129" s="113"/>
      <c r="S129" s="39"/>
      <c r="T129" s="39"/>
      <c r="U129" s="39"/>
    </row>
    <row r="130" spans="5:21">
      <c r="E130" s="113"/>
      <c r="S130" s="39"/>
      <c r="T130" s="39"/>
      <c r="U130" s="39"/>
    </row>
    <row r="131" spans="5:21">
      <c r="E131" s="113"/>
      <c r="S131" s="39"/>
      <c r="T131" s="39"/>
      <c r="U131" s="39"/>
    </row>
    <row r="132" spans="5:21">
      <c r="E132" s="113"/>
      <c r="S132" s="39"/>
      <c r="T132" s="39"/>
      <c r="U132" s="39"/>
    </row>
    <row r="133" spans="5:21">
      <c r="E133" s="113"/>
      <c r="S133" s="39"/>
      <c r="T133" s="39"/>
      <c r="U133" s="39"/>
    </row>
    <row r="134" spans="5:21">
      <c r="E134" s="113"/>
      <c r="S134" s="39"/>
      <c r="T134" s="39"/>
      <c r="U134" s="39"/>
    </row>
    <row r="135" spans="5:21">
      <c r="E135" s="113"/>
      <c r="S135" s="39"/>
      <c r="T135" s="39"/>
      <c r="U135" s="39"/>
    </row>
    <row r="136" spans="5:21">
      <c r="E136" s="113"/>
      <c r="S136" s="39"/>
      <c r="T136" s="39"/>
      <c r="U136" s="39"/>
    </row>
    <row r="137" spans="5:21">
      <c r="E137" s="113"/>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113"/>
      <c r="S148" s="39"/>
      <c r="T148" s="39"/>
      <c r="U148" s="39"/>
    </row>
    <row r="149" spans="5:21">
      <c r="E149" s="113"/>
      <c r="S149" s="39"/>
      <c r="T149" s="39"/>
      <c r="U149" s="39"/>
    </row>
    <row r="150" spans="5:21">
      <c r="E150" s="113"/>
      <c r="S150" s="39"/>
      <c r="T150" s="39"/>
      <c r="U150" s="39"/>
    </row>
    <row r="151" spans="5:21">
      <c r="E151" s="113"/>
      <c r="S151" s="39"/>
      <c r="T151" s="39"/>
      <c r="U151" s="39"/>
    </row>
    <row r="152" spans="5:21">
      <c r="E152" s="254"/>
      <c r="S152" s="39"/>
      <c r="T152" s="39"/>
      <c r="U152" s="39"/>
    </row>
    <row r="153" spans="5:21">
      <c r="E153" s="254"/>
      <c r="S153" s="39"/>
      <c r="T153" s="39"/>
      <c r="U153" s="39"/>
    </row>
    <row r="154" spans="5:21">
      <c r="E154" s="254"/>
      <c r="S154" s="39"/>
      <c r="T154" s="39"/>
      <c r="U154" s="39"/>
    </row>
    <row r="155" spans="5:21">
      <c r="E155" s="254"/>
      <c r="S155" s="39"/>
      <c r="T155" s="39"/>
      <c r="U155" s="39"/>
    </row>
    <row r="156" spans="5:21">
      <c r="E156" s="254"/>
      <c r="S156" s="39"/>
      <c r="T156" s="39"/>
      <c r="U156" s="39"/>
    </row>
    <row r="157" spans="5:21">
      <c r="E157" s="254"/>
      <c r="S157" s="39"/>
      <c r="T157" s="39"/>
      <c r="U157" s="39"/>
    </row>
    <row r="158" spans="5:21">
      <c r="E158" s="254"/>
      <c r="S158" s="39"/>
      <c r="T158" s="39"/>
      <c r="U158" s="39"/>
    </row>
    <row r="159" spans="5:21">
      <c r="E159" s="254"/>
      <c r="S159" s="39"/>
      <c r="T159" s="39"/>
      <c r="U159" s="39"/>
    </row>
    <row r="160" spans="5:21">
      <c r="E160" s="254"/>
      <c r="S160" s="39"/>
      <c r="T160" s="39"/>
      <c r="U160" s="39"/>
    </row>
    <row r="161" spans="5:21">
      <c r="E161" s="254"/>
      <c r="S161" s="39"/>
      <c r="T161" s="39"/>
      <c r="U161" s="39"/>
    </row>
    <row r="162" spans="5:21">
      <c r="E162" s="254"/>
      <c r="S162" s="39"/>
      <c r="T162" s="39"/>
      <c r="U162" s="39"/>
    </row>
    <row r="163" spans="5:21">
      <c r="E163" s="254"/>
      <c r="S163" s="39"/>
      <c r="T163" s="39"/>
      <c r="U163" s="39"/>
    </row>
    <row r="164" spans="5:21">
      <c r="E164" s="254"/>
      <c r="S164" s="39"/>
      <c r="T164" s="39"/>
      <c r="U164" s="39"/>
    </row>
    <row r="165" spans="5:21">
      <c r="E165" s="254"/>
      <c r="S165" s="39"/>
      <c r="T165" s="39"/>
      <c r="U165" s="39"/>
    </row>
    <row r="166" spans="5:21">
      <c r="E166" s="254"/>
      <c r="S166" s="39"/>
      <c r="T166" s="39"/>
      <c r="U166" s="39"/>
    </row>
    <row r="167" spans="5:21">
      <c r="E167" s="254"/>
      <c r="S167" s="39"/>
      <c r="T167" s="39"/>
      <c r="U167" s="39"/>
    </row>
    <row r="168" spans="5:21">
      <c r="E168" s="254"/>
      <c r="S168" s="39"/>
      <c r="T168" s="39"/>
      <c r="U168" s="39"/>
    </row>
    <row r="169" spans="5:21">
      <c r="E169" s="254"/>
      <c r="S169" s="39"/>
      <c r="T169" s="39"/>
      <c r="U169" s="39"/>
    </row>
    <row r="170" spans="5:21">
      <c r="E170" s="254"/>
      <c r="S170" s="39"/>
      <c r="T170" s="39"/>
      <c r="U170" s="39"/>
    </row>
    <row r="171" spans="5:21">
      <c r="E171" s="254"/>
      <c r="S171" s="39"/>
      <c r="T171" s="39"/>
      <c r="U171" s="39"/>
    </row>
    <row r="172" spans="5:21">
      <c r="E172" s="254"/>
      <c r="S172" s="39"/>
      <c r="T172" s="39"/>
      <c r="U172" s="39"/>
    </row>
    <row r="173" spans="5:21">
      <c r="E173" s="254"/>
      <c r="S173" s="39"/>
      <c r="T173" s="39"/>
      <c r="U173" s="39"/>
    </row>
    <row r="174" spans="5:21">
      <c r="E174" s="254"/>
      <c r="S174" s="39"/>
      <c r="T174" s="39"/>
      <c r="U174" s="39"/>
    </row>
    <row r="175" spans="5:21">
      <c r="E175" s="254"/>
      <c r="S175" s="39"/>
      <c r="T175" s="39"/>
      <c r="U175" s="39"/>
    </row>
    <row r="176" spans="5:21">
      <c r="E176" s="254"/>
      <c r="S176" s="39"/>
      <c r="T176" s="39"/>
      <c r="U176" s="39"/>
    </row>
    <row r="177" spans="5:21">
      <c r="E177" s="254"/>
      <c r="S177" s="39"/>
      <c r="T177" s="39"/>
      <c r="U177" s="39"/>
    </row>
    <row r="178" spans="5:21">
      <c r="E178" s="254"/>
      <c r="S178" s="39"/>
      <c r="T178" s="39"/>
      <c r="U178" s="39"/>
    </row>
    <row r="179" spans="5:21">
      <c r="E179" s="254"/>
      <c r="S179" s="39"/>
      <c r="T179" s="39"/>
      <c r="U179" s="39"/>
    </row>
    <row r="180" spans="5:21">
      <c r="E180" s="254"/>
      <c r="S180" s="39"/>
      <c r="T180" s="39"/>
      <c r="U180" s="39"/>
    </row>
    <row r="181" spans="5:21">
      <c r="E181" s="254"/>
      <c r="S181" s="39"/>
      <c r="T181" s="39"/>
      <c r="U181" s="39"/>
    </row>
    <row r="182" spans="5:21">
      <c r="E182" s="254"/>
      <c r="S182" s="39"/>
      <c r="T182" s="39"/>
      <c r="U182" s="39"/>
    </row>
    <row r="183" spans="5:21">
      <c r="E183" s="254"/>
      <c r="S183" s="39"/>
      <c r="T183" s="39"/>
      <c r="U183" s="39"/>
    </row>
    <row r="184" spans="5:21">
      <c r="E184" s="254"/>
      <c r="S184" s="39"/>
      <c r="T184" s="39"/>
      <c r="U184" s="39"/>
    </row>
    <row r="185" spans="5:21">
      <c r="E185" s="254"/>
      <c r="S185" s="39"/>
      <c r="T185" s="39"/>
      <c r="U185" s="39"/>
    </row>
    <row r="186" spans="5:21">
      <c r="E186" s="254"/>
      <c r="S186" s="39"/>
      <c r="T186" s="39"/>
      <c r="U186" s="39"/>
    </row>
    <row r="187" spans="5:21">
      <c r="E187" s="254"/>
      <c r="S187" s="39"/>
      <c r="T187" s="39"/>
      <c r="U187" s="39"/>
    </row>
    <row r="188" spans="5:21">
      <c r="E188" s="254"/>
      <c r="S188" s="39"/>
      <c r="T188" s="39"/>
      <c r="U188" s="39"/>
    </row>
    <row r="189" spans="5:21">
      <c r="E189" s="254"/>
      <c r="S189" s="39"/>
      <c r="T189" s="39"/>
      <c r="U189" s="39"/>
    </row>
    <row r="190" spans="5:21">
      <c r="E190" s="254"/>
      <c r="S190" s="39"/>
      <c r="T190" s="39"/>
      <c r="U190" s="39"/>
    </row>
    <row r="191" spans="5:21">
      <c r="E191" s="254"/>
      <c r="S191" s="39"/>
      <c r="T191" s="39"/>
      <c r="U191" s="39"/>
    </row>
    <row r="192" spans="5:21">
      <c r="E192" s="254"/>
      <c r="S192" s="39"/>
      <c r="T192" s="39"/>
      <c r="U192" s="39"/>
    </row>
    <row r="193" spans="5:21">
      <c r="E193" s="254"/>
      <c r="S193" s="39"/>
      <c r="T193" s="39"/>
      <c r="U193" s="39"/>
    </row>
    <row r="194" spans="5:21">
      <c r="E194" s="254"/>
    </row>
    <row r="195" spans="5:21">
      <c r="E195" s="254"/>
    </row>
    <row r="196" spans="5:21">
      <c r="E196" s="254"/>
    </row>
    <row r="197" spans="5:21">
      <c r="E197" s="254"/>
    </row>
    <row r="198" spans="5:21">
      <c r="E198" s="254"/>
    </row>
    <row r="199" spans="5:21">
      <c r="E199" s="254"/>
    </row>
    <row r="200" spans="5:21">
      <c r="E200" s="254"/>
    </row>
    <row r="201" spans="5:21">
      <c r="E201" s="254"/>
    </row>
    <row r="202" spans="5:21">
      <c r="E202" s="254"/>
    </row>
    <row r="203" spans="5:21">
      <c r="E203" s="254"/>
    </row>
    <row r="204" spans="5:21">
      <c r="E204" s="254"/>
    </row>
    <row r="205" spans="5:21">
      <c r="E205" s="254"/>
    </row>
    <row r="206" spans="5:21">
      <c r="E206" s="254"/>
    </row>
    <row r="207" spans="5:21">
      <c r="E207" s="254"/>
    </row>
    <row r="208" spans="5:21">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row r="247" spans="5:5">
      <c r="E247" s="254"/>
    </row>
    <row r="248" spans="5:5">
      <c r="E248" s="254"/>
    </row>
    <row r="249" spans="5:5">
      <c r="E249" s="254"/>
    </row>
    <row r="250" spans="5:5">
      <c r="E250" s="254"/>
    </row>
    <row r="251" spans="5:5">
      <c r="E251" s="254"/>
    </row>
    <row r="252" spans="5:5">
      <c r="E252" s="254"/>
    </row>
    <row r="253" spans="5:5">
      <c r="E253" s="254"/>
    </row>
    <row r="254" spans="5:5">
      <c r="E254" s="254"/>
    </row>
    <row r="255" spans="5:5">
      <c r="E255" s="254"/>
    </row>
    <row r="256" spans="5:5">
      <c r="E256" s="254"/>
    </row>
    <row r="257" spans="5:5">
      <c r="E257" s="254"/>
    </row>
    <row r="258" spans="5:5">
      <c r="E258" s="254"/>
    </row>
    <row r="259" spans="5:5">
      <c r="E259" s="254"/>
    </row>
    <row r="260" spans="5:5">
      <c r="E260" s="254"/>
    </row>
    <row r="261" spans="5:5">
      <c r="E261" s="254"/>
    </row>
    <row r="262" spans="5:5">
      <c r="E262" s="254"/>
    </row>
    <row r="263" spans="5:5">
      <c r="E263" s="254"/>
    </row>
    <row r="264" spans="5:5">
      <c r="E264" s="254"/>
    </row>
    <row r="265" spans="5:5">
      <c r="E265" s="254"/>
    </row>
    <row r="266" spans="5:5">
      <c r="E266" s="254"/>
    </row>
    <row r="267" spans="5:5">
      <c r="E267" s="254"/>
    </row>
    <row r="268" spans="5:5">
      <c r="E268" s="254"/>
    </row>
    <row r="269" spans="5:5">
      <c r="E269" s="254"/>
    </row>
    <row r="270" spans="5:5">
      <c r="E270" s="254"/>
    </row>
    <row r="271" spans="5:5">
      <c r="E271" s="254"/>
    </row>
    <row r="272" spans="5:5">
      <c r="E272" s="254"/>
    </row>
    <row r="273" spans="5:5">
      <c r="E273" s="254"/>
    </row>
  </sheetData>
  <customSheetViews>
    <customSheetView guid="{F03309BC-D3FA-4CF2-833B-D6D9A95FE1FB}" showGridLines="0" state="hidden">
      <pane xSplit="3" ySplit="5" topLeftCell="G6" activePane="bottomRight" state="frozen"/>
      <selection pane="bottomRight" activeCell="D2" sqref="D2"/>
      <pageMargins left="0" right="0" top="0" bottom="0" header="0" footer="0"/>
    </customSheetView>
    <customSheetView guid="{EECBF9DF-6D77-4263-85DA-71E40216BADD}" showGridLines="0" state="hidden">
      <pane xSplit="3" ySplit="5" topLeftCell="D6" activePane="bottomRight" state="frozen"/>
      <selection pane="bottomRight" activeCell="D1" sqref="D1"/>
      <pageMargins left="0" right="0" top="0" bottom="0" header="0" footer="0"/>
    </customSheetView>
    <customSheetView guid="{1C16EB38-F785-4168-9938-104594734038}" showGridLines="0" state="hidden">
      <pane xSplit="3" ySplit="5" topLeftCell="D6" activePane="bottomRight" state="frozen"/>
      <selection pane="bottomRight" activeCell="D1" sqref="D1"/>
      <pageMargins left="0" right="0" top="0" bottom="0" header="0" footer="0"/>
    </customSheetView>
    <customSheetView guid="{0E935136-9A80-44B6-88D5-61E64D742049}" showGridLines="0" state="hidden">
      <pane xSplit="3" ySplit="5" topLeftCell="D6" activePane="bottomRight" state="frozen"/>
      <selection pane="bottomRight" activeCell="D1" sqref="D1"/>
      <pageMargins left="0" right="0" top="0" bottom="0" header="0" footer="0"/>
    </customSheetView>
    <customSheetView guid="{E6EFD927-84B2-4D06-BB59-59D9DF522DA2}" showGridLines="0" state="hidden">
      <pane xSplit="3" ySplit="5" topLeftCell="D6" activePane="bottomRight" state="frozen"/>
      <selection pane="bottomRight" activeCell="D1" sqref="D1"/>
      <pageMargins left="0" right="0" top="0" bottom="0" header="0" footer="0"/>
    </customSheetView>
    <customSheetView guid="{3F0A4FBA-5323-448F-A023-B3E14C54064C}" showGridLines="0" state="hidden">
      <pane xSplit="3" ySplit="5" topLeftCell="G6" activePane="bottomRight" state="frozen"/>
      <selection pane="bottomRight" activeCell="D2" sqref="D2"/>
      <pageMargins left="0" right="0" top="0" bottom="0" header="0" footer="0"/>
    </customSheetView>
    <customSheetView guid="{D97B1299-69D0-4EE0-B673-CCF74742F96B}" state="hidden">
      <selection activeCell="I2" sqref="I2:K2"/>
      <pageMargins left="0" right="0" top="0" bottom="0" header="0" footer="0"/>
    </customSheetView>
    <customSheetView guid="{F468A2FD-7987-4A9D-8BAE-1AACE523607F}" showGridLines="0">
      <pane xSplit="3" ySplit="5" topLeftCell="D6" activePane="bottomRight" state="frozen"/>
      <selection pane="bottomRight" activeCell="D1" sqref="D1"/>
      <pageMargins left="0" right="0" top="0" bottom="0" header="0" footer="0"/>
    </customSheetView>
    <customSheetView guid="{2D920366-22B2-4182-A65D-0EDBE614FB37}" showGridLines="0">
      <pane xSplit="3" ySplit="5" topLeftCell="D6" activePane="bottomRight" state="frozen"/>
      <selection pane="bottomRight"/>
      <pageMargins left="0" right="0" top="0" bottom="0" header="0" footer="0"/>
    </customSheetView>
  </customSheetViews>
  <mergeCells count="1">
    <mergeCell ref="I2:K2"/>
  </mergeCells>
  <dataValidations count="5">
    <dataValidation type="list" allowBlank="1" showInputMessage="1" showErrorMessage="1" sqref="D20:D30 D34:D43 D53:D55 D86:D88 D74:D76 D92:D99 D65:D70 D47:D50 D63 D72 D80:D83 D59:D61 D8 D10:D17" xr:uid="{9220F40D-2B35-4180-B735-453C775A462F}">
      <formula1>Flow_units</formula1>
    </dataValidation>
    <dataValidation type="custom" allowBlank="1" showInputMessage="1" showErrorMessage="1" error="Please do not change this formula" prompt="Please do not change this formula" sqref="W4 R6:R8 V104:V1048576 V1:V4 V6:V17 V19:V102 N1:O2 R14:R1048576 N4:P4 O6:O9 Q1:R4 P7 O18:O1048576 N6:N1048576 Q6:Q1048576 S5:V5" xr:uid="{21ADC1AC-BB3F-4086-B5E4-DFE0BD26773D}">
      <formula1>"Please do not change this formula"</formula1>
    </dataValidation>
    <dataValidation type="custom" allowBlank="1" showInputMessage="1" showErrorMessage="1" error="Please do not change" sqref="R9:R13" xr:uid="{60395A81-E7CB-4E8E-8C36-19658BAF9024}">
      <formula1>"Please do not change"</formula1>
    </dataValidation>
    <dataValidation type="custom" allowBlank="1" showInputMessage="1" showErrorMessage="1" error="Please do not change this formula" sqref="O5:R5" xr:uid="{ABCCF8AA-0DA5-4420-B5E4-5C59B4DDCDB9}">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72 S92:T100" xr:uid="{3A7AA794-1CB9-4DB7-B235-FDD0ACBB148C}">
      <formula1>0</formula1>
    </dataValidation>
  </dataValidations>
  <hyperlinks>
    <hyperlink ref="I2:J2" location="GHG_WASTE_GASIFICATION!A1" display="Go to the summary tab of this pathway" xr:uid="{F40DCEDB-E312-463C-B789-0763E090C683}"/>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8" id="{00000000-000E-0000-3600-00001C000000}">
            <xm:f>AND(Path&lt;&gt;Units!$B$101, Path &lt;&gt;Units!$B$102,Master_Switch="On")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32" id="{50C4A571-C9B6-447D-B090-45A591B2C030}">
            <xm:f>AND(OR(GHG_WASTE_GASIFICATION!$D$9="Default",GHG_WASTE_GASIFICATION!$D$31="Default"),Master_Switch="On")</xm:f>
            <x14:dxf>
              <font>
                <color theme="0"/>
              </font>
              <fill>
                <patternFill>
                  <bgColor theme="0"/>
                </patternFill>
              </fill>
              <border>
                <left/>
                <right/>
                <top/>
                <bottom/>
              </border>
            </x14:dxf>
          </x14:cfRule>
          <xm:sqref>A21:XFD30</xm:sqref>
        </x14:conditionalFormatting>
        <x14:conditionalFormatting xmlns:xm="http://schemas.microsoft.com/office/excel/2006/main">
          <x14:cfRule type="expression" priority="4" id="{794C5D9F-EEC7-4DF7-B404-D0FDDBFAA0E5}">
            <xm:f>AND(OR(GHG_WASTE_GASIFICATION!$D$10="Default",GHG_WASTE_GASIFICATION!$D$32="Default"),Master_Switch="On")</xm:f>
            <x14:dxf>
              <font>
                <color theme="0"/>
              </font>
              <fill>
                <patternFill>
                  <bgColor theme="0"/>
                </patternFill>
              </fill>
              <border>
                <left/>
                <right/>
                <top/>
                <bottom/>
                <vertical/>
                <horizontal/>
              </border>
            </x14:dxf>
          </x14:cfRule>
          <xm:sqref>A34:XFD43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F26B060-DE8B-41A7-9079-03B43D2C1497}">
          <x14:formula1>
            <xm:f>Units!$Z$84</xm:f>
          </x14:formula1>
          <xm:sqref>D9</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4A2E6-DB10-48AA-B784-EC3F23CC1BDF}">
  <sheetPr codeName="Sheet60">
    <tabColor theme="0" tint="-0.34998626667073579"/>
  </sheetPr>
  <dimension ref="A1:E27"/>
  <sheetViews>
    <sheetView showGridLines="0" zoomScaleNormal="100" workbookViewId="0"/>
  </sheetViews>
  <sheetFormatPr defaultColWidth="8.85546875" defaultRowHeight="14.45"/>
  <cols>
    <col min="1" max="1" width="6.5703125" customWidth="1"/>
    <col min="2" max="2" width="92.85546875" customWidth="1"/>
    <col min="3" max="3" width="29.85546875" customWidth="1"/>
    <col min="4" max="10" width="21.140625" customWidth="1"/>
  </cols>
  <sheetData>
    <row r="1" spans="1:5" ht="30.95">
      <c r="A1" s="566" t="str">
        <f>IF(AND(Path&lt;&gt;Units!$B$103, Initial_questions!$E$27&lt;&gt;Units!$L$89, Master_Switch="On"),"User should not fill in this sheet, but switch to other non-blank GHG worksheets","")</f>
        <v>User should not fill in this sheet, but switch to other non-blank GHG worksheets</v>
      </c>
    </row>
    <row r="2" spans="1:5" ht="18.600000000000001">
      <c r="A2" s="575"/>
      <c r="C2" s="735" t="s">
        <v>1141</v>
      </c>
      <c r="D2" s="737"/>
      <c r="E2" s="738"/>
    </row>
    <row r="3" spans="1:5" s="101" customFormat="1" ht="18.600000000000001">
      <c r="A3" s="575"/>
    </row>
    <row r="4" spans="1:5">
      <c r="B4" s="28" t="s">
        <v>1335</v>
      </c>
    </row>
    <row r="5" spans="1:5" ht="16.5">
      <c r="B5" t="s">
        <v>1336</v>
      </c>
    </row>
    <row r="7" spans="1:5" ht="18.75" customHeight="1">
      <c r="B7" s="62" t="s">
        <v>1337</v>
      </c>
      <c r="C7" s="558" t="str">
        <f>IF(Initial_questions!E27=Units!L96,"Grid average electricity","User to input")</f>
        <v>User to input</v>
      </c>
      <c r="D7" s="62" t="s">
        <v>1338</v>
      </c>
    </row>
    <row r="8" spans="1:5" ht="18.75" customHeight="1">
      <c r="B8" s="62" t="s">
        <v>1279</v>
      </c>
      <c r="C8" s="558" t="str">
        <f>IF(C7="Grid average electricity","22%","User to input")</f>
        <v>User to input</v>
      </c>
      <c r="D8" s="62" t="s">
        <v>1339</v>
      </c>
    </row>
    <row r="9" spans="1:5" ht="18.75" customHeight="1">
      <c r="B9" s="62" t="s">
        <v>1281</v>
      </c>
      <c r="C9" s="556" t="str">
        <f>IF(AND(Initial_questions!E113="Default", OR(Initial_questions!E21="Waste Gasification with CCS",Initial_questions!E21="Waste Gasification without CCS")),IFERROR(INDEX(Proj_grid_intensity_kWh,MATCH(Operations_year,Proj_grid_year,0))/Conversion_kWh_to_MJ,"Yet to provide year"),"User to input")</f>
        <v>User to input</v>
      </c>
      <c r="D9" s="62"/>
    </row>
    <row r="10" spans="1:5" ht="18.75" customHeight="1">
      <c r="B10" s="62" t="s">
        <v>1282</v>
      </c>
      <c r="C10" s="556" t="s">
        <v>1128</v>
      </c>
      <c r="D10" s="62" t="s">
        <v>1340</v>
      </c>
    </row>
    <row r="13" spans="1:5">
      <c r="B13" s="555" t="s">
        <v>1341</v>
      </c>
    </row>
    <row r="14" spans="1:5">
      <c r="B14" s="555" t="s">
        <v>1212</v>
      </c>
    </row>
    <row r="17" spans="2:2">
      <c r="B17" s="554" t="s">
        <v>1287</v>
      </c>
    </row>
    <row r="18" spans="2:2">
      <c r="B18" s="554" t="s">
        <v>1342</v>
      </c>
    </row>
    <row r="19" spans="2:2">
      <c r="B19" s="555" t="s">
        <v>1289</v>
      </c>
    </row>
    <row r="21" spans="2:2">
      <c r="B21" s="28" t="s">
        <v>1290</v>
      </c>
    </row>
    <row r="22" spans="2:2">
      <c r="B22" s="557"/>
    </row>
    <row r="23" spans="2:2">
      <c r="B23" s="557"/>
    </row>
    <row r="25" spans="2:2">
      <c r="B25" s="28" t="s">
        <v>1291</v>
      </c>
    </row>
    <row r="26" spans="2:2">
      <c r="B26" s="557"/>
    </row>
    <row r="27" spans="2:2">
      <c r="B27" s="557"/>
    </row>
  </sheetData>
  <customSheetViews>
    <customSheetView guid="{F03309BC-D3FA-4CF2-833B-D6D9A95FE1FB}" state="hidden">
      <selection activeCell="I2" sqref="I2:K2"/>
      <pageMargins left="0" right="0" top="0" bottom="0" header="0" footer="0"/>
    </customSheetView>
    <customSheetView guid="{EECBF9DF-6D77-4263-85DA-71E40216BADD}" state="hidden">
      <selection activeCell="I2" sqref="I2:K2"/>
      <pageMargins left="0" right="0" top="0" bottom="0" header="0" footer="0"/>
    </customSheetView>
    <customSheetView guid="{1C16EB38-F785-4168-9938-104594734038}" showGridLines="0" state="hidden">
      <selection activeCell="I2" sqref="I2:K2"/>
      <pageMargins left="0" right="0" top="0" bottom="0" header="0" footer="0"/>
    </customSheetView>
    <customSheetView guid="{0E935136-9A80-44B6-88D5-61E64D742049}" showGridLines="0" state="hidden">
      <selection activeCell="I2" sqref="I2:K2"/>
      <pageMargins left="0" right="0" top="0" bottom="0" header="0" footer="0"/>
    </customSheetView>
    <customSheetView guid="{E6EFD927-84B2-4D06-BB59-59D9DF522DA2}" state="hidden">
      <selection activeCell="I2" sqref="I2:K2"/>
      <pageMargins left="0" right="0" top="0" bottom="0" header="0" footer="0"/>
    </customSheetView>
    <customSheetView guid="{3F0A4FBA-5323-448F-A023-B3E14C54064C}" state="hidden">
      <selection activeCell="I2" sqref="I2:K2"/>
      <pageMargins left="0" right="0" top="0" bottom="0" header="0" footer="0"/>
    </customSheetView>
    <customSheetView guid="{D97B1299-69D0-4EE0-B673-CCF74742F96B}" state="hidden">
      <selection activeCell="I2" sqref="I2:K2"/>
      <pageMargins left="0" right="0" top="0" bottom="0" header="0" footer="0"/>
    </customSheetView>
    <customSheetView guid="{F468A2FD-7987-4A9D-8BAE-1AACE523607F}" state="hidden">
      <selection activeCell="I2" sqref="I2:K2"/>
      <pageMargins left="0" right="0" top="0" bottom="0" header="0" footer="0"/>
    </customSheetView>
    <customSheetView guid="{2D920366-22B2-4182-A65D-0EDBE614FB37}" showGridLines="0">
      <pageMargins left="0" right="0" top="0" bottom="0" header="0" footer="0"/>
    </customSheetView>
  </customSheetViews>
  <mergeCells count="1">
    <mergeCell ref="C2:E2"/>
  </mergeCells>
  <dataValidations count="1">
    <dataValidation type="decimal" operator="greaterThan" allowBlank="1" showInputMessage="1" showErrorMessage="1" errorTitle="Negative value used" error="Efficiency, displaced GHG intensity and CO2 emitted from waste fossil feedstock carbon values must all be non-negative" sqref="C9:C10" xr:uid="{91D499CD-97D4-4FD6-BBFC-DF7371261433}">
      <formula1>0</formula1>
    </dataValidation>
  </dataValidations>
  <hyperlinks>
    <hyperlink ref="C2:D2" location="'Waste Gasification (+CCS)'!A1" display="Go to the next step of this pathway" xr:uid="{0FD7D1AD-5383-4D94-97BD-453C83FDC9F0}"/>
    <hyperlink ref="C2:E2" location="Generic_Feedstock_Cultivation!A1" display="Go to the next step of this pathway" xr:uid="{D7B4D17C-C340-40AF-98E8-B51FE2300F49}"/>
  </hyperlinks>
  <pageMargins left="0" right="0" top="0" bottom="0" header="0" footer="0"/>
  <headerFooter>
    <oddHeader>&amp;C&amp;"Aptos"&amp;10&amp;K000000 OFFICIAL&amp;1#_x000D_</oddHeader>
    <oddFooter>&amp;C_x000D_&amp;1#&amp;"Aptos"&amp;10&amp;K000000 OFFICIAL</oddFooter>
  </headerFooter>
  <extLst>
    <ext xmlns:x14="http://schemas.microsoft.com/office/spreadsheetml/2009/9/main" uri="{78C0D931-6437-407d-A8EE-F0AAD7539E65}">
      <x14:conditionalFormattings>
        <x14:conditionalFormatting xmlns:xm="http://schemas.microsoft.com/office/excel/2006/main">
          <x14:cfRule type="expression" priority="264" id="{35E71349-9231-475F-B526-F1CD290BE13E}">
            <xm:f>AND(Path&lt;&gt;Units!$B$103, Initial_questions!$E$27&lt;&gt;Units!$L$89,Master_Switch="On")</xm:f>
            <x14:dxf>
              <font>
                <color theme="0"/>
              </font>
              <fill>
                <patternFill>
                  <bgColor theme="0"/>
                </patternFill>
              </fill>
              <border>
                <left/>
                <right/>
                <top/>
                <bottom/>
                <vertical/>
                <horizontal/>
              </border>
            </x14:dxf>
          </x14:cfRule>
          <xm:sqref>A2:XFD100</xm:sqref>
        </x14:conditionalFormatting>
      </x14:conditionalFormatting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3424-C4B6-4491-8293-10CC0C9E1234}">
  <sheetPr codeName="Sheet49">
    <tabColor theme="0" tint="-0.34998626667073579"/>
  </sheetPr>
  <dimension ref="A1:AC190"/>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5.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7.140625" customWidth="1"/>
    <col min="16" max="16" width="10.5703125"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IF(AND(Path&lt;&gt;Units!$B$103,Master_Switch="On"),"User should not fill in this sheet, but switch to other non-blank GHG worksheets","")</f>
        <v>User should not fill in this sheet, but switch to other non-blank GHG worksheets</v>
      </c>
      <c r="E1" s="254"/>
    </row>
    <row r="2" spans="1:29" ht="20.4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84" t="s">
        <v>1069</v>
      </c>
      <c r="C8" s="182" t="s">
        <v>1146</v>
      </c>
      <c r="D8" s="177" t="s">
        <v>447</v>
      </c>
      <c r="E8" s="35"/>
      <c r="F8" s="24"/>
      <c r="G8" s="21"/>
      <c r="H8" s="20"/>
      <c r="I8" s="36"/>
      <c r="J8" s="298"/>
      <c r="K8" s="300"/>
      <c r="L8" s="300"/>
      <c r="M8" s="300"/>
      <c r="N8" s="240">
        <f t="shared" ref="N8:N17" si="0">IF($D8="MWh/yr (LHV)",$E8,$J8*$E8*(1-$L8)/Conversion_kWh_to_MJ)</f>
        <v>0</v>
      </c>
      <c r="O8" s="12"/>
      <c r="P8" s="12"/>
      <c r="S8" s="35" t="str">
        <f t="shared" ref="S8:S17" si="1">IF(B8="", "", IF(D8="MWh/yr (LHV)", "Use column to right", "Enter data here"))</f>
        <v>Use column to right</v>
      </c>
      <c r="T8" s="35" t="e">
        <f>INDEX(Proj_grid_intensity_kWh,MATCH(Operations_year,Proj_grid_year,0))/Conversion_kWh_to_MJ</f>
        <v>#N/A</v>
      </c>
      <c r="U8" s="35" t="s">
        <v>1112</v>
      </c>
      <c r="V8" s="261" t="str">
        <f t="shared" ref="V8:V17" si="2">IFERROR(IF(D8="tonnes/yr", $S8*$E8/($N$20*3.6), $T8*$E8*3.6/($N$20*3.6)), "Unfilled fields to left")</f>
        <v>Unfilled fields to left</v>
      </c>
      <c r="X8" s="25"/>
      <c r="Y8" s="12"/>
    </row>
    <row r="9" spans="1:29">
      <c r="B9" s="184" t="s">
        <v>1069</v>
      </c>
      <c r="C9" s="182"/>
      <c r="D9" s="177"/>
      <c r="E9" s="35"/>
      <c r="F9" s="24"/>
      <c r="G9" s="21"/>
      <c r="H9" s="20"/>
      <c r="I9" s="36"/>
      <c r="J9" s="298"/>
      <c r="K9" s="300"/>
      <c r="L9" s="300"/>
      <c r="M9" s="300"/>
      <c r="N9" s="240">
        <f t="shared" si="0"/>
        <v>0</v>
      </c>
      <c r="O9" s="12"/>
      <c r="P9" s="12"/>
      <c r="S9" s="35" t="str">
        <f t="shared" si="1"/>
        <v>Enter data here</v>
      </c>
      <c r="T9" s="35" t="str">
        <f t="shared" ref="T9:T17" si="3">IF(B9="", "", IF(D9="MWh/yr (LHV)", "Enter data here", "Use column to left"))</f>
        <v>Use column to left</v>
      </c>
      <c r="U9" s="35" t="s">
        <v>1148</v>
      </c>
      <c r="V9" s="261" t="str">
        <f t="shared" si="2"/>
        <v>Unfilled fields to left</v>
      </c>
      <c r="X9" s="25"/>
      <c r="Y9" s="12"/>
    </row>
    <row r="10" spans="1:29">
      <c r="B10" s="184" t="s">
        <v>1090</v>
      </c>
      <c r="C10" s="182" t="s">
        <v>1091</v>
      </c>
      <c r="D10" s="177" t="s">
        <v>425</v>
      </c>
      <c r="E10" s="35"/>
      <c r="F10" s="24"/>
      <c r="G10" s="21"/>
      <c r="H10" s="20"/>
      <c r="I10" s="36"/>
      <c r="J10" s="298"/>
      <c r="K10" s="300"/>
      <c r="L10" s="300"/>
      <c r="M10" s="300"/>
      <c r="N10" s="240">
        <f t="shared" si="0"/>
        <v>0</v>
      </c>
      <c r="O10" s="12"/>
      <c r="P10" s="12"/>
      <c r="S10" s="35" t="str">
        <f t="shared" si="1"/>
        <v>Enter data here</v>
      </c>
      <c r="T10" s="35" t="str">
        <f t="shared" si="3"/>
        <v>Use column to left</v>
      </c>
      <c r="U10" s="35" t="s">
        <v>1148</v>
      </c>
      <c r="V10" s="261" t="str">
        <f t="shared" si="2"/>
        <v>Unfilled fields to left</v>
      </c>
      <c r="W10" s="91"/>
      <c r="X10" s="25"/>
      <c r="Y10" s="12"/>
    </row>
    <row r="11" spans="1:29">
      <c r="B11" s="184" t="s">
        <v>1090</v>
      </c>
      <c r="C11" s="182" t="s">
        <v>1093</v>
      </c>
      <c r="D11" s="177" t="s">
        <v>425</v>
      </c>
      <c r="E11" s="35"/>
      <c r="F11" s="21"/>
      <c r="G11" s="21"/>
      <c r="H11" s="20"/>
      <c r="I11" s="36"/>
      <c r="J11" s="298"/>
      <c r="K11" s="300"/>
      <c r="L11" s="300"/>
      <c r="M11" s="300"/>
      <c r="N11" s="240">
        <f t="shared" si="0"/>
        <v>0</v>
      </c>
      <c r="O11" s="12"/>
      <c r="P11" s="12"/>
      <c r="S11" s="35" t="str">
        <f t="shared" si="1"/>
        <v>Enter data here</v>
      </c>
      <c r="T11" s="35" t="str">
        <f t="shared" si="3"/>
        <v>Use column to left</v>
      </c>
      <c r="U11" s="35" t="s">
        <v>1148</v>
      </c>
      <c r="V11" s="261" t="str">
        <f t="shared" si="2"/>
        <v>Unfilled fields to left</v>
      </c>
      <c r="X11" s="25"/>
      <c r="Y11" s="12"/>
    </row>
    <row r="12" spans="1:29">
      <c r="B12" s="184" t="s">
        <v>1099</v>
      </c>
      <c r="C12" s="182" t="s">
        <v>1058</v>
      </c>
      <c r="D12" s="177" t="s">
        <v>425</v>
      </c>
      <c r="E12" s="35"/>
      <c r="F12" s="21"/>
      <c r="G12" s="21"/>
      <c r="H12" s="20"/>
      <c r="I12" s="36"/>
      <c r="J12" s="298"/>
      <c r="K12" s="300"/>
      <c r="L12" s="300"/>
      <c r="M12" s="300"/>
      <c r="N12" s="240">
        <f t="shared" si="0"/>
        <v>0</v>
      </c>
      <c r="O12" s="12"/>
      <c r="P12" s="12"/>
      <c r="S12" s="35" t="str">
        <f t="shared" si="1"/>
        <v>Enter data here</v>
      </c>
      <c r="T12" s="35" t="str">
        <f t="shared" si="3"/>
        <v>Use column to left</v>
      </c>
      <c r="U12" s="35" t="s">
        <v>1148</v>
      </c>
      <c r="V12" s="261" t="str">
        <f t="shared" si="2"/>
        <v>Unfilled fields to left</v>
      </c>
      <c r="X12" s="25"/>
      <c r="Y12" s="12"/>
    </row>
    <row r="13" spans="1:29">
      <c r="B13" s="184" t="s">
        <v>1099</v>
      </c>
      <c r="C13" s="182" t="s">
        <v>1149</v>
      </c>
      <c r="D13" s="177" t="s">
        <v>425</v>
      </c>
      <c r="E13" s="35"/>
      <c r="F13" s="21"/>
      <c r="G13" s="21"/>
      <c r="H13" s="20"/>
      <c r="I13" s="36"/>
      <c r="J13" s="298"/>
      <c r="K13" s="300"/>
      <c r="L13" s="300"/>
      <c r="M13" s="300"/>
      <c r="N13" s="240">
        <f t="shared" si="0"/>
        <v>0</v>
      </c>
      <c r="O13" s="12"/>
      <c r="P13" s="12"/>
      <c r="S13" s="35" t="str">
        <f t="shared" si="1"/>
        <v>Enter data here</v>
      </c>
      <c r="T13" s="35" t="str">
        <f t="shared" si="3"/>
        <v>Use column to left</v>
      </c>
      <c r="U13" s="35" t="s">
        <v>1148</v>
      </c>
      <c r="V13" s="261" t="str">
        <f t="shared" si="2"/>
        <v>Unfilled fields to left</v>
      </c>
      <c r="X13" s="25"/>
      <c r="Y13" s="12"/>
    </row>
    <row r="14" spans="1:29">
      <c r="B14" s="184" t="s">
        <v>1225</v>
      </c>
      <c r="C14" s="182" t="s">
        <v>1103</v>
      </c>
      <c r="D14" s="177" t="s">
        <v>425</v>
      </c>
      <c r="E14" s="35"/>
      <c r="F14" s="21"/>
      <c r="G14" s="21"/>
      <c r="H14" s="20"/>
      <c r="I14" s="36"/>
      <c r="J14" s="298"/>
      <c r="K14" s="300"/>
      <c r="L14" s="300"/>
      <c r="M14" s="300"/>
      <c r="N14" s="240">
        <f t="shared" si="0"/>
        <v>0</v>
      </c>
      <c r="O14" s="12"/>
      <c r="P14" s="12"/>
      <c r="S14" s="35" t="str">
        <f t="shared" si="1"/>
        <v>Enter data here</v>
      </c>
      <c r="T14" s="35" t="str">
        <f t="shared" si="3"/>
        <v>Use column to left</v>
      </c>
      <c r="U14" s="35" t="s">
        <v>1148</v>
      </c>
      <c r="V14" s="261" t="str">
        <f t="shared" si="2"/>
        <v>Unfilled fields to left</v>
      </c>
      <c r="X14" s="25"/>
      <c r="Y14" s="12"/>
    </row>
    <row r="15" spans="1:29">
      <c r="B15" s="184" t="s">
        <v>1225</v>
      </c>
      <c r="C15" s="182" t="s">
        <v>1261</v>
      </c>
      <c r="D15" s="177" t="s">
        <v>425</v>
      </c>
      <c r="E15" s="35"/>
      <c r="F15" s="21"/>
      <c r="G15" s="21"/>
      <c r="H15" s="20"/>
      <c r="I15" s="36"/>
      <c r="J15" s="298"/>
      <c r="K15" s="300"/>
      <c r="L15" s="300"/>
      <c r="M15" s="300"/>
      <c r="N15" s="240">
        <f t="shared" si="0"/>
        <v>0</v>
      </c>
      <c r="O15" s="12"/>
      <c r="P15" s="12"/>
      <c r="S15" s="35" t="str">
        <f t="shared" si="1"/>
        <v>Enter data here</v>
      </c>
      <c r="T15" s="35" t="str">
        <f t="shared" si="3"/>
        <v>Use column to left</v>
      </c>
      <c r="U15" s="35" t="s">
        <v>1148</v>
      </c>
      <c r="V15" s="261" t="str">
        <f t="shared" si="2"/>
        <v>Unfilled fields to left</v>
      </c>
      <c r="X15" s="25"/>
      <c r="Y15" s="12"/>
    </row>
    <row r="16" spans="1:29">
      <c r="B16" s="184"/>
      <c r="C16" s="182"/>
      <c r="D16" s="177"/>
      <c r="E16" s="35"/>
      <c r="F16" s="21"/>
      <c r="G16" s="21"/>
      <c r="H16" s="20"/>
      <c r="I16" s="36"/>
      <c r="J16" s="298"/>
      <c r="K16" s="300"/>
      <c r="L16" s="300"/>
      <c r="M16" s="300"/>
      <c r="N16" s="240">
        <f t="shared" si="0"/>
        <v>0</v>
      </c>
      <c r="O16" s="12"/>
      <c r="P16" s="12"/>
      <c r="S16" s="35" t="str">
        <f t="shared" si="1"/>
        <v/>
      </c>
      <c r="T16" s="35" t="str">
        <f t="shared" si="3"/>
        <v/>
      </c>
      <c r="U16" s="35"/>
      <c r="V16" s="261"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1"/>
        <v/>
      </c>
      <c r="T17" s="35" t="str">
        <f t="shared" si="3"/>
        <v/>
      </c>
      <c r="U17" s="35"/>
      <c r="V17" s="261" t="str">
        <f t="shared" si="2"/>
        <v>Unfilled fields to left</v>
      </c>
      <c r="X17" s="25"/>
      <c r="Y17" s="12"/>
    </row>
    <row r="18" spans="2:29">
      <c r="C18" s="17"/>
      <c r="D18" s="17"/>
      <c r="E18" s="502"/>
      <c r="F18" s="26"/>
      <c r="G18" s="27"/>
      <c r="H18" s="22"/>
      <c r="I18" s="22"/>
      <c r="J18" s="41"/>
      <c r="K18" s="41"/>
      <c r="L18" s="41"/>
      <c r="M18" s="41"/>
      <c r="N18" s="41"/>
      <c r="O18" s="12"/>
      <c r="P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1262</v>
      </c>
      <c r="D20" s="177" t="s">
        <v>425</v>
      </c>
      <c r="E20" s="35"/>
      <c r="F20" s="24"/>
      <c r="G20" s="21"/>
      <c r="H20" s="21"/>
      <c r="I20" s="21"/>
      <c r="J20" s="298"/>
      <c r="K20" s="304"/>
      <c r="L20" s="304"/>
      <c r="M20" s="304"/>
      <c r="N20" s="240">
        <f t="shared" ref="N20:N32" si="4">IF($D20="MWh/yr (LHV)",$E20,$J20*$E20*(1-$L20)/Conversion_kWh_to_MJ)</f>
        <v>0</v>
      </c>
      <c r="O20" s="244" t="s">
        <v>563</v>
      </c>
      <c r="P20" s="12"/>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1228</v>
      </c>
      <c r="C27" s="182" t="s">
        <v>1229</v>
      </c>
      <c r="D27" s="177" t="s">
        <v>425</v>
      </c>
      <c r="E27" s="35"/>
      <c r="F27" s="34"/>
      <c r="G27" s="21"/>
      <c r="H27" s="20"/>
      <c r="I27" s="36"/>
      <c r="J27" s="298"/>
      <c r="K27" s="300"/>
      <c r="L27" s="300"/>
      <c r="M27" s="300"/>
      <c r="N27" s="240">
        <f t="shared" si="4"/>
        <v>0</v>
      </c>
      <c r="O27" s="12"/>
      <c r="P27" s="12"/>
      <c r="Q27" s="12"/>
      <c r="R27" s="12"/>
      <c r="S27" s="298">
        <f>1*1000</f>
        <v>1000</v>
      </c>
      <c r="T27" s="473"/>
      <c r="U27" s="35" t="s">
        <v>1107</v>
      </c>
      <c r="V27" s="261" t="str">
        <f t="shared" ref="V27:V32" si="6">IFERROR(IF(D27="tonnes/yr", $S27*$E27/($N$20*3.6), $T27*$E27*3.6/($N$20*3.6)), "Unfilled fields to left")</f>
        <v>Unfilled fields to left</v>
      </c>
      <c r="X27" s="21"/>
    </row>
    <row r="28" spans="2:29" s="14" customFormat="1">
      <c r="B28" s="184" t="s">
        <v>1228</v>
      </c>
      <c r="C28" s="182" t="s">
        <v>1230</v>
      </c>
      <c r="D28" s="177" t="s">
        <v>425</v>
      </c>
      <c r="E28" s="35"/>
      <c r="F28" s="34"/>
      <c r="G28" s="21"/>
      <c r="H28" s="20"/>
      <c r="I28" s="36"/>
      <c r="J28" s="298"/>
      <c r="K28" s="300"/>
      <c r="L28" s="300"/>
      <c r="M28" s="300"/>
      <c r="N28" s="240">
        <f t="shared" si="4"/>
        <v>0</v>
      </c>
      <c r="O28" s="12"/>
      <c r="P28" s="12"/>
      <c r="Q28" s="12"/>
      <c r="R28" s="12"/>
      <c r="S28" s="298">
        <f>1*1000</f>
        <v>1000</v>
      </c>
      <c r="T28" s="473"/>
      <c r="U28" s="35" t="s">
        <v>1107</v>
      </c>
      <c r="V28" s="261" t="str">
        <f t="shared" si="6"/>
        <v>Unfilled fields to left</v>
      </c>
      <c r="X28" s="21"/>
    </row>
    <row r="29" spans="2:29" s="14" customFormat="1">
      <c r="B29" s="184" t="s">
        <v>1161</v>
      </c>
      <c r="C29" s="182" t="s">
        <v>1231</v>
      </c>
      <c r="D29" s="177" t="s">
        <v>425</v>
      </c>
      <c r="E29" s="35"/>
      <c r="F29" s="34"/>
      <c r="G29" s="21"/>
      <c r="H29" s="20"/>
      <c r="I29" s="36"/>
      <c r="J29" s="298"/>
      <c r="K29" s="300"/>
      <c r="L29" s="300"/>
      <c r="M29" s="300"/>
      <c r="N29" s="240">
        <f t="shared" si="4"/>
        <v>0</v>
      </c>
      <c r="O29" s="12"/>
      <c r="P29" s="12"/>
      <c r="Q29" s="12"/>
      <c r="R29" s="12"/>
      <c r="S29" s="298">
        <f>28*1000</f>
        <v>28000</v>
      </c>
      <c r="T29" s="473"/>
      <c r="U29" s="35" t="s">
        <v>1107</v>
      </c>
      <c r="V29" s="261" t="str">
        <f t="shared" si="6"/>
        <v>Unfilled fields to left</v>
      </c>
      <c r="X29" s="21"/>
    </row>
    <row r="30" spans="2:29" s="14" customFormat="1">
      <c r="B30" s="184" t="s">
        <v>1161</v>
      </c>
      <c r="C30" s="182" t="s">
        <v>1123</v>
      </c>
      <c r="D30" s="177" t="s">
        <v>425</v>
      </c>
      <c r="E30" s="35"/>
      <c r="F30" s="34"/>
      <c r="G30" s="21"/>
      <c r="H30" s="20"/>
      <c r="I30" s="36"/>
      <c r="J30" s="298"/>
      <c r="K30" s="300"/>
      <c r="L30" s="300"/>
      <c r="M30" s="300"/>
      <c r="N30" s="240">
        <f t="shared" si="4"/>
        <v>0</v>
      </c>
      <c r="O30" s="12"/>
      <c r="P30" s="12"/>
      <c r="Q30" s="12"/>
      <c r="R30" s="12"/>
      <c r="S30" s="298">
        <v>265000</v>
      </c>
      <c r="T30" s="473"/>
      <c r="U30" s="35" t="s">
        <v>1107</v>
      </c>
      <c r="V30" s="261" t="str">
        <f t="shared" si="6"/>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61" t="str">
        <f t="shared" si="6"/>
        <v>Unfilled fields to left</v>
      </c>
      <c r="X31" s="21"/>
    </row>
    <row r="32" spans="2:29" s="14" customFormat="1">
      <c r="B32" s="16"/>
      <c r="C32" s="15"/>
      <c r="D32" s="177"/>
      <c r="E32" s="35"/>
      <c r="F32" s="21"/>
      <c r="G32" s="21"/>
      <c r="H32" s="20"/>
      <c r="I32" s="36"/>
      <c r="J32" s="298"/>
      <c r="K32" s="300"/>
      <c r="L32" s="300"/>
      <c r="M32" s="300"/>
      <c r="N32" s="240">
        <f t="shared" si="4"/>
        <v>0</v>
      </c>
      <c r="O32" s="12"/>
      <c r="P32" s="12"/>
      <c r="Q32" s="12"/>
      <c r="R32" s="12"/>
      <c r="S32" s="298"/>
      <c r="T32" s="473"/>
      <c r="U32" s="300"/>
      <c r="V32" s="261" t="str">
        <f t="shared" si="6"/>
        <v>Unfilled fields to left</v>
      </c>
      <c r="X32" s="21"/>
    </row>
    <row r="33" spans="2:25" s="19" customFormat="1">
      <c r="C33" s="17"/>
      <c r="D33" s="17"/>
      <c r="E33" s="139"/>
      <c r="F33" s="17"/>
      <c r="H33" s="18"/>
      <c r="I33" s="18"/>
      <c r="J33" s="40"/>
      <c r="K33" s="40"/>
      <c r="L33" s="40"/>
      <c r="M33" s="40"/>
      <c r="N33" s="39"/>
      <c r="O33" s="12"/>
      <c r="P33" s="12"/>
      <c r="Q33" s="12"/>
      <c r="R33" s="12"/>
      <c r="S33" s="40"/>
      <c r="T33" s="40"/>
      <c r="U33" s="40"/>
      <c r="V33" s="139"/>
    </row>
    <row r="34" spans="2:25" s="19" customFormat="1">
      <c r="B34" s="144" t="s">
        <v>1232</v>
      </c>
      <c r="C34" s="144"/>
      <c r="D34" s="144"/>
      <c r="E34" s="299"/>
      <c r="F34" s="144"/>
      <c r="G34" s="144"/>
      <c r="H34" s="144"/>
      <c r="I34" s="144"/>
      <c r="J34" s="299"/>
      <c r="K34" s="299"/>
      <c r="L34" s="299"/>
      <c r="M34" s="299"/>
      <c r="N34" s="299"/>
      <c r="O34" s="12"/>
      <c r="P34" s="12"/>
      <c r="Q34" s="12"/>
      <c r="R34" s="12"/>
      <c r="S34" s="40"/>
      <c r="T34" s="40"/>
      <c r="U34" s="40"/>
      <c r="V34" s="139"/>
    </row>
    <row r="35" spans="2:25" s="19" customFormat="1">
      <c r="B35" s="184" t="s">
        <v>1233</v>
      </c>
      <c r="C35" s="182" t="s">
        <v>1234</v>
      </c>
      <c r="D35" s="177" t="s">
        <v>425</v>
      </c>
      <c r="E35" s="35" t="e">
        <f>E43/E42*E20</f>
        <v>#DIV/0!</v>
      </c>
      <c r="F35" s="24"/>
      <c r="G35" s="21"/>
      <c r="H35" s="20"/>
      <c r="I35" s="20"/>
      <c r="J35" s="298"/>
      <c r="K35" s="300"/>
      <c r="L35" s="300"/>
      <c r="M35" s="300"/>
      <c r="N35" s="562" t="s">
        <v>563</v>
      </c>
      <c r="O35" s="12"/>
      <c r="P35" s="12"/>
      <c r="Q35" s="12"/>
      <c r="R35" s="12"/>
      <c r="S35" s="298">
        <v>1000</v>
      </c>
      <c r="T35" s="473"/>
      <c r="U35" s="35" t="s">
        <v>1107</v>
      </c>
      <c r="V35" s="261" t="str">
        <f>IFERROR(IF(D35="tonnes/yr", $S35*$E35/($N$20*3.6), $T35*$E35*3.6/($N$20*3.6)), "Unfilled fields to left")</f>
        <v>Unfilled fields to left</v>
      </c>
      <c r="X35" s="24"/>
    </row>
    <row r="36" spans="2:25" s="19" customFormat="1">
      <c r="B36" s="16"/>
      <c r="C36" s="15"/>
      <c r="D36" s="177"/>
      <c r="E36" s="35"/>
      <c r="F36" s="21"/>
      <c r="G36" s="21"/>
      <c r="H36" s="20"/>
      <c r="I36" s="36"/>
      <c r="J36" s="298"/>
      <c r="K36" s="300"/>
      <c r="L36" s="300"/>
      <c r="M36" s="300"/>
      <c r="N36" s="562" t="s">
        <v>563</v>
      </c>
      <c r="O36" s="12"/>
      <c r="P36" s="12"/>
      <c r="Q36" s="12"/>
      <c r="R36" s="12"/>
      <c r="S36" s="300"/>
      <c r="T36" s="512"/>
      <c r="U36" s="300"/>
      <c r="V36" s="261" t="str">
        <f>IFERROR(IF(D36="tonnes/yr", $S36*$E36/($N$20*3.6), $T36*$E36*3.6/($N$20*3.6)), "Unfilled fields to left")</f>
        <v>Unfilled fields to left</v>
      </c>
      <c r="X36" s="25"/>
    </row>
    <row r="37" spans="2:25" s="19" customFormat="1">
      <c r="C37" s="17"/>
      <c r="D37" s="17"/>
      <c r="E37" s="139"/>
      <c r="F37" s="17"/>
      <c r="H37" s="18"/>
      <c r="I37" s="18"/>
      <c r="J37" s="40"/>
      <c r="K37" s="40"/>
      <c r="L37" s="107"/>
      <c r="M37" s="107"/>
      <c r="N37" s="107"/>
      <c r="O37"/>
      <c r="P37"/>
      <c r="Q37" s="12"/>
      <c r="R37" s="12"/>
      <c r="S37" s="40"/>
      <c r="T37" s="40"/>
      <c r="U37" s="40"/>
      <c r="V37" s="139"/>
    </row>
    <row r="38" spans="2:25" s="19" customFormat="1">
      <c r="C38" s="17"/>
      <c r="D38" s="17"/>
      <c r="E38" s="139"/>
      <c r="F38" s="17"/>
      <c r="H38" s="18"/>
      <c r="I38" s="18"/>
      <c r="J38" s="40"/>
      <c r="K38" s="40"/>
      <c r="L38" s="107"/>
      <c r="M38" s="107"/>
      <c r="N38" s="107"/>
      <c r="O38"/>
      <c r="P38"/>
      <c r="Q38" s="12"/>
      <c r="R38" s="12"/>
      <c r="S38" s="40"/>
      <c r="T38" s="40"/>
      <c r="U38" s="40"/>
      <c r="V38" s="139"/>
    </row>
    <row r="39" spans="2:25" s="19" customFormat="1">
      <c r="D39" s="17"/>
      <c r="E39" s="139"/>
      <c r="H39" s="126"/>
      <c r="I39" s="126"/>
      <c r="J39" s="125"/>
      <c r="K39" s="125"/>
      <c r="L39" s="107"/>
      <c r="M39" s="107"/>
      <c r="N39" s="107"/>
      <c r="O39"/>
      <c r="P39"/>
      <c r="Q39" s="12"/>
      <c r="R39" s="12"/>
      <c r="S39" s="125"/>
      <c r="T39" s="125"/>
      <c r="U39" s="38" t="s">
        <v>1162</v>
      </c>
      <c r="V39" s="169">
        <f>SUM(V7:V38)</f>
        <v>0</v>
      </c>
    </row>
    <row r="40" spans="2:25">
      <c r="B40" s="144" t="s">
        <v>133</v>
      </c>
      <c r="C40" s="158"/>
      <c r="D40" s="158"/>
      <c r="E40" s="495"/>
      <c r="I40" s="12"/>
      <c r="J40" s="107"/>
      <c r="K40" s="107"/>
      <c r="L40" s="39"/>
      <c r="M40" s="39"/>
      <c r="S40" s="107"/>
      <c r="T40" s="107"/>
      <c r="U40" s="107"/>
      <c r="V40" s="107"/>
      <c r="Y40" s="12"/>
    </row>
    <row r="41" spans="2:25">
      <c r="B41" s="16" t="s">
        <v>1134</v>
      </c>
      <c r="C41" s="15" t="s">
        <v>1135</v>
      </c>
      <c r="D41" s="15" t="s">
        <v>1136</v>
      </c>
      <c r="E41" s="497"/>
      <c r="G41" s="19"/>
      <c r="H41" s="12"/>
      <c r="I41" s="12"/>
      <c r="J41" s="107"/>
      <c r="K41" s="107"/>
      <c r="L41" s="39"/>
      <c r="M41" s="39"/>
      <c r="S41" s="107"/>
      <c r="T41" s="107"/>
      <c r="U41" s="107"/>
      <c r="V41" s="12"/>
      <c r="X41" s="25"/>
      <c r="Y41" s="12"/>
    </row>
    <row r="42" spans="2:25">
      <c r="B42" s="16" t="s">
        <v>1235</v>
      </c>
      <c r="C42" s="15" t="s">
        <v>1235</v>
      </c>
      <c r="D42" s="15" t="s">
        <v>1236</v>
      </c>
      <c r="E42" s="497"/>
      <c r="H42" s="12"/>
      <c r="I42" s="12"/>
      <c r="J42" s="107"/>
      <c r="K42" s="107"/>
      <c r="L42" s="39"/>
      <c r="M42" s="39"/>
      <c r="S42" s="107"/>
      <c r="T42" s="107"/>
      <c r="U42" s="107"/>
      <c r="V42" s="12"/>
      <c r="X42" s="25"/>
      <c r="Y42" s="12"/>
    </row>
    <row r="43" spans="2:25">
      <c r="B43" s="16" t="s">
        <v>1237</v>
      </c>
      <c r="C43" s="15" t="s">
        <v>1238</v>
      </c>
      <c r="D43" s="15" t="s">
        <v>1239</v>
      </c>
      <c r="E43" s="497"/>
      <c r="J43" s="39"/>
      <c r="K43" s="39"/>
      <c r="L43" s="39"/>
      <c r="M43" s="39"/>
      <c r="S43" s="39"/>
      <c r="T43" s="39"/>
      <c r="U43" s="39"/>
      <c r="V43" s="107"/>
      <c r="X43" s="25"/>
    </row>
    <row r="44" spans="2:25">
      <c r="B44" s="16"/>
      <c r="C44" s="15"/>
      <c r="D44" s="15"/>
      <c r="E44" s="497"/>
      <c r="J44" s="39"/>
      <c r="K44" s="39"/>
      <c r="L44" s="39"/>
      <c r="M44" s="39"/>
      <c r="S44" s="39"/>
      <c r="T44" s="39"/>
      <c r="U44" s="39"/>
      <c r="V44" s="107"/>
      <c r="X44" s="25"/>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c r="V74" s="107"/>
    </row>
    <row r="75" spans="5:22">
      <c r="E75" s="107"/>
      <c r="J75" s="39"/>
      <c r="K75" s="39"/>
      <c r="L75" s="39"/>
      <c r="M75" s="39"/>
      <c r="S75" s="39"/>
      <c r="T75" s="39"/>
      <c r="U75" s="39"/>
      <c r="V75" s="107"/>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sheetData>
  <customSheetViews>
    <customSheetView guid="{F03309BC-D3FA-4CF2-833B-D6D9A95FE1FB}" showGridLines="0">
      <pane xSplit="3" ySplit="5" topLeftCell="G11"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G11"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xWindow="1841" yWindow="627" count="5">
    <dataValidation type="list" allowBlank="1" showInputMessage="1" showErrorMessage="1" sqref="D35:D36 D20:D32 D8:D17" xr:uid="{999D4BA4-8C50-44B4-A0BD-B65BE57788A9}">
      <formula1>Flow_units</formula1>
    </dataValidation>
    <dataValidation type="custom" allowBlank="1" showInputMessage="1" showErrorMessage="1" error="Please do not change this formula" prompt="Please do not change this formula" sqref="W4 V6:V1048576 S5:V5 V1:V4 N20:O20 O21:O1048576 R6:R19 R23:R1048576 O1:R4 P6:Q1048576 O6:O19 N1:N19 N21:N33 N37:N1048576" xr:uid="{1E8513FA-7631-458E-A3B8-AEA1F1A529B2}">
      <formula1>"Please do not change this formula"</formula1>
    </dataValidation>
    <dataValidation type="custom" allowBlank="1" showInputMessage="1" showErrorMessage="1" error="Please do not change" sqref="R20:R22" xr:uid="{7CE52EB8-61B2-4F12-949C-F8A0C7719A98}">
      <formula1>"Please do not change"</formula1>
    </dataValidation>
    <dataValidation type="custom" allowBlank="1" showInputMessage="1" showErrorMessage="1" error="Please do not change this formula" sqref="O5:R5" xr:uid="{85DD9902-36CE-4C00-9773-4C3DC127FC54}">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4" xr:uid="{57C82183-09BB-414F-838F-A50E58ECA297}">
      <formula1>0</formula1>
    </dataValidation>
  </dataValidations>
  <hyperlinks>
    <hyperlink ref="I2:J2" location="'Biomass Transport'!A1" display="Go to the next step of this pathway" xr:uid="{2E325BB5-3E8F-409E-86F2-11F69DB73529}"/>
    <hyperlink ref="I2:K2" location="Generic_Feedstock_Harvesting!A1" display="Go to the next step of this pathway" xr:uid="{CB142AA3-8C5C-4F03-8749-360DACEF0B71}"/>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23" id="{6ADE4C2B-A1D5-4CD4-846C-7F5CC811BB1E}">
            <xm:f>AND(Path&lt;&gt;Units!$B$103,Master_Switch="On")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24" id="{1A3BCF23-379C-4467-8F17-DE19BE4B0A35}">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E214E-0BB3-42BC-9F57-F71A377426BB}">
  <sheetPr codeName="Sheet50">
    <tabColor theme="0" tint="-0.34998626667073579"/>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7.140625" customWidth="1"/>
    <col min="16" max="16" width="10.5703125"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IF(AND(Path&lt;&gt;Units!$B$103,Master_Switch="On"),"User should not fill in this sheet, but switch to other non-blank GHG worksheets","")</f>
        <v>User should not fill in this sheet, but switch to other non-blank GHG worksheets</v>
      </c>
      <c r="E1" s="254"/>
    </row>
    <row r="2" spans="1:29" ht="20.45" customHeight="1">
      <c r="B2" s="80" t="str">
        <f>IF(AND(Initial_questions!$E$68&lt;&gt;"Cereals and other starch-rich crops", Initial_questions!$E$68&lt;&gt;"Sugar crops", Initial_questions!$E$68&lt;&gt;"Oil crops", Initial_questions!$E$68&lt;&gt;"Other crop/purpose grown feedstock",Master_Switch="On"),"Not a purpose-grown feedstock, move to the next step of the pathway","")</f>
        <v>Not a purpose-grown feedstock, move to the next step of the pathway</v>
      </c>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1343</v>
      </c>
      <c r="D8" s="177" t="s">
        <v>425</v>
      </c>
      <c r="E8" s="35"/>
      <c r="F8" s="24"/>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4"/>
      <c r="G9" s="21"/>
      <c r="H9" s="20"/>
      <c r="I9" s="36"/>
      <c r="J9" s="298"/>
      <c r="K9" s="300"/>
      <c r="L9" s="300"/>
      <c r="M9" s="300"/>
      <c r="N9" s="240">
        <f t="shared" si="0"/>
        <v>0</v>
      </c>
      <c r="O9" s="12"/>
      <c r="P9" s="12"/>
      <c r="S9" s="35" t="str">
        <f>IF(B9="", "", IF(D9="MWh/yr (LHV)", "Use column to right", "Enter data here"))</f>
        <v>Use column to right</v>
      </c>
      <c r="T9" s="35" t="e">
        <f>INDEX(Proj_grid_intensity_kWh,MATCH(Operations_year,Proj_grid_year,0))/Conversion_kWh_to_MJ</f>
        <v>#N/A</v>
      </c>
      <c r="U9" s="35" t="s">
        <v>1112</v>
      </c>
      <c r="V9" s="261" t="str">
        <f t="shared" ref="V9:V17" si="1">IFERROR(IF(D9="tonnes/yr", $S9*$E9/($N$20*3.6), $T9*$E9*3.6/($N$20*3.6)), "Unfilled fields to left")</f>
        <v>Unfilled fields to left</v>
      </c>
      <c r="X9" s="25"/>
      <c r="Y9" s="12"/>
    </row>
    <row r="10" spans="1:29">
      <c r="B10" s="184" t="s">
        <v>1069</v>
      </c>
      <c r="C10" s="182"/>
      <c r="D10" s="177"/>
      <c r="E10" s="35"/>
      <c r="F10" s="24"/>
      <c r="G10" s="21"/>
      <c r="H10" s="20"/>
      <c r="I10" s="36"/>
      <c r="J10" s="298"/>
      <c r="K10" s="300"/>
      <c r="L10" s="300"/>
      <c r="M10" s="300"/>
      <c r="N10" s="240">
        <f t="shared" si="0"/>
        <v>0</v>
      </c>
      <c r="O10" s="12"/>
      <c r="P10" s="12"/>
      <c r="S10" s="35" t="str">
        <f>IF(B10="", "", IF(D10="MWh/yr (LHV)", "Use column to right", "Enter data here"))</f>
        <v>Enter data here</v>
      </c>
      <c r="T10" s="35" t="str">
        <f t="shared" ref="T10" si="2">IF(B10="", "", IF(D10="MWh/yr (LHV)", "Enter data here", "Use column to left"))</f>
        <v>Use column to left</v>
      </c>
      <c r="U10" s="35" t="s">
        <v>1148</v>
      </c>
      <c r="V10" s="261" t="str">
        <f t="shared" si="1"/>
        <v>Unfilled fields to left</v>
      </c>
      <c r="X10" s="25"/>
      <c r="Y10" s="12"/>
    </row>
    <row r="11" spans="1:29">
      <c r="B11" s="184" t="s">
        <v>1090</v>
      </c>
      <c r="C11" s="182" t="s">
        <v>1091</v>
      </c>
      <c r="D11" s="177" t="s">
        <v>425</v>
      </c>
      <c r="E11" s="35"/>
      <c r="F11" s="35"/>
      <c r="G11" s="21"/>
      <c r="H11" s="20"/>
      <c r="I11" s="36"/>
      <c r="J11" s="298"/>
      <c r="K11" s="300"/>
      <c r="L11" s="300"/>
      <c r="M11" s="300"/>
      <c r="N11" s="240">
        <f t="shared" si="0"/>
        <v>0</v>
      </c>
      <c r="O11" s="12"/>
      <c r="P11" s="12"/>
      <c r="S11" s="35" t="str">
        <f t="shared" ref="S11:S17" si="3">IF(B11="", "", IF(D11="MWh/yr (LHV)", "Use column to right", "Enter data here"))</f>
        <v>Enter data here</v>
      </c>
      <c r="T11" s="35" t="str">
        <f t="shared" ref="T11:T17" si="4">IF(B11="", "", IF(D11="MWh/yr (LHV)", "Enter data here", "Use column to left"))</f>
        <v>Use column to left</v>
      </c>
      <c r="U11" s="35" t="s">
        <v>1148</v>
      </c>
      <c r="V11" s="261" t="str">
        <f t="shared" si="1"/>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3"/>
        <v>Enter data here</v>
      </c>
      <c r="T12" s="35" t="str">
        <f t="shared" si="4"/>
        <v>Use column to left</v>
      </c>
      <c r="U12" s="35" t="s">
        <v>1148</v>
      </c>
      <c r="V12" s="261" t="str">
        <f t="shared" si="1"/>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3"/>
        <v>Enter data here</v>
      </c>
      <c r="T13" s="35" t="str">
        <f t="shared" si="4"/>
        <v>Use column to left</v>
      </c>
      <c r="U13" s="35" t="s">
        <v>1148</v>
      </c>
      <c r="V13" s="261" t="str">
        <f t="shared" si="1"/>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3"/>
        <v>Enter data here</v>
      </c>
      <c r="T14" s="35" t="str">
        <f t="shared" si="4"/>
        <v>Use column to left</v>
      </c>
      <c r="U14" s="35" t="s">
        <v>1148</v>
      </c>
      <c r="V14" s="261" t="str">
        <f t="shared" si="1"/>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3"/>
        <v>Enter data here</v>
      </c>
      <c r="T15" s="35" t="str">
        <f t="shared" si="4"/>
        <v>Use column to left</v>
      </c>
      <c r="U15" s="35" t="s">
        <v>1148</v>
      </c>
      <c r="V15" s="261" t="str">
        <f t="shared" si="1"/>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3"/>
        <v>Enter data here</v>
      </c>
      <c r="T16" s="35" t="str">
        <f t="shared" si="4"/>
        <v>Use column to left</v>
      </c>
      <c r="U16" s="35" t="s">
        <v>1148</v>
      </c>
      <c r="V16" s="261" t="str">
        <f t="shared" si="1"/>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3"/>
        <v/>
      </c>
      <c r="T17" s="35" t="str">
        <f t="shared" si="4"/>
        <v/>
      </c>
      <c r="U17" s="35"/>
      <c r="V17" s="261" t="str">
        <f t="shared" si="1"/>
        <v>Unfilled fields to left</v>
      </c>
      <c r="X17" s="25"/>
      <c r="Y17" s="12"/>
    </row>
    <row r="18" spans="2:29">
      <c r="C18" s="17"/>
      <c r="D18" s="17"/>
      <c r="E18" s="502"/>
      <c r="F18" s="26"/>
      <c r="G18" s="27"/>
      <c r="H18" s="22"/>
      <c r="I18" s="22"/>
      <c r="J18" s="41"/>
      <c r="K18" s="41"/>
      <c r="L18" s="41"/>
      <c r="M18" s="41"/>
      <c r="N18" s="41"/>
      <c r="O18" s="12"/>
      <c r="P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1343</v>
      </c>
      <c r="D20" s="177" t="s">
        <v>425</v>
      </c>
      <c r="E20" s="35"/>
      <c r="F20" s="21"/>
      <c r="G20" s="21"/>
      <c r="H20" s="21"/>
      <c r="I20" s="21"/>
      <c r="J20" s="298"/>
      <c r="K20" s="304"/>
      <c r="L20" s="304"/>
      <c r="M20" s="304"/>
      <c r="N20" s="240">
        <f t="shared" ref="N20:N31" si="5">IF($D20="MWh/yr (LHV)",$E20,$J20*$E20*(1-$L20)/Conversion_kWh_to_MJ)</f>
        <v>0</v>
      </c>
      <c r="O20" s="244" t="str">
        <f>IFERROR(N20/N8,"")</f>
        <v/>
      </c>
      <c r="P20" s="12"/>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5"/>
        <v>0</v>
      </c>
      <c r="O21" s="12"/>
      <c r="P21" s="12"/>
      <c r="Q21" s="511">
        <f>IF($D21="MWh/yr (LHV)",$E21,$E21*MAX(0, $J21*(1-$L21)-2.441*$L21)/Conversion_kWh_to_MJ)</f>
        <v>0</v>
      </c>
      <c r="R21" s="243" t="str">
        <f t="shared" ref="R21:R22" si="6">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5"/>
        <v>0</v>
      </c>
      <c r="O22" s="12"/>
      <c r="P22" s="12"/>
      <c r="Q22" s="511">
        <f>IF($D22="MWh/yr (LHV)",$E22,$E22*MAX(0, $J22*(1-$L22)-2.441*$L22)/Conversion_kWh_to_MJ)</f>
        <v>0</v>
      </c>
      <c r="R22" s="243" t="str">
        <f t="shared" si="6"/>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5"/>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5"/>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5"/>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5"/>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5"/>
        <v>0</v>
      </c>
      <c r="O27" s="12"/>
      <c r="P27" s="12"/>
      <c r="Q27" s="12"/>
      <c r="R27" s="12"/>
      <c r="S27" s="35">
        <v>1000</v>
      </c>
      <c r="T27" s="514"/>
      <c r="U27" s="35" t="s">
        <v>1166</v>
      </c>
      <c r="V27" s="261"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5"/>
        <v>0</v>
      </c>
      <c r="O28" s="12"/>
      <c r="P28" s="12"/>
      <c r="Q28" s="12"/>
      <c r="R28" s="12"/>
      <c r="S28" s="35">
        <v>28000</v>
      </c>
      <c r="T28" s="514"/>
      <c r="U28" s="35" t="s">
        <v>1107</v>
      </c>
      <c r="V28" s="261" t="str">
        <f>IFERROR(IF(D28="tonnes/yr", $S28*$E28/($N$20*3.6), $T28*$E28*3.6/($N$20*3.6)), "Unfilled fields to left")</f>
        <v>Unfilled fields to left</v>
      </c>
      <c r="X28" s="21"/>
    </row>
    <row r="29" spans="2:29" s="14" customFormat="1">
      <c r="B29" s="184" t="s">
        <v>1161</v>
      </c>
      <c r="C29" s="182" t="s">
        <v>1123</v>
      </c>
      <c r="D29" s="177" t="s">
        <v>425</v>
      </c>
      <c r="E29" s="35"/>
      <c r="F29" s="24"/>
      <c r="G29" s="21"/>
      <c r="H29" s="20"/>
      <c r="I29" s="36"/>
      <c r="J29" s="298"/>
      <c r="K29" s="300"/>
      <c r="L29" s="300"/>
      <c r="M29" s="300"/>
      <c r="N29" s="240">
        <f t="shared" si="5"/>
        <v>0</v>
      </c>
      <c r="O29" s="12"/>
      <c r="P29" s="12"/>
      <c r="Q29" s="12"/>
      <c r="R29" s="12"/>
      <c r="S29" s="35">
        <v>265000</v>
      </c>
      <c r="T29" s="514"/>
      <c r="U29" s="35" t="s">
        <v>1107</v>
      </c>
      <c r="V29" s="261"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5"/>
        <v>0</v>
      </c>
      <c r="O30" s="12"/>
      <c r="P30" s="12"/>
      <c r="Q30" s="12"/>
      <c r="R30" s="12"/>
      <c r="S30" s="298"/>
      <c r="T30" s="473"/>
      <c r="U30" s="300"/>
      <c r="V30" s="261"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5"/>
        <v>0</v>
      </c>
      <c r="O31" s="12"/>
      <c r="P31" s="12"/>
      <c r="Q31" s="12"/>
      <c r="R31" s="12"/>
      <c r="S31" s="298"/>
      <c r="T31" s="473"/>
      <c r="U31" s="300"/>
      <c r="V31" s="261" t="str">
        <f>IFERROR(IF(D31="tonnes/yr", $S31*$E31/($N$20*3.6), $T31*$E31*3.6/($N$20*3.6)), "Unfilled fields to left")</f>
        <v>Unfilled fields to left</v>
      </c>
      <c r="X31" s="21"/>
    </row>
    <row r="32" spans="2:29">
      <c r="C32" s="17"/>
      <c r="D32" s="17"/>
      <c r="E32" s="139"/>
      <c r="F32" s="17"/>
      <c r="H32" s="18"/>
      <c r="I32" s="18"/>
      <c r="J32" s="40"/>
      <c r="K32" s="40"/>
      <c r="L32" s="40"/>
      <c r="M32" s="40"/>
      <c r="O32" s="12"/>
      <c r="P32" s="12"/>
      <c r="S32" s="40"/>
      <c r="T32" s="40"/>
      <c r="U32" s="40"/>
      <c r="V32" s="139"/>
      <c r="Y32" s="12"/>
    </row>
    <row r="33" spans="2:25">
      <c r="D33" s="17"/>
      <c r="E33" s="139"/>
      <c r="J33" s="39"/>
      <c r="K33" s="39"/>
      <c r="L33" s="40"/>
      <c r="M33" s="40"/>
      <c r="O33" s="12"/>
      <c r="P33" s="12"/>
      <c r="S33" s="39"/>
      <c r="T33" s="39"/>
      <c r="U33" s="38" t="s">
        <v>1162</v>
      </c>
      <c r="V33" s="169">
        <f>SUM(V7:V32)</f>
        <v>0</v>
      </c>
      <c r="Y33" s="12"/>
    </row>
    <row r="34" spans="2:25">
      <c r="B34" s="144" t="s">
        <v>133</v>
      </c>
      <c r="C34" s="158"/>
      <c r="D34" s="158"/>
      <c r="E34" s="495"/>
      <c r="I34" s="12"/>
      <c r="J34" s="107"/>
      <c r="K34" s="107"/>
      <c r="L34" s="40"/>
      <c r="M34" s="40"/>
      <c r="O34" s="12"/>
      <c r="P34" s="12"/>
      <c r="S34" s="107"/>
      <c r="T34" s="107"/>
      <c r="U34" s="107"/>
      <c r="V34" s="107"/>
      <c r="Y34" s="12"/>
    </row>
    <row r="35" spans="2:25">
      <c r="B35" s="16" t="s">
        <v>1134</v>
      </c>
      <c r="C35" s="15" t="s">
        <v>1135</v>
      </c>
      <c r="D35" s="15" t="s">
        <v>1136</v>
      </c>
      <c r="E35" s="497"/>
      <c r="G35" s="19"/>
      <c r="H35" s="12"/>
      <c r="I35" s="12"/>
      <c r="J35" s="107"/>
      <c r="K35" s="107"/>
      <c r="L35" s="40"/>
      <c r="M35" s="40"/>
      <c r="O35" s="12"/>
      <c r="P35" s="12"/>
      <c r="S35" s="107"/>
      <c r="T35" s="107"/>
      <c r="U35" s="107"/>
      <c r="V35" s="12"/>
      <c r="X35" s="25"/>
      <c r="Y35" s="12"/>
    </row>
    <row r="36" spans="2:25">
      <c r="B36" s="16"/>
      <c r="C36" s="15"/>
      <c r="D36" s="15"/>
      <c r="E36" s="503"/>
      <c r="H36" s="12"/>
      <c r="I36" s="12"/>
      <c r="J36" s="107"/>
      <c r="K36" s="107"/>
      <c r="L36" s="39"/>
      <c r="M36" s="39"/>
      <c r="O36" s="12"/>
      <c r="P36" s="12"/>
      <c r="S36" s="107"/>
      <c r="T36" s="107"/>
      <c r="U36" s="107"/>
      <c r="V36" s="12"/>
      <c r="X36" s="25"/>
      <c r="Y36" s="12"/>
    </row>
    <row r="37" spans="2:25">
      <c r="B37" s="16"/>
      <c r="C37" s="15"/>
      <c r="D37" s="15"/>
      <c r="E37" s="503"/>
      <c r="J37" s="39"/>
      <c r="K37" s="39"/>
      <c r="L37" s="107"/>
      <c r="M37" s="107"/>
      <c r="N37" s="107"/>
      <c r="S37" s="39"/>
      <c r="T37" s="39"/>
      <c r="U37" s="39"/>
      <c r="V37" s="107"/>
      <c r="X37" s="25"/>
    </row>
    <row r="38" spans="2:25">
      <c r="B38" s="16"/>
      <c r="C38" s="15"/>
      <c r="D38" s="15"/>
      <c r="E38" s="503"/>
      <c r="J38" s="39"/>
      <c r="K38" s="39"/>
      <c r="L38" s="107"/>
      <c r="M38" s="107"/>
      <c r="N38" s="107"/>
      <c r="S38" s="39"/>
      <c r="T38" s="39"/>
      <c r="U38" s="39"/>
      <c r="V38" s="107"/>
      <c r="X38" s="25"/>
    </row>
    <row r="39" spans="2:25">
      <c r="E39" s="107"/>
      <c r="J39" s="39"/>
      <c r="K39" s="39"/>
      <c r="L39" s="107"/>
      <c r="M39" s="107"/>
      <c r="N39" s="107"/>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pane xSplit="3" ySplit="5" topLeftCell="Q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Q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6B39C927-85DF-40B9-BB81-E1D1FDF6ADC6}">
      <formula1>Flow_units</formula1>
    </dataValidation>
    <dataValidation type="custom" allowBlank="1" showInputMessage="1" showErrorMessage="1" error="Please do not change this formula" prompt="Please do not change this formula" sqref="O6:Q1048576 V6:V1048576 W4 V1:V4 R6:R19 R23:R1048576 N1:N1048576 O1:R4 S5:V5" xr:uid="{73233936-FFDC-4F42-8947-4BD322218898}">
      <formula1>"Please do not change this formula"</formula1>
    </dataValidation>
    <dataValidation type="custom" allowBlank="1" showInputMessage="1" showErrorMessage="1" error="Please do not change" sqref="R20:R22" xr:uid="{DBFE9F12-91D4-4723-9EA2-E9A10A72F01B}">
      <formula1>"Please do not change"</formula1>
    </dataValidation>
    <dataValidation type="custom" allowBlank="1" showInputMessage="1" showErrorMessage="1" error="Please do not change this formula" sqref="O5:R5" xr:uid="{DAE262A1-EC28-4B74-B920-B6120D700E7B}">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9CD708EA-4C11-443D-8F38-927B171013EC}">
      <formula1>0</formula1>
    </dataValidation>
  </dataValidations>
  <hyperlinks>
    <hyperlink ref="I2:J2" location="'Generic Feedstock Collection'!A1" display="Go to the next step of this pathway" xr:uid="{8C52EB09-9B23-4895-814F-A5F806D93920}"/>
    <hyperlink ref="I2:K2" location="Generic_Feedstock_Collection!A1" display="Go to the next step of this pathway" xr:uid="{DDB9A81F-F24C-47B5-8C38-DB42AAF97A46}"/>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33" id="{42BB0181-0BF7-4126-9AE0-FCD76BA015CF}">
            <xm:f>AND(Path&lt;&gt;Units!$B$103,Master_Switch="On")</xm:f>
            <x14:dxf>
              <font>
                <color theme="0"/>
              </font>
              <fill>
                <patternFill>
                  <bgColor theme="0"/>
                </patternFill>
              </fill>
              <border>
                <left/>
                <right/>
                <top/>
                <bottom/>
                <vertical/>
                <horizontal/>
              </border>
            </x14:dxf>
          </x14:cfRule>
          <xm:sqref>A2:XFD200</xm:sqref>
        </x14:conditionalFormatting>
        <x14:conditionalFormatting xmlns:xm="http://schemas.microsoft.com/office/excel/2006/main">
          <x14:cfRule type="expression" priority="234" id="{DFD977FE-CD54-40EA-8B26-C0399F4F3041}">
            <xm:f>AND(Initial_questions!$E$68&lt;&gt;"Cereals and other starch-rich crops", Initial_questions!$E$68&lt;&gt;"Sugar crops", Initial_questions!$E$68&lt;&gt;"Oil crops", Initial_questions!$E$68&lt;&gt;"Other crop/purpose grown feedstock",Master_Switch="On")</xm:f>
            <x14:dxf>
              <font>
                <color theme="0"/>
              </font>
              <fill>
                <patternFill>
                  <bgColor theme="0"/>
                </patternFill>
              </fill>
              <border>
                <left/>
                <right/>
                <top/>
                <bottom/>
              </border>
            </x14:dxf>
          </x14:cfRule>
          <xm:sqref>A3:XFD200</xm:sqref>
        </x14:conditionalFormatting>
      </x14:conditionalFormatting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A42C0-2AAE-4765-8861-AC85454DDB80}">
  <sheetPr codeName="Sheet17">
    <tabColor theme="0" tint="-0.34998626667073579"/>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7.140625" customWidth="1"/>
    <col min="16" max="16" width="10.5703125"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IF(AND(Path&lt;&gt;Units!$B$103,Master_Switch="On"),"User should not fill in this sheet, but switch to other non-blank GHG worksheets","")</f>
        <v>User should not fill in this sheet, but switch to other non-blank GHG worksheets</v>
      </c>
      <c r="E1" s="254"/>
    </row>
    <row r="2" spans="1:29" ht="20.45" customHeight="1">
      <c r="E2" s="254"/>
      <c r="I2" s="735" t="s">
        <v>1141</v>
      </c>
      <c r="J2" s="737"/>
      <c r="K2" s="738"/>
      <c r="L2" s="39"/>
      <c r="M2" s="39"/>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1343</v>
      </c>
      <c r="D8" s="177" t="s">
        <v>425</v>
      </c>
      <c r="E8" s="35"/>
      <c r="F8" s="24"/>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4"/>
      <c r="G9" s="21"/>
      <c r="H9" s="20"/>
      <c r="I9" s="36"/>
      <c r="J9" s="298"/>
      <c r="K9" s="300"/>
      <c r="L9" s="300"/>
      <c r="M9" s="300"/>
      <c r="N9" s="240">
        <f t="shared" si="0"/>
        <v>0</v>
      </c>
      <c r="O9" s="12"/>
      <c r="P9" s="12"/>
      <c r="S9" s="35" t="str">
        <f t="shared" ref="S9:S10" si="1">IF(B9="", "", IF(D9="MWh/yr (LHV)", "Use column to right", "Enter data here"))</f>
        <v>Use column to right</v>
      </c>
      <c r="T9" s="35" t="e">
        <f>INDEX(Proj_grid_intensity_kWh,MATCH(Operations_year,Proj_grid_year,0))/Conversion_kWh_to_MJ</f>
        <v>#N/A</v>
      </c>
      <c r="U9" s="35" t="s">
        <v>1112</v>
      </c>
      <c r="V9" s="261" t="str">
        <f t="shared" ref="V9:V17" si="2">IFERROR(IF(D9="tonnes/yr", $S9*$E9/($N$20*3.6), $T9*$E9*3.6/($N$20*3.6)), "Unfilled fields to left")</f>
        <v>Unfilled fields to left</v>
      </c>
      <c r="X9" s="25"/>
      <c r="Y9" s="12"/>
    </row>
    <row r="10" spans="1:29">
      <c r="B10" s="184" t="s">
        <v>1069</v>
      </c>
      <c r="C10" s="182"/>
      <c r="D10" s="177"/>
      <c r="E10" s="35"/>
      <c r="F10" s="24"/>
      <c r="G10" s="21"/>
      <c r="H10" s="20"/>
      <c r="I10" s="36"/>
      <c r="J10" s="298"/>
      <c r="K10" s="300"/>
      <c r="L10" s="300"/>
      <c r="M10" s="300"/>
      <c r="N10" s="240">
        <f t="shared" si="0"/>
        <v>0</v>
      </c>
      <c r="O10" s="12"/>
      <c r="P10" s="12"/>
      <c r="S10" s="35" t="str">
        <f t="shared" si="1"/>
        <v>Enter data here</v>
      </c>
      <c r="T10" s="35" t="str">
        <f t="shared" ref="T10" si="3">IF(B10="", "", IF(D10="MWh/yr (LHV)", "Enter data here", "Use column to left"))</f>
        <v>Use column to left</v>
      </c>
      <c r="U10" s="35" t="s">
        <v>1148</v>
      </c>
      <c r="V10" s="261" t="str">
        <f t="shared" si="2"/>
        <v>Unfilled fields to left</v>
      </c>
      <c r="X10" s="25"/>
      <c r="Y10" s="12"/>
    </row>
    <row r="11" spans="1:29">
      <c r="B11" s="184" t="s">
        <v>1090</v>
      </c>
      <c r="C11" s="182" t="s">
        <v>1091</v>
      </c>
      <c r="D11" s="177" t="s">
        <v>425</v>
      </c>
      <c r="E11" s="35"/>
      <c r="F11" s="35"/>
      <c r="G11" s="21"/>
      <c r="H11" s="20"/>
      <c r="I11" s="36"/>
      <c r="J11" s="298"/>
      <c r="K11" s="300"/>
      <c r="L11" s="300"/>
      <c r="M11" s="300"/>
      <c r="N11" s="240">
        <f t="shared" si="0"/>
        <v>0</v>
      </c>
      <c r="O11" s="12"/>
      <c r="P11" s="12"/>
      <c r="S11" s="35" t="str">
        <f t="shared" ref="S11:S17" si="4">IF(B11="", "", IF(D11="MWh/yr (LHV)", "Use column to right", "Enter data here"))</f>
        <v>Enter data here</v>
      </c>
      <c r="T11" s="35" t="str">
        <f t="shared" ref="T11:T17" si="5">IF(B11="", "", IF(D11="MWh/yr (LHV)", "Enter data here", "Use column to left"))</f>
        <v>Use column to left</v>
      </c>
      <c r="U11" s="35" t="s">
        <v>1148</v>
      </c>
      <c r="V11" s="261"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35" t="str">
        <f t="shared" si="4"/>
        <v>Enter data here</v>
      </c>
      <c r="T12" s="35" t="str">
        <f t="shared" si="5"/>
        <v>Use column to left</v>
      </c>
      <c r="U12" s="35" t="s">
        <v>1148</v>
      </c>
      <c r="V12" s="261"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35" t="str">
        <f t="shared" si="4"/>
        <v>Enter data here</v>
      </c>
      <c r="T13" s="35" t="str">
        <f t="shared" si="5"/>
        <v>Use column to left</v>
      </c>
      <c r="U13" s="35" t="s">
        <v>1148</v>
      </c>
      <c r="V13" s="261"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35" t="str">
        <f t="shared" si="4"/>
        <v>Enter data here</v>
      </c>
      <c r="T14" s="35" t="str">
        <f t="shared" si="5"/>
        <v>Use column to left</v>
      </c>
      <c r="U14" s="35" t="s">
        <v>1148</v>
      </c>
      <c r="V14" s="261"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35" t="str">
        <f t="shared" si="4"/>
        <v>Enter data here</v>
      </c>
      <c r="T15" s="35" t="str">
        <f t="shared" si="5"/>
        <v>Use column to left</v>
      </c>
      <c r="U15" s="35" t="s">
        <v>1148</v>
      </c>
      <c r="V15" s="261"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35" t="str">
        <f t="shared" si="4"/>
        <v>Enter data here</v>
      </c>
      <c r="T16" s="35" t="str">
        <f t="shared" si="5"/>
        <v>Use column to left</v>
      </c>
      <c r="U16" s="35" t="s">
        <v>1148</v>
      </c>
      <c r="V16" s="261"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35" t="str">
        <f t="shared" si="4"/>
        <v/>
      </c>
      <c r="T17" s="35" t="str">
        <f t="shared" si="5"/>
        <v/>
      </c>
      <c r="U17" s="35"/>
      <c r="V17" s="261" t="str">
        <f t="shared" si="2"/>
        <v>Unfilled fields to left</v>
      </c>
      <c r="X17" s="25"/>
      <c r="Y17" s="12"/>
    </row>
    <row r="18" spans="2:29">
      <c r="C18" s="17"/>
      <c r="D18" s="17"/>
      <c r="E18" s="502"/>
      <c r="F18" s="26"/>
      <c r="G18" s="27"/>
      <c r="H18" s="22"/>
      <c r="I18" s="22"/>
      <c r="J18" s="41"/>
      <c r="K18" s="41"/>
      <c r="L18" s="41"/>
      <c r="M18" s="41"/>
      <c r="N18" s="41"/>
      <c r="O18" s="12"/>
      <c r="P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1343</v>
      </c>
      <c r="D20" s="177" t="s">
        <v>425</v>
      </c>
      <c r="E20" s="35"/>
      <c r="F20" s="21"/>
      <c r="G20" s="21"/>
      <c r="H20" s="21"/>
      <c r="I20" s="21"/>
      <c r="J20" s="298"/>
      <c r="K20" s="304"/>
      <c r="L20" s="304"/>
      <c r="M20" s="304"/>
      <c r="N20" s="240">
        <f t="shared" ref="N20:N31" si="6">IF($D20="MWh/yr (LHV)",$E20,$J20*$E20*(1-$L20)/Conversion_kWh_to_MJ)</f>
        <v>0</v>
      </c>
      <c r="O20" s="244" t="str">
        <f>IFERROR(N20/N8,"")</f>
        <v/>
      </c>
      <c r="P20" s="12"/>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61"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61" t="str">
        <f>IFERROR(IF(D28="tonnes/yr", $S28*$E28/($N$20*3.6), $T28*$E28*3.6/($N$20*3.6)), "Unfilled fields to left")</f>
        <v>Unfilled fields to left</v>
      </c>
      <c r="X28" s="21"/>
    </row>
    <row r="29" spans="2:29" s="14" customFormat="1">
      <c r="B29" s="184" t="s">
        <v>1161</v>
      </c>
      <c r="C29" s="182" t="s">
        <v>1123</v>
      </c>
      <c r="D29" s="177" t="s">
        <v>425</v>
      </c>
      <c r="E29" s="35"/>
      <c r="F29" s="24"/>
      <c r="G29" s="21"/>
      <c r="H29" s="20"/>
      <c r="I29" s="36"/>
      <c r="J29" s="298"/>
      <c r="K29" s="300"/>
      <c r="L29" s="300"/>
      <c r="M29" s="300"/>
      <c r="N29" s="240">
        <f t="shared" si="6"/>
        <v>0</v>
      </c>
      <c r="O29" s="12"/>
      <c r="P29" s="12"/>
      <c r="Q29" s="12"/>
      <c r="R29" s="12"/>
      <c r="S29" s="35">
        <v>265000</v>
      </c>
      <c r="T29" s="514"/>
      <c r="U29" s="35" t="s">
        <v>1107</v>
      </c>
      <c r="V29" s="261"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c r="T30" s="473"/>
      <c r="U30" s="300"/>
      <c r="V30" s="261"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c r="T31" s="473"/>
      <c r="U31" s="300"/>
      <c r="V31" s="261" t="str">
        <f>IFERROR(IF(D31="tonnes/yr", $S31*$E31/($N$20*3.6), $T31*$E31*3.6/($N$20*3.6)), "Unfilled fields to left")</f>
        <v>Unfilled fields to left</v>
      </c>
      <c r="X31" s="21"/>
    </row>
    <row r="32" spans="2:29">
      <c r="C32" s="17"/>
      <c r="D32" s="17"/>
      <c r="E32" s="139"/>
      <c r="F32" s="17"/>
      <c r="H32" s="18"/>
      <c r="I32" s="18"/>
      <c r="J32" s="40"/>
      <c r="K32" s="40"/>
      <c r="L32" s="40"/>
      <c r="M32" s="40"/>
      <c r="O32" s="12"/>
      <c r="P32" s="12"/>
      <c r="S32" s="40"/>
      <c r="T32" s="40"/>
      <c r="U32" s="40"/>
      <c r="V32" s="139"/>
      <c r="Y32" s="12"/>
    </row>
    <row r="33" spans="2:25">
      <c r="D33" s="17"/>
      <c r="E33" s="139"/>
      <c r="J33" s="39"/>
      <c r="K33" s="39"/>
      <c r="L33" s="40"/>
      <c r="M33" s="40"/>
      <c r="O33" s="12"/>
      <c r="P33" s="12"/>
      <c r="S33" s="39"/>
      <c r="T33" s="39"/>
      <c r="U33" s="38" t="s">
        <v>1162</v>
      </c>
      <c r="V33" s="169">
        <f>SUM(V7:V32)</f>
        <v>0</v>
      </c>
      <c r="Y33" s="12"/>
    </row>
    <row r="34" spans="2:25">
      <c r="B34" s="144" t="s">
        <v>133</v>
      </c>
      <c r="C34" s="158"/>
      <c r="D34" s="158"/>
      <c r="E34" s="495"/>
      <c r="I34" s="12"/>
      <c r="J34" s="107"/>
      <c r="K34" s="107"/>
      <c r="L34" s="40"/>
      <c r="M34" s="40"/>
      <c r="O34" s="12"/>
      <c r="P34" s="12"/>
      <c r="S34" s="107"/>
      <c r="T34" s="107"/>
      <c r="U34" s="107"/>
      <c r="V34" s="107"/>
      <c r="Y34" s="12"/>
    </row>
    <row r="35" spans="2:25">
      <c r="B35" s="16" t="s">
        <v>1134</v>
      </c>
      <c r="C35" s="15" t="s">
        <v>1135</v>
      </c>
      <c r="D35" s="15" t="s">
        <v>1136</v>
      </c>
      <c r="E35" s="497"/>
      <c r="G35" s="19"/>
      <c r="H35" s="12"/>
      <c r="I35" s="12"/>
      <c r="J35" s="107"/>
      <c r="K35" s="107"/>
      <c r="L35" s="40"/>
      <c r="M35" s="40"/>
      <c r="O35" s="12"/>
      <c r="P35" s="12"/>
      <c r="S35" s="107"/>
      <c r="T35" s="107"/>
      <c r="U35" s="107"/>
      <c r="V35" s="12"/>
      <c r="X35" s="25"/>
      <c r="Y35" s="12"/>
    </row>
    <row r="36" spans="2:25">
      <c r="B36" s="16"/>
      <c r="C36" s="15"/>
      <c r="D36" s="15"/>
      <c r="E36" s="503"/>
      <c r="H36" s="12"/>
      <c r="I36" s="12"/>
      <c r="J36" s="107"/>
      <c r="K36" s="107"/>
      <c r="L36" s="39"/>
      <c r="M36" s="39"/>
      <c r="O36" s="12"/>
      <c r="P36" s="12"/>
      <c r="S36" s="107"/>
      <c r="T36" s="107"/>
      <c r="U36" s="107"/>
      <c r="V36" s="12"/>
      <c r="X36" s="25"/>
      <c r="Y36" s="12"/>
    </row>
    <row r="37" spans="2:25">
      <c r="B37" s="16"/>
      <c r="C37" s="15"/>
      <c r="D37" s="15"/>
      <c r="E37" s="503"/>
      <c r="J37" s="39"/>
      <c r="K37" s="39"/>
      <c r="L37" s="107"/>
      <c r="M37" s="107"/>
      <c r="N37" s="107"/>
      <c r="S37" s="39"/>
      <c r="T37" s="39"/>
      <c r="U37" s="39"/>
      <c r="V37" s="107"/>
      <c r="X37" s="25"/>
    </row>
    <row r="38" spans="2:25">
      <c r="B38" s="16"/>
      <c r="C38" s="15"/>
      <c r="D38" s="15"/>
      <c r="E38" s="503"/>
      <c r="J38" s="39"/>
      <c r="K38" s="39"/>
      <c r="L38" s="107"/>
      <c r="M38" s="107"/>
      <c r="N38" s="107"/>
      <c r="S38" s="39"/>
      <c r="T38" s="39"/>
      <c r="U38" s="39"/>
      <c r="V38" s="107"/>
      <c r="X38" s="25"/>
    </row>
    <row r="39" spans="2:25">
      <c r="E39" s="107"/>
      <c r="J39" s="39"/>
      <c r="K39" s="39"/>
      <c r="L39" s="107"/>
      <c r="M39" s="107"/>
      <c r="N39" s="107"/>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pane xSplit="3" ySplit="5" topLeftCell="I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2DAF523B-EE2C-403A-8C39-AEA5E2C1BB58}">
      <formula1>Flow_units</formula1>
    </dataValidation>
    <dataValidation type="custom" allowBlank="1" showInputMessage="1" showErrorMessage="1" error="Please do not change this formula" prompt="Please do not change this formula" sqref="V6:V1048576 W4 V1:V4 O6:Q1048576 R6:R19 R23:R1048576 N1:N1048576 O1:R4 S5:V5" xr:uid="{2C2CF494-000F-49B2-83A8-62DB94D52366}">
      <formula1>"Please do not change this formula"</formula1>
    </dataValidation>
    <dataValidation type="custom" allowBlank="1" showInputMessage="1" showErrorMessage="1" error="Please do not change" sqref="R20:R22" xr:uid="{29FD9F3F-CC31-4892-AA8A-9E515AE2B3F6}">
      <formula1>"Please do not change"</formula1>
    </dataValidation>
    <dataValidation type="custom" allowBlank="1" showInputMessage="1" showErrorMessage="1" error="Please do not change this formula" sqref="O5:R5" xr:uid="{F7A60725-AE02-463E-B7CA-B88264E1E9C6}">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D3F2F2F5-B806-46E3-A623-410FB06BCA6F}">
      <formula1>0</formula1>
    </dataValidation>
  </dataValidations>
  <hyperlinks>
    <hyperlink ref="I2:J2" location="Generic_Feedstock_Transport!A1" display="Go to the next step of this pathway" xr:uid="{56A5ABD4-7091-46D3-B947-AA3E33163B8C}"/>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F40D73F2-A703-4AE6-A0C7-AE5670CCF44F}">
            <xm:f>AND(Path&lt;&gt;Units!$B$103,Master_Switch="On")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19BE7-A53C-4BC3-A845-BE45B08504F1}">
  <sheetPr codeName="Sheet42">
    <tabColor theme="8" tint="0.59999389629810485"/>
  </sheetPr>
  <dimension ref="B1:AC154"/>
  <sheetViews>
    <sheetView showGridLines="0" zoomScaleNormal="100" workbookViewId="0"/>
  </sheetViews>
  <sheetFormatPr defaultRowHeight="14.45"/>
  <cols>
    <col min="3" max="3" width="9.85546875" customWidth="1"/>
  </cols>
  <sheetData>
    <row r="1" spans="2:29" ht="15" thickBot="1">
      <c r="B1" s="3" t="s">
        <v>143</v>
      </c>
      <c r="C1" s="3"/>
      <c r="D1" s="3"/>
    </row>
    <row r="2" spans="2:29" ht="15.6" thickTop="1" thickBot="1">
      <c r="B2" s="175" t="s">
        <v>144</v>
      </c>
      <c r="C2" s="175"/>
      <c r="D2" s="175"/>
      <c r="E2" s="175"/>
      <c r="F2" s="175"/>
      <c r="G2" s="175"/>
      <c r="H2" s="175"/>
    </row>
    <row r="4" spans="2:29">
      <c r="B4" s="30" t="s">
        <v>107</v>
      </c>
    </row>
    <row r="5" spans="2:29">
      <c r="B5" s="57"/>
      <c r="C5" s="651" t="s">
        <v>145</v>
      </c>
      <c r="D5" s="652"/>
      <c r="E5" s="652"/>
      <c r="F5" s="652"/>
      <c r="G5" s="652"/>
      <c r="H5" s="652"/>
      <c r="I5" s="652"/>
      <c r="J5" s="653"/>
    </row>
    <row r="6" spans="2:29">
      <c r="B6" s="31"/>
      <c r="C6" s="654" t="s">
        <v>146</v>
      </c>
      <c r="D6" s="655"/>
      <c r="E6" s="655"/>
      <c r="F6" s="655"/>
      <c r="G6" s="655"/>
      <c r="H6" s="655"/>
      <c r="I6" s="655"/>
      <c r="J6" s="656"/>
    </row>
    <row r="9" spans="2:29" ht="15" thickBot="1">
      <c r="B9" s="174" t="s">
        <v>147</v>
      </c>
      <c r="C9" s="174"/>
      <c r="D9" s="174"/>
    </row>
    <row r="10" spans="2:29" ht="15" thickTop="1">
      <c r="B10" s="647" t="s">
        <v>148</v>
      </c>
      <c r="C10" s="647"/>
      <c r="D10" s="647"/>
      <c r="E10" s="647"/>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row>
    <row r="34" spans="2:4" ht="15" thickBot="1">
      <c r="B34" s="174" t="s">
        <v>149</v>
      </c>
      <c r="C34" s="174"/>
      <c r="D34" s="174"/>
    </row>
    <row r="35" spans="2:4" ht="15" thickTop="1"/>
    <row r="63" spans="2:5" ht="15" thickBot="1">
      <c r="B63" s="174" t="s">
        <v>150</v>
      </c>
      <c r="C63" s="174"/>
      <c r="D63" s="174"/>
      <c r="E63" s="174"/>
    </row>
    <row r="64" spans="2:5" ht="15" thickTop="1"/>
    <row r="65" spans="2:23" ht="39.6" customHeight="1">
      <c r="B65" s="647" t="s">
        <v>151</v>
      </c>
      <c r="C65" s="647"/>
      <c r="D65" s="647"/>
      <c r="E65" s="647"/>
      <c r="F65" s="647"/>
      <c r="G65" s="647"/>
      <c r="H65" s="647"/>
      <c r="I65" s="647"/>
      <c r="J65" s="647"/>
      <c r="K65" s="647"/>
      <c r="L65" s="647"/>
      <c r="M65" s="647"/>
      <c r="N65" s="647"/>
      <c r="O65" s="647"/>
      <c r="P65" s="647"/>
      <c r="Q65" s="647"/>
      <c r="R65" s="647"/>
      <c r="S65" s="647"/>
      <c r="T65" s="647"/>
      <c r="U65" s="647"/>
      <c r="V65" s="647"/>
      <c r="W65" s="647"/>
    </row>
    <row r="66" spans="2:23">
      <c r="B66" s="318"/>
      <c r="C66" s="318"/>
      <c r="D66" s="318"/>
      <c r="E66" s="318"/>
      <c r="F66" s="318"/>
      <c r="G66" s="318"/>
      <c r="H66" s="318"/>
      <c r="I66" s="318"/>
      <c r="J66" s="318"/>
      <c r="K66" s="318"/>
      <c r="L66" s="318"/>
      <c r="M66" s="318"/>
      <c r="N66" s="318"/>
      <c r="O66" s="318"/>
      <c r="P66" s="318"/>
      <c r="Q66" s="318"/>
      <c r="R66" s="318"/>
      <c r="S66" s="318"/>
      <c r="T66" s="318"/>
      <c r="U66" s="318"/>
      <c r="V66" s="318"/>
      <c r="W66" s="318"/>
    </row>
    <row r="67" spans="2:23" ht="14.45" customHeight="1">
      <c r="B67" t="s">
        <v>152</v>
      </c>
      <c r="C67" s="81"/>
      <c r="D67" s="81"/>
      <c r="E67" s="81"/>
      <c r="F67" s="81"/>
      <c r="G67" s="81"/>
      <c r="H67" s="81"/>
      <c r="I67" s="81"/>
      <c r="J67" s="81"/>
      <c r="K67" s="81"/>
      <c r="L67" s="81"/>
      <c r="M67" s="81"/>
      <c r="N67" s="81"/>
      <c r="O67" s="81"/>
      <c r="P67" s="81"/>
      <c r="Q67" s="81"/>
      <c r="R67" s="81"/>
      <c r="S67" s="81"/>
      <c r="T67" s="81"/>
      <c r="U67" s="81"/>
      <c r="V67" s="81"/>
      <c r="W67" s="81"/>
    </row>
    <row r="81" spans="2:2">
      <c r="B81" t="s">
        <v>153</v>
      </c>
    </row>
    <row r="101" spans="2:11" ht="17.100000000000001" thickBot="1">
      <c r="B101" s="174" t="s">
        <v>154</v>
      </c>
      <c r="C101" s="174"/>
      <c r="D101" s="174"/>
      <c r="E101" s="174"/>
      <c r="F101" s="174"/>
      <c r="G101" s="174"/>
      <c r="H101" s="174"/>
      <c r="I101" s="174"/>
      <c r="J101" s="174"/>
      <c r="K101" s="174"/>
    </row>
    <row r="102" spans="2:11" ht="15" thickTop="1"/>
    <row r="118" spans="2:23">
      <c r="B118" s="647" t="s">
        <v>155</v>
      </c>
      <c r="C118" s="647"/>
      <c r="D118" s="647"/>
      <c r="E118" s="647"/>
      <c r="F118" s="647"/>
      <c r="G118" s="647"/>
      <c r="H118" s="647"/>
      <c r="I118" s="647"/>
      <c r="J118" s="647"/>
      <c r="K118" s="647"/>
      <c r="L118" s="647"/>
      <c r="M118" s="647"/>
      <c r="N118" s="647"/>
      <c r="O118" s="647"/>
      <c r="P118" s="647"/>
      <c r="Q118" s="647"/>
      <c r="R118" s="647"/>
      <c r="S118" s="647"/>
      <c r="T118" s="647"/>
      <c r="U118" s="647"/>
      <c r="V118" s="647"/>
      <c r="W118" s="647"/>
    </row>
    <row r="125" spans="2:23">
      <c r="M125" s="28"/>
    </row>
    <row r="131" spans="2:12" ht="17.100000000000001" thickBot="1">
      <c r="B131" s="174" t="s">
        <v>156</v>
      </c>
      <c r="C131" s="174"/>
      <c r="D131" s="174"/>
      <c r="E131" s="174"/>
      <c r="F131" s="174"/>
      <c r="G131" s="174"/>
      <c r="H131" s="174"/>
      <c r="I131" s="174"/>
      <c r="J131" s="174"/>
      <c r="K131" s="174"/>
      <c r="L131" s="174"/>
    </row>
    <row r="132" spans="2:12" ht="15" thickTop="1"/>
    <row r="149" spans="2:23">
      <c r="B149" s="647" t="s">
        <v>157</v>
      </c>
      <c r="C149" s="647"/>
      <c r="D149" s="647"/>
      <c r="E149" s="647"/>
      <c r="F149" s="647"/>
      <c r="G149" s="647"/>
      <c r="H149" s="647"/>
      <c r="I149" s="647"/>
      <c r="J149" s="647"/>
      <c r="K149" s="647"/>
      <c r="L149" s="647"/>
      <c r="M149" s="647"/>
      <c r="N149" s="647"/>
      <c r="O149" s="647"/>
      <c r="P149" s="647"/>
      <c r="Q149" s="647"/>
      <c r="R149" s="647"/>
      <c r="S149" s="647"/>
      <c r="T149" s="647"/>
      <c r="U149" s="647"/>
      <c r="V149" s="647"/>
      <c r="W149" s="647"/>
    </row>
    <row r="154" spans="2:23" ht="27.95" customHeight="1">
      <c r="B154" s="647" t="s">
        <v>158</v>
      </c>
      <c r="C154" s="647"/>
      <c r="D154" s="647"/>
      <c r="E154" s="647"/>
      <c r="F154" s="647"/>
      <c r="G154" s="647"/>
      <c r="H154" s="647"/>
      <c r="I154" s="647"/>
      <c r="J154" s="647"/>
      <c r="K154" s="647"/>
      <c r="L154" s="647"/>
      <c r="M154" s="647"/>
      <c r="N154" s="647"/>
      <c r="O154" s="647"/>
      <c r="P154" s="647"/>
      <c r="Q154" s="647"/>
      <c r="R154" s="647"/>
      <c r="S154" s="647"/>
      <c r="T154" s="647"/>
      <c r="U154" s="647"/>
      <c r="V154" s="647"/>
      <c r="W154" s="647"/>
    </row>
  </sheetData>
  <customSheetViews>
    <customSheetView guid="{F03309BC-D3FA-4CF2-833B-D6D9A95FE1FB}" showGridLines="0">
      <selection activeCell="D2" sqref="D2"/>
      <pageMargins left="0" right="0" top="0" bottom="0" header="0" footer="0"/>
    </customSheetView>
    <customSheetView guid="{EECBF9DF-6D77-4263-85DA-71E40216BADD}" showGridLines="0">
      <selection activeCell="D1" sqref="D1"/>
      <pageMargins left="0" right="0" top="0" bottom="0" header="0" footer="0"/>
    </customSheetView>
    <customSheetView guid="{1C16EB38-F785-4168-9938-104594734038}" showGridLines="0">
      <selection activeCell="D1" sqref="D1"/>
      <pageMargins left="0" right="0" top="0" bottom="0" header="0" footer="0"/>
    </customSheetView>
    <customSheetView guid="{0E935136-9A80-44B6-88D5-61E64D742049}" showGridLines="0">
      <selection activeCell="D1" sqref="D1"/>
      <pageMargins left="0" right="0" top="0" bottom="0" header="0" footer="0"/>
    </customSheetView>
    <customSheetView guid="{E6EFD927-84B2-4D06-BB59-59D9DF522DA2}" showGridLines="0">
      <selection activeCell="D1" sqref="D1"/>
      <pageMargins left="0" right="0" top="0" bottom="0" header="0" footer="0"/>
    </customSheetView>
    <customSheetView guid="{3F0A4FBA-5323-448F-A023-B3E14C54064C}" showGridLines="0">
      <selection activeCell="D2" sqref="D2"/>
      <pageMargins left="0" right="0" top="0" bottom="0" header="0" footer="0"/>
    </customSheetView>
    <customSheetView guid="{D97B1299-69D0-4EE0-B673-CCF74742F96B}">
      <selection activeCell="D2" sqref="D2"/>
      <pageMargins left="0" right="0" top="0" bottom="0" header="0" footer="0"/>
    </customSheetView>
    <customSheetView guid="{F468A2FD-7987-4A9D-8BAE-1AACE523607F}" showGridLines="0">
      <selection activeCell="D1" sqref="D1"/>
      <pageMargins left="0" right="0" top="0" bottom="0" header="0" footer="0"/>
    </customSheetView>
    <customSheetView guid="{2D920366-22B2-4182-A65D-0EDBE614FB37}" showGridLines="0">
      <pageMargins left="0" right="0" top="0" bottom="0" header="0" footer="0"/>
    </customSheetView>
  </customSheetViews>
  <mergeCells count="7">
    <mergeCell ref="C5:J5"/>
    <mergeCell ref="C6:J6"/>
    <mergeCell ref="B118:W118"/>
    <mergeCell ref="B149:W149"/>
    <mergeCell ref="B154:W154"/>
    <mergeCell ref="B65:W65"/>
    <mergeCell ref="B10:AC10"/>
  </mergeCells>
  <pageMargins left="0" right="0" top="0" bottom="0" header="0" footer="0"/>
  <headerFooter>
    <oddHeader>&amp;C&amp;"Aptos"&amp;10&amp;K000000 OFFICIAL&amp;1#_x000D_</oddHeader>
    <oddFooter>&amp;C_x000D_&amp;1#&amp;"Aptos"&amp;10&amp;K000000 OFFICIAL</oddFooter>
  </headerFooter>
  <drawing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1D1B-2CC5-4580-85D8-FF3B4E986A03}">
  <sheetPr codeName="Sheet18">
    <tabColor theme="0" tint="-0.34998626667073579"/>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42578125" customWidth="1"/>
    <col min="16" max="16" width="9.5703125" customWidth="1"/>
    <col min="17" max="17" width="18.42578125"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IF(AND(Path&lt;&gt;Units!$B$103,Master_Switch="On"),"User should not fill in this sheet, but switch to other non-blank GHG worksheets","")</f>
        <v>User should not fill in this sheet, but switch to other non-blank GHG worksheets</v>
      </c>
      <c r="E1" s="254"/>
    </row>
    <row r="2" spans="1:29" ht="20.45" customHeight="1">
      <c r="E2" s="254"/>
      <c r="I2" s="735" t="s">
        <v>1141</v>
      </c>
      <c r="J2" s="737"/>
      <c r="K2" s="738"/>
    </row>
    <row r="3" spans="1:29" ht="15" customHeight="1">
      <c r="E3" s="254"/>
    </row>
    <row r="4" spans="1:29" ht="15.6" customHeight="1" thickBot="1">
      <c r="B4" s="3"/>
      <c r="C4" s="3"/>
      <c r="D4" s="3"/>
      <c r="E4" s="451"/>
      <c r="F4" s="3"/>
      <c r="G4" s="3"/>
      <c r="H4" s="1"/>
      <c r="I4" s="1"/>
      <c r="J4" s="1"/>
      <c r="K4" s="1"/>
      <c r="L4" s="1"/>
      <c r="M4" s="1"/>
      <c r="N4" s="37"/>
      <c r="O4" s="1"/>
      <c r="P4" s="1"/>
      <c r="Q4" s="1"/>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1343</v>
      </c>
      <c r="D8" s="177" t="s">
        <v>425</v>
      </c>
      <c r="E8" s="35"/>
      <c r="F8" s="21"/>
      <c r="G8" s="21"/>
      <c r="H8" s="20"/>
      <c r="I8" s="20"/>
      <c r="J8" s="298"/>
      <c r="K8" s="300"/>
      <c r="L8" s="300"/>
      <c r="M8" s="300"/>
      <c r="N8" s="240">
        <f t="shared" ref="N8:N17" si="0">IF($D8="MWh/yr (LHV)",$E8,$J8*$E8*(1-$L8)/Conversion_kWh_to_MJ)</f>
        <v>0</v>
      </c>
      <c r="O8" s="12"/>
      <c r="P8" s="12"/>
      <c r="Q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Q9" s="12"/>
      <c r="S9" s="35" t="str">
        <f t="shared" ref="S9:S17" si="1">IF(B9="", "", IF(D9="MWh/yr (LHV)", "Use column to right", "Enter data here"))</f>
        <v>Use column to right</v>
      </c>
      <c r="T9" s="35" t="e">
        <f>INDEX(Proj_grid_intensity_kWh,MATCH(Operations_year,Proj_grid_year,0))/Conversion_kWh_to_MJ</f>
        <v>#N/A</v>
      </c>
      <c r="U9" s="35" t="s">
        <v>1112</v>
      </c>
      <c r="V9" s="261"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Q10" s="12"/>
      <c r="S10" s="35" t="str">
        <f t="shared" si="1"/>
        <v>Enter data here</v>
      </c>
      <c r="T10" s="35" t="str">
        <f t="shared" ref="T10:T17" si="3">IF(B10="", "", IF(D10="MWh/yr (LHV)", "Enter data here", "Use column to left"))</f>
        <v>Use column to left</v>
      </c>
      <c r="U10" s="35" t="s">
        <v>1148</v>
      </c>
      <c r="V10" s="261" t="str">
        <f t="shared" si="2"/>
        <v>Unfilled fields to left</v>
      </c>
      <c r="X10" s="25"/>
      <c r="Y10" s="12"/>
    </row>
    <row r="11" spans="1:29">
      <c r="B11" s="184" t="s">
        <v>1090</v>
      </c>
      <c r="C11" s="182" t="s">
        <v>1091</v>
      </c>
      <c r="D11" s="177" t="s">
        <v>425</v>
      </c>
      <c r="E11" s="35"/>
      <c r="F11" s="24"/>
      <c r="G11" s="21"/>
      <c r="H11" s="20"/>
      <c r="I11" s="36"/>
      <c r="J11" s="298"/>
      <c r="K11" s="300"/>
      <c r="L11" s="300"/>
      <c r="M11" s="300"/>
      <c r="N11" s="240">
        <f t="shared" si="0"/>
        <v>0</v>
      </c>
      <c r="O11" s="12"/>
      <c r="P11" s="12"/>
      <c r="Q11" s="12"/>
      <c r="S11" s="35" t="str">
        <f t="shared" si="1"/>
        <v>Enter data here</v>
      </c>
      <c r="T11" s="35" t="str">
        <f t="shared" si="3"/>
        <v>Use column to left</v>
      </c>
      <c r="U11" s="35" t="s">
        <v>1148</v>
      </c>
      <c r="V11" s="261"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Q12" s="12"/>
      <c r="S12" s="35" t="str">
        <f t="shared" si="1"/>
        <v>Enter data here</v>
      </c>
      <c r="T12" s="35" t="str">
        <f t="shared" si="3"/>
        <v>Use column to left</v>
      </c>
      <c r="U12" s="35" t="s">
        <v>1148</v>
      </c>
      <c r="V12" s="261"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Q13" s="12"/>
      <c r="S13" s="35" t="str">
        <f t="shared" si="1"/>
        <v>Enter data here</v>
      </c>
      <c r="T13" s="35" t="str">
        <f t="shared" si="3"/>
        <v>Use column to left</v>
      </c>
      <c r="U13" s="35" t="s">
        <v>1148</v>
      </c>
      <c r="V13" s="261"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Q14" s="12"/>
      <c r="S14" s="35" t="str">
        <f t="shared" si="1"/>
        <v>Enter data here</v>
      </c>
      <c r="T14" s="35" t="str">
        <f t="shared" si="3"/>
        <v>Use column to left</v>
      </c>
      <c r="U14" s="35" t="s">
        <v>1148</v>
      </c>
      <c r="V14" s="261"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Q15" s="12"/>
      <c r="S15" s="35" t="str">
        <f t="shared" si="1"/>
        <v>Enter data here</v>
      </c>
      <c r="T15" s="35" t="str">
        <f t="shared" si="3"/>
        <v>Use column to left</v>
      </c>
      <c r="U15" s="35" t="s">
        <v>1148</v>
      </c>
      <c r="V15" s="261"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Q16" s="12"/>
      <c r="S16" s="35" t="str">
        <f t="shared" si="1"/>
        <v>Enter data here</v>
      </c>
      <c r="T16" s="35" t="str">
        <f t="shared" si="3"/>
        <v>Use column to left</v>
      </c>
      <c r="U16" s="35" t="s">
        <v>1148</v>
      </c>
      <c r="V16" s="261"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Q17" s="12"/>
      <c r="S17" s="35" t="str">
        <f t="shared" si="1"/>
        <v/>
      </c>
      <c r="T17" s="35" t="str">
        <f t="shared" si="3"/>
        <v/>
      </c>
      <c r="U17" s="35"/>
      <c r="V17" s="261" t="str">
        <f t="shared" si="2"/>
        <v>Unfilled fields to left</v>
      </c>
      <c r="X17" s="25"/>
      <c r="Y17" s="12"/>
    </row>
    <row r="18" spans="2:29">
      <c r="C18" s="17"/>
      <c r="D18" s="17"/>
      <c r="E18" s="502"/>
      <c r="F18" s="26"/>
      <c r="G18" s="27"/>
      <c r="H18" s="22"/>
      <c r="I18" s="22"/>
      <c r="J18" s="41"/>
      <c r="K18" s="41"/>
      <c r="L18" s="41"/>
      <c r="M18" s="41"/>
      <c r="N18" s="41"/>
      <c r="O18" s="12"/>
      <c r="P18" s="12"/>
      <c r="Q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1343</v>
      </c>
      <c r="D20" s="177" t="s">
        <v>425</v>
      </c>
      <c r="E20" s="35"/>
      <c r="F20" s="21"/>
      <c r="G20" s="21"/>
      <c r="H20" s="21"/>
      <c r="I20" s="21"/>
      <c r="J20" s="298"/>
      <c r="K20" s="304"/>
      <c r="L20" s="304"/>
      <c r="M20" s="304"/>
      <c r="N20" s="240">
        <f t="shared" ref="N20:N31" si="4">IF($D20="MWh/yr (LHV)",$E20,$J20*$E20*(1-$L20)/Conversion_kWh_to_MJ)</f>
        <v>0</v>
      </c>
      <c r="O20" s="244" t="str">
        <f>IFERROR(N20/N8,"")</f>
        <v/>
      </c>
      <c r="P20" s="12"/>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4"/>
        <v>0</v>
      </c>
      <c r="O21" s="12"/>
      <c r="P21" s="12"/>
      <c r="Q21" s="511">
        <f>IF($D21="MWh/yr (LHV)",$E21,$E21*MAX(0, $J21*(1-$L21)-2.441*$L21)/Conversion_kWh_to_MJ)</f>
        <v>0</v>
      </c>
      <c r="R21" s="243" t="str">
        <f t="shared" ref="R21:R22" si="5">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4"/>
        <v>0</v>
      </c>
      <c r="O22" s="12"/>
      <c r="P22" s="12"/>
      <c r="Q22" s="511">
        <f>IF($D22="MWh/yr (LHV)",$E22,$E22*MAX(0, $J22*(1-$L22)-2.441*$L22)/Conversion_kWh_to_MJ)</f>
        <v>0</v>
      </c>
      <c r="R22" s="243" t="str">
        <f t="shared" si="5"/>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4"/>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4"/>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4"/>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4"/>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4"/>
        <v>0</v>
      </c>
      <c r="O27" s="12"/>
      <c r="P27" s="12"/>
      <c r="Q27" s="12"/>
      <c r="R27" s="12"/>
      <c r="S27" s="35">
        <v>1000</v>
      </c>
      <c r="T27" s="514"/>
      <c r="U27" s="35" t="s">
        <v>1166</v>
      </c>
      <c r="V27" s="261"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4"/>
        <v>0</v>
      </c>
      <c r="O28" s="12"/>
      <c r="P28" s="12"/>
      <c r="Q28" s="12"/>
      <c r="R28" s="12"/>
      <c r="S28" s="35">
        <v>28000</v>
      </c>
      <c r="T28" s="514"/>
      <c r="U28" s="35" t="s">
        <v>1107</v>
      </c>
      <c r="V28" s="261"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4"/>
        <v>0</v>
      </c>
      <c r="O29" s="12"/>
      <c r="P29" s="12"/>
      <c r="Q29" s="12"/>
      <c r="R29" s="12"/>
      <c r="S29" s="35">
        <v>265000</v>
      </c>
      <c r="T29" s="514"/>
      <c r="U29" s="35" t="s">
        <v>1107</v>
      </c>
      <c r="V29" s="261"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4"/>
        <v>0</v>
      </c>
      <c r="O30" s="12"/>
      <c r="P30" s="12"/>
      <c r="Q30" s="12"/>
      <c r="R30" s="12"/>
      <c r="S30" s="298"/>
      <c r="T30" s="473"/>
      <c r="U30" s="300"/>
      <c r="V30" s="261"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4"/>
        <v>0</v>
      </c>
      <c r="O31" s="12"/>
      <c r="P31" s="12"/>
      <c r="Q31" s="12"/>
      <c r="R31" s="12"/>
      <c r="S31" s="298"/>
      <c r="T31" s="473"/>
      <c r="U31" s="300"/>
      <c r="V31" s="261" t="str">
        <f>IFERROR(IF(D31="tonnes/yr", $S31*$E31/($N$20*3.6), $T31*$E31*3.6/($N$20*3.6)), "Unfilled fields to left")</f>
        <v>Unfilled fields to left</v>
      </c>
      <c r="X31" s="21"/>
    </row>
    <row r="32" spans="2:29">
      <c r="C32" s="17"/>
      <c r="D32" s="17"/>
      <c r="E32" s="139"/>
      <c r="F32" s="17"/>
      <c r="H32" s="18"/>
      <c r="I32" s="18"/>
      <c r="J32" s="40"/>
      <c r="K32" s="40"/>
      <c r="L32" s="40"/>
      <c r="M32" s="40"/>
      <c r="O32" s="12"/>
      <c r="P32" s="12"/>
      <c r="Q32" s="12"/>
      <c r="S32" s="40"/>
      <c r="T32" s="40"/>
      <c r="U32" s="40"/>
      <c r="V32" s="139"/>
      <c r="Y32" s="12"/>
    </row>
    <row r="33" spans="2:25">
      <c r="D33" s="17"/>
      <c r="E33" s="139"/>
      <c r="J33" s="39"/>
      <c r="K33" s="39"/>
      <c r="L33" s="40"/>
      <c r="M33" s="40"/>
      <c r="O33" s="12"/>
      <c r="P33" s="12"/>
      <c r="Q33" s="12"/>
      <c r="S33" s="39"/>
      <c r="T33" s="39"/>
      <c r="U33" s="38" t="s">
        <v>1162</v>
      </c>
      <c r="V33" s="169">
        <f>SUM(V7:V32)</f>
        <v>0</v>
      </c>
      <c r="Y33" s="12"/>
    </row>
    <row r="34" spans="2:25">
      <c r="B34" s="144" t="s">
        <v>133</v>
      </c>
      <c r="C34" s="158"/>
      <c r="D34" s="158"/>
      <c r="E34" s="495"/>
      <c r="I34" s="12"/>
      <c r="J34" s="107"/>
      <c r="K34" s="107"/>
      <c r="L34" s="40"/>
      <c r="M34" s="40"/>
      <c r="O34" s="12"/>
      <c r="P34" s="12"/>
      <c r="Q34" s="12"/>
      <c r="S34" s="107"/>
      <c r="T34" s="107"/>
      <c r="U34" s="107"/>
      <c r="V34" s="107"/>
      <c r="Y34" s="12"/>
    </row>
    <row r="35" spans="2:25">
      <c r="B35" s="16" t="s">
        <v>1134</v>
      </c>
      <c r="C35" s="15" t="s">
        <v>1135</v>
      </c>
      <c r="D35" s="15" t="s">
        <v>1136</v>
      </c>
      <c r="E35" s="497"/>
      <c r="G35" s="19"/>
      <c r="H35" s="12"/>
      <c r="I35" s="12"/>
      <c r="J35" s="107"/>
      <c r="K35" s="107"/>
      <c r="L35" s="40"/>
      <c r="M35" s="40"/>
      <c r="O35" s="12"/>
      <c r="P35" s="12"/>
      <c r="Q35" s="12"/>
      <c r="S35" s="107"/>
      <c r="T35" s="107"/>
      <c r="U35" s="107"/>
      <c r="V35" s="12"/>
      <c r="X35" s="25"/>
      <c r="Y35" s="12"/>
    </row>
    <row r="36" spans="2:25">
      <c r="B36" s="16" t="s">
        <v>1167</v>
      </c>
      <c r="C36" s="15" t="s">
        <v>1168</v>
      </c>
      <c r="D36" s="15" t="s">
        <v>300</v>
      </c>
      <c r="E36" s="503"/>
      <c r="H36" s="12"/>
      <c r="I36" s="12"/>
      <c r="J36" s="107"/>
      <c r="K36" s="107"/>
      <c r="L36" s="39"/>
      <c r="M36" s="39"/>
      <c r="O36" s="12"/>
      <c r="P36" s="12"/>
      <c r="Q36" s="12"/>
      <c r="S36" s="107"/>
      <c r="T36" s="107"/>
      <c r="U36" s="107"/>
      <c r="V36" s="12"/>
      <c r="X36" s="25"/>
      <c r="Y36" s="12"/>
    </row>
    <row r="37" spans="2:25">
      <c r="B37" s="16"/>
      <c r="C37" s="15"/>
      <c r="D37" s="15"/>
      <c r="E37" s="503"/>
      <c r="J37" s="39"/>
      <c r="K37" s="39"/>
      <c r="L37" s="107"/>
      <c r="M37" s="107"/>
      <c r="N37" s="107"/>
      <c r="O37" s="12"/>
      <c r="P37" s="12"/>
      <c r="Q37" s="12"/>
      <c r="S37" s="39"/>
      <c r="T37" s="39"/>
      <c r="U37" s="39"/>
      <c r="V37" s="107"/>
      <c r="X37" s="25"/>
    </row>
    <row r="38" spans="2:25">
      <c r="B38" s="16"/>
      <c r="C38" s="15"/>
      <c r="D38" s="15"/>
      <c r="E38" s="503"/>
      <c r="J38" s="39"/>
      <c r="K38" s="39"/>
      <c r="L38" s="107"/>
      <c r="M38" s="107"/>
      <c r="N38" s="107"/>
      <c r="O38" s="12"/>
      <c r="P38" s="12"/>
      <c r="Q38" s="12"/>
      <c r="S38" s="39"/>
      <c r="T38" s="39"/>
      <c r="U38" s="39"/>
      <c r="V38" s="107"/>
      <c r="X38" s="25"/>
    </row>
    <row r="39" spans="2:25">
      <c r="E39" s="107"/>
      <c r="J39" s="39"/>
      <c r="K39" s="39"/>
      <c r="L39" s="107"/>
      <c r="M39" s="107"/>
      <c r="N39" s="107"/>
      <c r="O39" s="12"/>
      <c r="P39" s="12"/>
      <c r="Q39" s="12"/>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L122" s="39"/>
      <c r="M122" s="39"/>
      <c r="S122" s="39"/>
      <c r="T122" s="39"/>
      <c r="U122" s="39"/>
    </row>
    <row r="123" spans="5:21">
      <c r="E123" s="107"/>
      <c r="L123" s="39"/>
      <c r="M123" s="39"/>
      <c r="S123" s="39"/>
      <c r="T123" s="39"/>
      <c r="U123" s="39"/>
    </row>
    <row r="124" spans="5:21">
      <c r="E124" s="107"/>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pane xSplit="3" ySplit="5" topLeftCell="I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I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54A57195-904A-4091-9025-1C7782A915C7}">
      <formula1>Flow_units</formula1>
    </dataValidation>
    <dataValidation type="custom" allowBlank="1" showInputMessage="1" showErrorMessage="1" error="Please do not change this formula" prompt="Please do not change this formula" sqref="V1:V4 V6:V1048576 W4 O6:Q1048576 R6:R19 R23:R1048576 N1:N1048576 O1:R4 S5:V5" xr:uid="{453DDCCF-15EC-4F6F-BA0C-ABB01E6EB763}">
      <formula1>"Please do not change this formula"</formula1>
    </dataValidation>
    <dataValidation type="custom" allowBlank="1" showInputMessage="1" showErrorMessage="1" error="Please do not change" sqref="R20:R22" xr:uid="{401DDCA7-2A47-411C-BB25-1EB4AACBC55D}">
      <formula1>"Please do not change"</formula1>
    </dataValidation>
    <dataValidation type="custom" allowBlank="1" showInputMessage="1" showErrorMessage="1" error="Please do not change this formula" sqref="O5:R5" xr:uid="{897148EE-8C10-4E46-912C-25C2FACF41C3}">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E9558964-8EEF-4151-8B1F-CDBD1F63E4E2}">
      <formula1>0</formula1>
    </dataValidation>
  </dataValidations>
  <hyperlinks>
    <hyperlink ref="I2:J2" location="'Generic_Pre-Processing'!A1" display="Go to the next step of this pathway" xr:uid="{780D0871-0693-460F-B881-C2A766EDEB7A}"/>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08AACADD-5E09-43A0-A796-83393CE4F7D3}">
            <xm:f>AND(Path&lt;&gt;Units!$B$103,Master_Switch="On")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388BD-F401-4E30-BC97-DFBBC1C99DEB}">
  <sheetPr codeName="Sheet38">
    <tabColor theme="0" tint="-0.34998626667073579"/>
  </sheetPr>
  <dimension ref="A1:AC191"/>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42578125" customWidth="1"/>
    <col min="16" max="16" width="9.140625" style="12"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IF(AND(Path&lt;&gt;Units!$B$103,Master_Switch="On"),"User should not fill in this sheet, but switch to other non-blank GHG worksheets","")</f>
        <v>User should not fill in this sheet, but switch to other non-blank GHG worksheets</v>
      </c>
      <c r="E1" s="254"/>
    </row>
    <row r="2" spans="1:29" ht="20.45" customHeight="1">
      <c r="E2" s="254"/>
      <c r="I2" s="735" t="s">
        <v>1141</v>
      </c>
      <c r="J2" s="737"/>
      <c r="K2" s="738"/>
    </row>
    <row r="3" spans="1:29" ht="15" customHeight="1">
      <c r="E3" s="254"/>
    </row>
    <row r="4" spans="1:29" ht="15.6" customHeight="1" thickBot="1">
      <c r="B4" s="3"/>
      <c r="C4" s="3"/>
      <c r="D4" s="3"/>
      <c r="E4" s="451"/>
      <c r="F4" s="3"/>
      <c r="G4" s="3"/>
      <c r="H4" s="1"/>
      <c r="I4" s="1"/>
      <c r="J4" s="1"/>
      <c r="K4" s="1"/>
      <c r="L4" s="1"/>
      <c r="M4" s="1"/>
      <c r="N4" s="37"/>
      <c r="O4" s="1"/>
      <c r="P4" s="3"/>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Q6"/>
      <c r="R6"/>
      <c r="S6"/>
      <c r="T6"/>
      <c r="U6"/>
      <c r="V6"/>
    </row>
    <row r="7" spans="1:29">
      <c r="B7" s="144" t="s">
        <v>1145</v>
      </c>
      <c r="C7" s="144"/>
      <c r="D7" s="144"/>
      <c r="E7" s="322"/>
      <c r="F7" s="144"/>
      <c r="G7" s="144"/>
      <c r="H7" s="144"/>
      <c r="I7" s="144"/>
      <c r="J7" s="144"/>
      <c r="K7" s="144"/>
      <c r="L7" s="144"/>
      <c r="M7" s="144"/>
      <c r="N7" s="299"/>
      <c r="Q7"/>
      <c r="R7"/>
      <c r="S7"/>
      <c r="T7"/>
      <c r="U7"/>
      <c r="V7"/>
      <c r="W7" s="19"/>
      <c r="X7" s="19"/>
      <c r="Y7" s="19"/>
      <c r="Z7" s="19"/>
      <c r="AA7" s="19"/>
      <c r="AB7" s="19"/>
      <c r="AC7" s="19"/>
    </row>
    <row r="8" spans="1:29">
      <c r="B8" s="16" t="s">
        <v>1163</v>
      </c>
      <c r="C8" s="182" t="s">
        <v>1343</v>
      </c>
      <c r="D8" s="177" t="s">
        <v>425</v>
      </c>
      <c r="E8" s="35"/>
      <c r="F8" s="21"/>
      <c r="G8" s="21"/>
      <c r="H8" s="20"/>
      <c r="I8" s="20"/>
      <c r="J8" s="298"/>
      <c r="K8" s="300"/>
      <c r="L8" s="300"/>
      <c r="M8" s="300"/>
      <c r="N8" s="240">
        <f t="shared" ref="N8:N17" si="0">IF($D8="MWh/yr (LHV)",$E8,$J8*$E8*(1-$L8)/Conversion_kWh_to_MJ)</f>
        <v>0</v>
      </c>
      <c r="O8" s="12"/>
      <c r="S8" s="107"/>
      <c r="T8" s="107"/>
      <c r="U8" s="107"/>
      <c r="V8" s="12"/>
      <c r="X8" s="24"/>
      <c r="Y8" s="12"/>
    </row>
    <row r="9" spans="1:29">
      <c r="B9" s="184" t="s">
        <v>1069</v>
      </c>
      <c r="C9" s="182" t="s">
        <v>1266</v>
      </c>
      <c r="D9" s="177" t="s">
        <v>447</v>
      </c>
      <c r="E9" s="35"/>
      <c r="F9" s="21"/>
      <c r="G9" s="21"/>
      <c r="H9" s="20"/>
      <c r="I9" s="36"/>
      <c r="J9" s="298"/>
      <c r="K9" s="300"/>
      <c r="L9" s="300"/>
      <c r="M9" s="300"/>
      <c r="N9" s="240">
        <f t="shared" si="0"/>
        <v>0</v>
      </c>
      <c r="O9" s="12"/>
      <c r="S9" s="35" t="str">
        <f t="shared" ref="S9" si="1">IF(B9="", "", IF(D9="MWh/yr (LHV)", "Use column to right", "Enter data here"))</f>
        <v>Use column to right</v>
      </c>
      <c r="T9" s="35" t="e">
        <f>INDEX(Proj_grid_intensity_kWh,MATCH(Operations_year,Proj_grid_year,0))/Conversion_kWh_to_MJ</f>
        <v>#N/A</v>
      </c>
      <c r="U9" s="35" t="s">
        <v>1112</v>
      </c>
      <c r="V9" s="261" t="str">
        <f t="shared" ref="V9:V17" si="2">IFERROR(IF(D9="tonnes/yr", $S9*$E9/($N$20*3.6), $T9*$E9*3.6/($N$20*3.6)), "Unfilled fields to left")</f>
        <v>Unfilled fields to left</v>
      </c>
      <c r="X9" s="25"/>
      <c r="Y9" s="12"/>
    </row>
    <row r="10" spans="1:29">
      <c r="B10" s="184" t="s">
        <v>1069</v>
      </c>
      <c r="C10" s="182" t="s">
        <v>1109</v>
      </c>
      <c r="D10" s="177" t="s">
        <v>447</v>
      </c>
      <c r="E10" s="35"/>
      <c r="F10" s="21"/>
      <c r="G10" s="21"/>
      <c r="H10" s="20"/>
      <c r="I10" s="36"/>
      <c r="J10" s="298"/>
      <c r="K10" s="300"/>
      <c r="L10" s="300"/>
      <c r="M10" s="300"/>
      <c r="N10" s="240">
        <f t="shared" si="0"/>
        <v>0</v>
      </c>
      <c r="O10" s="12"/>
      <c r="S10" s="35" t="str">
        <f t="shared" ref="S10" si="3">IF(B10="", "", IF(D10="MWh/yr (LHV)", "Use column to right", "Enter data here"))</f>
        <v>Use column to right</v>
      </c>
      <c r="T10" s="35" t="e">
        <f>INDEX(Proj_grid_intensity_kWh,MATCH(Operations_year,Proj_grid_year,0))/Conversion_kWh_to_MJ</f>
        <v>#N/A</v>
      </c>
      <c r="U10" s="35" t="s">
        <v>1112</v>
      </c>
      <c r="V10" s="261" t="str">
        <f t="shared" si="2"/>
        <v>Unfilled fields to left</v>
      </c>
      <c r="X10" s="25"/>
      <c r="Y10" s="12"/>
    </row>
    <row r="11" spans="1:29">
      <c r="B11" s="184" t="s">
        <v>1090</v>
      </c>
      <c r="C11" s="182" t="s">
        <v>1091</v>
      </c>
      <c r="D11" s="177" t="s">
        <v>425</v>
      </c>
      <c r="E11" s="35"/>
      <c r="F11" s="21"/>
      <c r="G11" s="21"/>
      <c r="H11" s="20"/>
      <c r="I11" s="36"/>
      <c r="J11" s="298"/>
      <c r="K11" s="300"/>
      <c r="L11" s="300"/>
      <c r="M11" s="300"/>
      <c r="N11" s="240">
        <f t="shared" si="0"/>
        <v>0</v>
      </c>
      <c r="O11" s="12"/>
      <c r="S11" s="298" t="str">
        <f t="shared" ref="S11:S17" si="4">IF(B11="", "", IF(D11="MWh/yr (LHV)", "Use column to right", "Enter data here"))</f>
        <v>Enter data here</v>
      </c>
      <c r="T11" s="298" t="str">
        <f t="shared" ref="T11:T17" si="5">IF(B11="", "", IF(D11="MWh/yr (LHV)", "Enter data here", "Use column to left"))</f>
        <v>Use column to left</v>
      </c>
      <c r="U11" s="35" t="s">
        <v>1148</v>
      </c>
      <c r="V11" s="261"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S12" s="298" t="str">
        <f t="shared" si="4"/>
        <v>Enter data here</v>
      </c>
      <c r="T12" s="298" t="str">
        <f t="shared" si="5"/>
        <v>Use column to left</v>
      </c>
      <c r="U12" s="35" t="s">
        <v>1148</v>
      </c>
      <c r="V12" s="261"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S13" s="298" t="str">
        <f t="shared" si="4"/>
        <v>Enter data here</v>
      </c>
      <c r="T13" s="298" t="str">
        <f t="shared" si="5"/>
        <v>Use column to left</v>
      </c>
      <c r="U13" s="35" t="s">
        <v>1148</v>
      </c>
      <c r="V13" s="261"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S14" s="298" t="str">
        <f t="shared" si="4"/>
        <v>Enter data here</v>
      </c>
      <c r="T14" s="298" t="str">
        <f t="shared" si="5"/>
        <v>Use column to left</v>
      </c>
      <c r="U14" s="35" t="s">
        <v>1148</v>
      </c>
      <c r="V14" s="261"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S15" s="298" t="str">
        <f t="shared" si="4"/>
        <v>Enter data here</v>
      </c>
      <c r="T15" s="298" t="str">
        <f t="shared" si="5"/>
        <v>Use column to left</v>
      </c>
      <c r="U15" s="35" t="s">
        <v>1148</v>
      </c>
      <c r="V15" s="261"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S16" s="298" t="str">
        <f t="shared" si="4"/>
        <v>Enter data here</v>
      </c>
      <c r="T16" s="298" t="str">
        <f t="shared" si="5"/>
        <v>Use column to left</v>
      </c>
      <c r="U16" s="35" t="s">
        <v>1148</v>
      </c>
      <c r="V16" s="261" t="str">
        <f t="shared" si="2"/>
        <v>Unfilled fields to left</v>
      </c>
      <c r="X16" s="25"/>
      <c r="Y16" s="12"/>
    </row>
    <row r="17" spans="2:29">
      <c r="B17" s="16"/>
      <c r="C17" s="15"/>
      <c r="D17" s="177"/>
      <c r="E17" s="35"/>
      <c r="F17" s="21"/>
      <c r="G17" s="21"/>
      <c r="H17" s="20"/>
      <c r="I17" s="36"/>
      <c r="J17" s="298"/>
      <c r="K17" s="300"/>
      <c r="L17" s="300"/>
      <c r="M17" s="300"/>
      <c r="N17" s="240">
        <f t="shared" si="0"/>
        <v>0</v>
      </c>
      <c r="O17" s="12"/>
      <c r="S17" s="300" t="str">
        <f t="shared" si="4"/>
        <v/>
      </c>
      <c r="T17" s="298" t="str">
        <f t="shared" si="5"/>
        <v/>
      </c>
      <c r="U17" s="300"/>
      <c r="V17" s="261" t="str">
        <f t="shared" si="2"/>
        <v>Unfilled fields to left</v>
      </c>
      <c r="X17" s="25"/>
      <c r="Y17" s="12"/>
    </row>
    <row r="18" spans="2:29">
      <c r="C18" s="17"/>
      <c r="D18" s="17"/>
      <c r="E18" s="502"/>
      <c r="F18" s="26"/>
      <c r="G18" s="27"/>
      <c r="H18" s="22"/>
      <c r="I18" s="22"/>
      <c r="J18" s="41"/>
      <c r="K18" s="41"/>
      <c r="L18" s="41"/>
      <c r="M18" s="41"/>
      <c r="N18" s="41"/>
      <c r="O18" s="12"/>
      <c r="S18" s="41"/>
      <c r="T18" s="41"/>
      <c r="U18" s="41"/>
      <c r="V18" s="138"/>
      <c r="X18" s="27"/>
      <c r="Y18" s="12"/>
    </row>
    <row r="19" spans="2:29">
      <c r="B19" s="144" t="s">
        <v>1151</v>
      </c>
      <c r="C19" s="144"/>
      <c r="D19" s="144"/>
      <c r="E19" s="299"/>
      <c r="F19" s="144"/>
      <c r="G19" s="144"/>
      <c r="H19" s="144"/>
      <c r="I19" s="144"/>
      <c r="J19" s="299"/>
      <c r="K19" s="299"/>
      <c r="L19" s="299"/>
      <c r="M19" s="299"/>
      <c r="N19" s="299"/>
      <c r="Q19"/>
      <c r="R19"/>
      <c r="S19" s="40"/>
      <c r="T19" s="40"/>
      <c r="U19" s="40"/>
      <c r="V19" s="139"/>
      <c r="W19" s="19"/>
      <c r="X19" s="19"/>
      <c r="Y19" s="19"/>
      <c r="Z19" s="19"/>
      <c r="AA19" s="19"/>
      <c r="AB19" s="19"/>
      <c r="AC19" s="19"/>
    </row>
    <row r="20" spans="2:29">
      <c r="B20" s="16" t="s">
        <v>1152</v>
      </c>
      <c r="C20" s="182" t="s">
        <v>1344</v>
      </c>
      <c r="D20" s="177" t="s">
        <v>425</v>
      </c>
      <c r="E20" s="35"/>
      <c r="F20" s="21"/>
      <c r="G20" s="21"/>
      <c r="H20" s="21"/>
      <c r="I20" s="21"/>
      <c r="J20" s="298"/>
      <c r="K20" s="304"/>
      <c r="L20" s="304"/>
      <c r="M20" s="304"/>
      <c r="N20" s="240">
        <f t="shared" ref="N20:N34" si="6">IF($D20="MWh/yr (LHV)",$E20,$J20*$E20*(1-$L20)/Conversion_kWh_to_MJ)</f>
        <v>0</v>
      </c>
      <c r="O20" s="244" t="str">
        <f>IFERROR(N20/N8,"")</f>
        <v/>
      </c>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1345</v>
      </c>
      <c r="D27" s="177" t="s">
        <v>425</v>
      </c>
      <c r="E27" s="35"/>
      <c r="F27" s="34"/>
      <c r="G27" s="21"/>
      <c r="H27" s="20"/>
      <c r="I27" s="36"/>
      <c r="J27" s="298"/>
      <c r="K27" s="300"/>
      <c r="L27" s="300"/>
      <c r="M27" s="300"/>
      <c r="N27" s="240">
        <f t="shared" si="6"/>
        <v>0</v>
      </c>
      <c r="O27" s="12"/>
      <c r="P27" s="12"/>
      <c r="Q27" s="12"/>
      <c r="R27" s="12"/>
      <c r="S27" s="35">
        <v>0</v>
      </c>
      <c r="T27" s="514"/>
      <c r="U27" s="35" t="s">
        <v>1248</v>
      </c>
      <c r="V27" s="261" t="str">
        <f t="shared" ref="V27:V34" si="8">IFERROR(IF(D27="tonnes/yr", $S27*$E27/($N$20*3.6), $T27*$E27*3.6/($N$20*3.6)), "Unfilled fields to left")</f>
        <v>Unfilled fields to left</v>
      </c>
      <c r="X27" s="21"/>
    </row>
    <row r="28" spans="2:29" s="14" customFormat="1">
      <c r="B28" s="184" t="s">
        <v>1105</v>
      </c>
      <c r="C28" s="182" t="s">
        <v>1346</v>
      </c>
      <c r="D28" s="177" t="s">
        <v>425</v>
      </c>
      <c r="E28" s="35"/>
      <c r="F28" s="34"/>
      <c r="G28" s="21"/>
      <c r="H28" s="20"/>
      <c r="I28" s="36"/>
      <c r="J28" s="298"/>
      <c r="K28" s="300"/>
      <c r="L28" s="300"/>
      <c r="M28" s="300"/>
      <c r="N28" s="240">
        <f t="shared" si="6"/>
        <v>0</v>
      </c>
      <c r="O28" s="12"/>
      <c r="P28" s="12"/>
      <c r="Q28" s="12"/>
      <c r="R28" s="12"/>
      <c r="S28" s="35">
        <v>1000</v>
      </c>
      <c r="T28" s="514"/>
      <c r="U28" s="35" t="s">
        <v>1166</v>
      </c>
      <c r="V28" s="261" t="str">
        <f t="shared" si="8"/>
        <v>Unfilled fields to left</v>
      </c>
      <c r="X28" s="21"/>
    </row>
    <row r="29" spans="2:29" s="14" customFormat="1">
      <c r="B29" s="184" t="s">
        <v>1118</v>
      </c>
      <c r="C29" s="182" t="s">
        <v>1250</v>
      </c>
      <c r="D29" s="177" t="s">
        <v>425</v>
      </c>
      <c r="E29" s="35">
        <f>E27*$E$39</f>
        <v>0</v>
      </c>
      <c r="F29" s="34"/>
      <c r="G29" s="21"/>
      <c r="H29" s="20"/>
      <c r="I29" s="36"/>
      <c r="J29" s="298"/>
      <c r="K29" s="300"/>
      <c r="L29" s="300"/>
      <c r="M29" s="300"/>
      <c r="N29" s="240">
        <f t="shared" si="6"/>
        <v>0</v>
      </c>
      <c r="O29" s="12"/>
      <c r="P29" s="12"/>
      <c r="Q29" s="12"/>
      <c r="R29" s="12"/>
      <c r="S29" s="35">
        <v>-1000</v>
      </c>
      <c r="T29" s="514"/>
      <c r="U29" s="35" t="s">
        <v>1251</v>
      </c>
      <c r="V29" s="261" t="str">
        <f t="shared" si="8"/>
        <v>Unfilled fields to left</v>
      </c>
      <c r="X29" s="21"/>
    </row>
    <row r="30" spans="2:29" s="14" customFormat="1">
      <c r="B30" s="184" t="s">
        <v>1118</v>
      </c>
      <c r="C30" s="182" t="s">
        <v>1159</v>
      </c>
      <c r="D30" s="177" t="s">
        <v>425</v>
      </c>
      <c r="E30" s="35">
        <f>E28*$E$39</f>
        <v>0</v>
      </c>
      <c r="F30" s="34"/>
      <c r="G30" s="21"/>
      <c r="H30" s="20"/>
      <c r="I30" s="36"/>
      <c r="J30" s="298"/>
      <c r="K30" s="300"/>
      <c r="L30" s="300"/>
      <c r="M30" s="300"/>
      <c r="N30" s="240">
        <f t="shared" si="6"/>
        <v>0</v>
      </c>
      <c r="O30" s="12"/>
      <c r="P30" s="12"/>
      <c r="Q30" s="12"/>
      <c r="R30" s="12"/>
      <c r="S30" s="35">
        <v>-1000</v>
      </c>
      <c r="T30" s="514"/>
      <c r="U30" s="35" t="s">
        <v>1252</v>
      </c>
      <c r="V30" s="261" t="str">
        <f t="shared" si="8"/>
        <v>Unfilled fields to left</v>
      </c>
      <c r="X30" s="21"/>
    </row>
    <row r="31" spans="2:29" s="14" customFormat="1">
      <c r="B31" s="184" t="s">
        <v>1161</v>
      </c>
      <c r="C31" s="182" t="s">
        <v>1121</v>
      </c>
      <c r="D31" s="177" t="s">
        <v>425</v>
      </c>
      <c r="E31" s="35"/>
      <c r="F31" s="34"/>
      <c r="G31" s="21"/>
      <c r="H31" s="20"/>
      <c r="I31" s="36"/>
      <c r="J31" s="298"/>
      <c r="K31" s="300"/>
      <c r="L31" s="300"/>
      <c r="M31" s="300"/>
      <c r="N31" s="240">
        <f t="shared" si="6"/>
        <v>0</v>
      </c>
      <c r="O31" s="12"/>
      <c r="P31" s="12"/>
      <c r="Q31" s="12"/>
      <c r="R31" s="12"/>
      <c r="S31" s="35">
        <v>28000</v>
      </c>
      <c r="T31" s="514"/>
      <c r="U31" s="35" t="s">
        <v>1107</v>
      </c>
      <c r="V31" s="261" t="str">
        <f t="shared" si="8"/>
        <v>Unfilled fields to left</v>
      </c>
      <c r="X31" s="21"/>
    </row>
    <row r="32" spans="2:29" s="14" customFormat="1">
      <c r="B32" s="184" t="s">
        <v>1161</v>
      </c>
      <c r="C32" s="182" t="s">
        <v>1123</v>
      </c>
      <c r="D32" s="177" t="s">
        <v>425</v>
      </c>
      <c r="E32" s="35"/>
      <c r="F32" s="21"/>
      <c r="G32" s="21"/>
      <c r="H32" s="20"/>
      <c r="I32" s="36"/>
      <c r="J32" s="298"/>
      <c r="K32" s="300"/>
      <c r="L32" s="300"/>
      <c r="M32" s="300"/>
      <c r="N32" s="240">
        <f t="shared" si="6"/>
        <v>0</v>
      </c>
      <c r="O32" s="12"/>
      <c r="P32" s="12"/>
      <c r="Q32" s="12"/>
      <c r="R32" s="12"/>
      <c r="S32" s="35">
        <v>265000</v>
      </c>
      <c r="T32" s="514"/>
      <c r="U32" s="35" t="s">
        <v>1107</v>
      </c>
      <c r="V32" s="261" t="str">
        <f t="shared" si="8"/>
        <v>Unfilled fields to left</v>
      </c>
      <c r="X32" s="21"/>
    </row>
    <row r="33" spans="2:25" s="14" customFormat="1">
      <c r="B33" s="16"/>
      <c r="C33" s="15"/>
      <c r="D33" s="177"/>
      <c r="E33" s="35"/>
      <c r="F33" s="21"/>
      <c r="G33" s="21"/>
      <c r="H33" s="20"/>
      <c r="I33" s="36"/>
      <c r="J33" s="298"/>
      <c r="K33" s="300"/>
      <c r="L33" s="300"/>
      <c r="M33" s="300"/>
      <c r="N33" s="240">
        <f t="shared" si="6"/>
        <v>0</v>
      </c>
      <c r="O33" s="12"/>
      <c r="P33" s="12"/>
      <c r="Q33" s="12"/>
      <c r="R33" s="12"/>
      <c r="S33" s="298"/>
      <c r="T33" s="473"/>
      <c r="U33" s="300"/>
      <c r="V33" s="261" t="str">
        <f t="shared" si="8"/>
        <v>Unfilled fields to left</v>
      </c>
      <c r="X33" s="21"/>
    </row>
    <row r="34" spans="2:25" s="14" customFormat="1">
      <c r="B34" s="16"/>
      <c r="C34" s="15"/>
      <c r="D34" s="177"/>
      <c r="E34" s="35"/>
      <c r="F34" s="21"/>
      <c r="G34" s="21"/>
      <c r="H34" s="20"/>
      <c r="I34" s="36"/>
      <c r="J34" s="298"/>
      <c r="K34" s="300"/>
      <c r="L34" s="300"/>
      <c r="M34" s="300"/>
      <c r="N34" s="240">
        <f t="shared" si="6"/>
        <v>0</v>
      </c>
      <c r="O34" s="12"/>
      <c r="P34" s="12"/>
      <c r="Q34" s="12"/>
      <c r="R34" s="12"/>
      <c r="S34" s="298"/>
      <c r="T34" s="473"/>
      <c r="U34" s="300"/>
      <c r="V34" s="261" t="str">
        <f t="shared" si="8"/>
        <v>Unfilled fields to left</v>
      </c>
      <c r="X34" s="21"/>
    </row>
    <row r="35" spans="2:25">
      <c r="C35" s="17"/>
      <c r="D35" s="17"/>
      <c r="E35" s="139"/>
      <c r="F35" s="17"/>
      <c r="H35" s="18"/>
      <c r="I35" s="18"/>
      <c r="J35" s="40"/>
      <c r="K35" s="40"/>
      <c r="L35" s="40"/>
      <c r="M35" s="40"/>
      <c r="N35" s="40"/>
      <c r="O35" s="12"/>
      <c r="S35" s="40"/>
      <c r="T35" s="40"/>
      <c r="U35" s="40"/>
      <c r="V35" s="139"/>
      <c r="Y35" s="12"/>
    </row>
    <row r="36" spans="2:25">
      <c r="D36" s="17"/>
      <c r="E36" s="139"/>
      <c r="J36" s="39"/>
      <c r="K36" s="39"/>
      <c r="L36" s="39"/>
      <c r="M36" s="39"/>
      <c r="O36" s="12"/>
      <c r="S36" s="39"/>
      <c r="T36" s="39"/>
      <c r="U36" s="38" t="s">
        <v>1162</v>
      </c>
      <c r="V36" s="169">
        <f>SUM(V7:V35)</f>
        <v>0</v>
      </c>
      <c r="Y36" s="12"/>
    </row>
    <row r="37" spans="2:25">
      <c r="B37" s="144" t="s">
        <v>133</v>
      </c>
      <c r="C37" s="158"/>
      <c r="D37" s="158"/>
      <c r="E37" s="495"/>
      <c r="I37" s="12"/>
      <c r="J37" s="107"/>
      <c r="K37" s="107"/>
      <c r="L37" s="107"/>
      <c r="M37" s="107"/>
      <c r="N37" s="107"/>
      <c r="O37" s="12"/>
      <c r="S37" s="107"/>
      <c r="T37" s="107"/>
      <c r="U37" s="107"/>
      <c r="V37" s="107"/>
      <c r="Y37" s="12"/>
    </row>
    <row r="38" spans="2:25">
      <c r="B38" s="16" t="s">
        <v>1134</v>
      </c>
      <c r="C38" s="15" t="s">
        <v>1135</v>
      </c>
      <c r="D38" s="15" t="s">
        <v>1136</v>
      </c>
      <c r="E38" s="497"/>
      <c r="G38" s="19"/>
      <c r="H38" s="12"/>
      <c r="I38" s="12"/>
      <c r="J38" s="107"/>
      <c r="K38" s="107"/>
      <c r="L38" s="107"/>
      <c r="M38" s="107"/>
      <c r="N38" s="107"/>
      <c r="O38" s="12"/>
      <c r="S38" s="107"/>
      <c r="T38" s="107"/>
      <c r="U38" s="107"/>
      <c r="V38" s="12"/>
      <c r="X38" s="25"/>
      <c r="Y38" s="12"/>
    </row>
    <row r="39" spans="2:25">
      <c r="B39" s="16" t="s">
        <v>1139</v>
      </c>
      <c r="C39" s="15" t="s">
        <v>1184</v>
      </c>
      <c r="D39" s="15" t="s">
        <v>897</v>
      </c>
      <c r="E39" s="507"/>
      <c r="H39" s="12"/>
      <c r="I39" s="12"/>
      <c r="J39" s="107"/>
      <c r="K39" s="107"/>
      <c r="L39" s="107"/>
      <c r="M39" s="107"/>
      <c r="N39" s="107"/>
      <c r="O39" s="12"/>
      <c r="S39" s="107"/>
      <c r="T39" s="107"/>
      <c r="U39" s="107"/>
      <c r="V39" s="12"/>
      <c r="X39" s="25"/>
      <c r="Y39" s="12"/>
    </row>
    <row r="40" spans="2:25">
      <c r="B40" s="16"/>
      <c r="C40" s="15"/>
      <c r="D40" s="15"/>
      <c r="E40" s="507"/>
      <c r="J40" s="39"/>
      <c r="K40" s="39"/>
      <c r="L40" s="39"/>
      <c r="M40" s="39"/>
      <c r="S40" s="39"/>
      <c r="T40" s="39"/>
      <c r="U40" s="39"/>
      <c r="V40" s="107"/>
      <c r="X40" s="25"/>
    </row>
    <row r="41" spans="2:25">
      <c r="B41" s="16"/>
      <c r="C41" s="15"/>
      <c r="D41" s="15"/>
      <c r="E41" s="503"/>
      <c r="J41" s="39"/>
      <c r="K41" s="39"/>
      <c r="L41" s="39"/>
      <c r="M41" s="39"/>
      <c r="S41" s="39"/>
      <c r="T41" s="39"/>
      <c r="U41" s="39"/>
      <c r="V41" s="107"/>
      <c r="X41" s="25"/>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c r="V74" s="107"/>
    </row>
    <row r="75" spans="5:22">
      <c r="E75" s="107"/>
      <c r="J75" s="39"/>
      <c r="K75" s="39"/>
      <c r="L75" s="39"/>
      <c r="M75" s="39"/>
      <c r="S75" s="39"/>
      <c r="T75" s="39"/>
      <c r="U75" s="39"/>
      <c r="V75" s="107"/>
    </row>
    <row r="76" spans="5:22">
      <c r="E76" s="107"/>
      <c r="J76" s="39"/>
      <c r="K76" s="39"/>
      <c r="L76" s="39"/>
      <c r="M76" s="39"/>
      <c r="S76" s="39"/>
      <c r="T76" s="39"/>
      <c r="U76" s="39"/>
      <c r="V76" s="107"/>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J122" s="39"/>
      <c r="K122" s="39"/>
      <c r="L122" s="39"/>
      <c r="M122" s="39"/>
      <c r="S122" s="39"/>
      <c r="T122" s="39"/>
      <c r="U122" s="39"/>
    </row>
    <row r="123" spans="5:21">
      <c r="E123" s="107"/>
      <c r="J123" s="39"/>
      <c r="K123" s="39"/>
      <c r="L123" s="39"/>
      <c r="M123" s="39"/>
      <c r="S123" s="39"/>
      <c r="T123" s="39"/>
      <c r="U123" s="39"/>
    </row>
    <row r="124" spans="5:21">
      <c r="E124" s="107"/>
      <c r="J124" s="39"/>
      <c r="K124" s="39"/>
      <c r="L124" s="39"/>
      <c r="M124" s="39"/>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E147" s="107"/>
      <c r="S147" s="39"/>
      <c r="T147" s="39"/>
      <c r="U147" s="39"/>
    </row>
    <row r="148" spans="5:21">
      <c r="E148" s="107"/>
      <c r="S148" s="39"/>
      <c r="T148" s="39"/>
      <c r="U148" s="39"/>
    </row>
    <row r="149" spans="5:21">
      <c r="E149" s="107"/>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row r="189" spans="19:21">
      <c r="S189" s="39"/>
      <c r="T189" s="39"/>
      <c r="U189" s="39"/>
    </row>
    <row r="190" spans="19:21">
      <c r="S190" s="39"/>
      <c r="T190" s="39"/>
      <c r="U190" s="39"/>
    </row>
    <row r="191" spans="19:21">
      <c r="S191" s="39"/>
      <c r="T191" s="39"/>
      <c r="U191" s="39"/>
    </row>
  </sheetData>
  <customSheetViews>
    <customSheetView guid="{F03309BC-D3FA-4CF2-833B-D6D9A95FE1FB}" showGridLines="0">
      <pane xSplit="3" ySplit="5" topLeftCell="N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N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20:D34 D8:D17" xr:uid="{B9D5A1FC-5225-492E-A089-125EEAB84646}">
      <formula1>Flow_units</formula1>
    </dataValidation>
    <dataValidation type="custom" allowBlank="1" showInputMessage="1" showErrorMessage="1" error="Please do not change this formula" prompt="Please do not change this formula" sqref="W4 V6:V1048576 V1:V4 S5:V5" xr:uid="{710BD184-E310-410E-8A9E-AB8B63897359}">
      <formula1>"Please do not change this formula"</formula1>
    </dataValidation>
    <dataValidation type="custom" allowBlank="1" showInputMessage="1" showErrorMessage="1" error="Please do not change" sqref="R20:R22" xr:uid="{9F22114A-A46D-4AD3-9389-A775EFBE378E}">
      <formula1>"Please do not change"</formula1>
    </dataValidation>
    <dataValidation type="custom" allowBlank="1" showInputMessage="1" showErrorMessage="1" error="Please do not change this formula" sqref="O5:R5" xr:uid="{2F4F4E17-8529-4D2D-8ADD-3A70A60B88F9}">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28 S31:T35" xr:uid="{E0ED4356-93AB-4A46-BD1C-5655B72C4B1C}">
      <formula1>0</formula1>
    </dataValidation>
  </dataValidations>
  <hyperlinks>
    <hyperlink ref="I2:J2" location="Generic_Further_Transport!A1" display="Go to the next step of this pathway" xr:uid="{5CBA12F5-672C-489D-AB07-096061DE4731}"/>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AE52E5E6-ED3E-4B54-8408-D8C53B9334CF}">
            <xm:f>AND(Path&lt;&gt;Units!$B$103,Master_Switch="On")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86735-E4CE-4D38-8BA8-1785F84A92F4}">
  <sheetPr codeName="Sheet40">
    <tabColor theme="0" tint="-0.34998626667073579"/>
  </sheetPr>
  <dimension ref="A1:AC188"/>
  <sheetViews>
    <sheetView showGridLines="0" zoomScaleNormal="100" workbookViewId="0">
      <pane xSplit="3" ySplit="5" topLeftCell="D6"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55"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8" customWidth="1"/>
    <col min="16" max="16" width="12.85546875"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ustomWidth="1"/>
    <col min="24" max="24" width="26" style="12" customWidth="1"/>
    <col min="26" max="16384" width="7.140625" style="12"/>
  </cols>
  <sheetData>
    <row r="1" spans="1:29" ht="31.9" customHeight="1">
      <c r="A1" s="80" t="str">
        <f>IF(AND(Path&lt;&gt;Units!$B$103,Master_Switch="On"),"User should not fill in this sheet, but switch to other non-blank GHG worksheets","")</f>
        <v>User should not fill in this sheet, but switch to other non-blank GHG worksheets</v>
      </c>
      <c r="E1" s="254"/>
    </row>
    <row r="2" spans="1:29" ht="20.45" customHeight="1">
      <c r="E2" s="254"/>
      <c r="I2" s="735" t="s">
        <v>1141</v>
      </c>
      <c r="J2" s="737"/>
      <c r="K2" s="738"/>
    </row>
    <row r="3" spans="1:29" ht="15" customHeight="1">
      <c r="E3" s="254"/>
    </row>
    <row r="4" spans="1:29" ht="15.6" customHeight="1" thickBot="1">
      <c r="B4" s="3"/>
      <c r="C4" s="3"/>
      <c r="D4" s="3"/>
      <c r="E4" s="451"/>
      <c r="F4" s="3"/>
      <c r="G4" s="3"/>
      <c r="H4" s="1"/>
      <c r="I4" s="1"/>
      <c r="J4" s="1"/>
      <c r="K4" s="1"/>
      <c r="L4" s="1"/>
      <c r="M4" s="1"/>
      <c r="N4" s="37"/>
      <c r="O4" s="1"/>
      <c r="P4" s="1"/>
      <c r="Q4" s="3"/>
      <c r="R4" s="3"/>
      <c r="S4" s="1"/>
      <c r="T4" s="1"/>
      <c r="U4" s="1"/>
      <c r="V4" s="37"/>
      <c r="W4" s="37"/>
      <c r="X4" s="3"/>
    </row>
    <row r="5" spans="1:29"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9" ht="15" thickTop="1">
      <c r="E6" s="453"/>
      <c r="R6"/>
      <c r="S6"/>
      <c r="T6"/>
      <c r="U6"/>
      <c r="V6"/>
    </row>
    <row r="7" spans="1:29">
      <c r="B7" s="144" t="s">
        <v>1145</v>
      </c>
      <c r="C7" s="144"/>
      <c r="D7" s="144"/>
      <c r="E7" s="322"/>
      <c r="F7" s="144"/>
      <c r="G7" s="144"/>
      <c r="H7" s="144"/>
      <c r="I7" s="144"/>
      <c r="J7" s="144"/>
      <c r="K7" s="144"/>
      <c r="L7" s="144"/>
      <c r="M7" s="144"/>
      <c r="N7" s="299"/>
      <c r="R7"/>
      <c r="S7"/>
      <c r="T7"/>
      <c r="U7"/>
      <c r="V7"/>
      <c r="W7" s="19"/>
      <c r="X7" s="19"/>
      <c r="Y7" s="19"/>
      <c r="Z7" s="19"/>
      <c r="AA7" s="19"/>
      <c r="AB7" s="19"/>
      <c r="AC7" s="19"/>
    </row>
    <row r="8" spans="1:29">
      <c r="B8" s="16" t="s">
        <v>1163</v>
      </c>
      <c r="C8" s="182" t="s">
        <v>1344</v>
      </c>
      <c r="D8" s="177" t="s">
        <v>425</v>
      </c>
      <c r="E8" s="35"/>
      <c r="F8" s="21"/>
      <c r="G8" s="21"/>
      <c r="H8" s="20"/>
      <c r="I8" s="20"/>
      <c r="J8" s="298"/>
      <c r="K8" s="300"/>
      <c r="L8" s="300"/>
      <c r="M8" s="300"/>
      <c r="N8" s="240">
        <f t="shared" ref="N8:N17" si="0">IF($D8="MWh/yr (LHV)",$E8,$J8*$E8*(1-$L8)/Conversion_kWh_to_MJ)</f>
        <v>0</v>
      </c>
      <c r="O8" s="12"/>
      <c r="P8" s="12"/>
      <c r="S8" s="107"/>
      <c r="T8" s="107"/>
      <c r="U8" s="107"/>
      <c r="V8" s="12"/>
      <c r="X8" s="24"/>
      <c r="Y8" s="12"/>
    </row>
    <row r="9" spans="1:29">
      <c r="B9" s="184" t="s">
        <v>1069</v>
      </c>
      <c r="C9" s="182" t="s">
        <v>1146</v>
      </c>
      <c r="D9" s="177" t="s">
        <v>447</v>
      </c>
      <c r="E9" s="35"/>
      <c r="F9" s="21"/>
      <c r="G9" s="21"/>
      <c r="H9" s="20"/>
      <c r="I9" s="36"/>
      <c r="J9" s="298"/>
      <c r="K9" s="300"/>
      <c r="L9" s="300"/>
      <c r="M9" s="300"/>
      <c r="N9" s="240">
        <f t="shared" si="0"/>
        <v>0</v>
      </c>
      <c r="O9" s="12"/>
      <c r="P9" s="12"/>
      <c r="S9" s="35" t="str">
        <f t="shared" ref="S9:S10" si="1">IF(B9="", "", IF(D9="MWh/yr (LHV)", "Use column to right", "Enter data here"))</f>
        <v>Use column to right</v>
      </c>
      <c r="T9" s="35" t="e">
        <f>INDEX(Proj_grid_intensity_kWh,MATCH(Operations_year,Proj_grid_year,0))/Conversion_kWh_to_MJ</f>
        <v>#N/A</v>
      </c>
      <c r="U9" s="35" t="s">
        <v>1112</v>
      </c>
      <c r="V9" s="261" t="str">
        <f t="shared" ref="V9:V17" si="2">IFERROR(IF(D9="tonnes/yr", $S9*$E9/($N$20*3.6), $T9*$E9*3.6/($N$20*3.6)), "Unfilled fields to left")</f>
        <v>Unfilled fields to left</v>
      </c>
      <c r="X9" s="25"/>
      <c r="Y9" s="12"/>
    </row>
    <row r="10" spans="1:29">
      <c r="B10" s="184" t="s">
        <v>1069</v>
      </c>
      <c r="C10" s="182"/>
      <c r="D10" s="177"/>
      <c r="E10" s="35"/>
      <c r="F10" s="21"/>
      <c r="G10" s="21"/>
      <c r="H10" s="20"/>
      <c r="I10" s="36"/>
      <c r="J10" s="298"/>
      <c r="K10" s="300"/>
      <c r="L10" s="300"/>
      <c r="M10" s="300"/>
      <c r="N10" s="240">
        <f t="shared" si="0"/>
        <v>0</v>
      </c>
      <c r="O10" s="12"/>
      <c r="P10" s="12"/>
      <c r="S10" s="298" t="str">
        <f t="shared" si="1"/>
        <v>Enter data here</v>
      </c>
      <c r="T10" s="298" t="str">
        <f t="shared" ref="T10" si="3">IF(B10="", "", IF(D10="MWh/yr (LHV)", "Enter data here", "Use column to left"))</f>
        <v>Use column to left</v>
      </c>
      <c r="U10" s="35" t="s">
        <v>1148</v>
      </c>
      <c r="V10" s="261" t="str">
        <f t="shared" si="2"/>
        <v>Unfilled fields to left</v>
      </c>
      <c r="X10" s="25"/>
      <c r="Y10" s="12"/>
    </row>
    <row r="11" spans="1:29">
      <c r="B11" s="184" t="s">
        <v>1090</v>
      </c>
      <c r="C11" s="182" t="s">
        <v>1091</v>
      </c>
      <c r="D11" s="177" t="s">
        <v>425</v>
      </c>
      <c r="E11" s="35"/>
      <c r="F11" s="24"/>
      <c r="G11" s="21"/>
      <c r="H11" s="20"/>
      <c r="I11" s="36"/>
      <c r="J11" s="298"/>
      <c r="K11" s="300"/>
      <c r="L11" s="300"/>
      <c r="M11" s="300"/>
      <c r="N11" s="240">
        <f t="shared" si="0"/>
        <v>0</v>
      </c>
      <c r="O11" s="12"/>
      <c r="P11" s="12"/>
      <c r="S11" s="298" t="str">
        <f t="shared" ref="S11:S17" si="4">IF(B11="", "", IF(D11="MWh/yr (LHV)", "Use column to right", "Enter data here"))</f>
        <v>Enter data here</v>
      </c>
      <c r="T11" s="298" t="str">
        <f t="shared" ref="T11:T17" si="5">IF(B11="", "", IF(D11="MWh/yr (LHV)", "Enter data here", "Use column to left"))</f>
        <v>Use column to left</v>
      </c>
      <c r="U11" s="35" t="s">
        <v>1148</v>
      </c>
      <c r="V11" s="261" t="str">
        <f t="shared" si="2"/>
        <v>Unfilled fields to left</v>
      </c>
      <c r="X11" s="25"/>
      <c r="Y11" s="12"/>
    </row>
    <row r="12" spans="1:29">
      <c r="B12" s="184" t="s">
        <v>1090</v>
      </c>
      <c r="C12" s="182" t="s">
        <v>1093</v>
      </c>
      <c r="D12" s="177" t="s">
        <v>425</v>
      </c>
      <c r="E12" s="35"/>
      <c r="F12" s="21"/>
      <c r="G12" s="21"/>
      <c r="H12" s="20"/>
      <c r="I12" s="36"/>
      <c r="J12" s="298"/>
      <c r="K12" s="300"/>
      <c r="L12" s="300"/>
      <c r="M12" s="300"/>
      <c r="N12" s="240">
        <f t="shared" si="0"/>
        <v>0</v>
      </c>
      <c r="O12" s="12"/>
      <c r="P12" s="12"/>
      <c r="S12" s="298" t="str">
        <f t="shared" si="4"/>
        <v>Enter data here</v>
      </c>
      <c r="T12" s="298" t="str">
        <f t="shared" si="5"/>
        <v>Use column to left</v>
      </c>
      <c r="U12" s="35" t="s">
        <v>1148</v>
      </c>
      <c r="V12" s="261" t="str">
        <f t="shared" si="2"/>
        <v>Unfilled fields to left</v>
      </c>
      <c r="X12" s="25"/>
      <c r="Y12" s="12"/>
    </row>
    <row r="13" spans="1:29">
      <c r="B13" s="184" t="s">
        <v>1099</v>
      </c>
      <c r="C13" s="182" t="s">
        <v>1058</v>
      </c>
      <c r="D13" s="177" t="s">
        <v>425</v>
      </c>
      <c r="E13" s="35"/>
      <c r="F13" s="21"/>
      <c r="G13" s="21"/>
      <c r="H13" s="20"/>
      <c r="I13" s="36"/>
      <c r="J13" s="298"/>
      <c r="K13" s="300"/>
      <c r="L13" s="300"/>
      <c r="M13" s="300"/>
      <c r="N13" s="240">
        <f t="shared" si="0"/>
        <v>0</v>
      </c>
      <c r="O13" s="12"/>
      <c r="P13" s="12"/>
      <c r="S13" s="298" t="str">
        <f t="shared" si="4"/>
        <v>Enter data here</v>
      </c>
      <c r="T13" s="298" t="str">
        <f t="shared" si="5"/>
        <v>Use column to left</v>
      </c>
      <c r="U13" s="35" t="s">
        <v>1148</v>
      </c>
      <c r="V13" s="261" t="str">
        <f t="shared" si="2"/>
        <v>Unfilled fields to left</v>
      </c>
      <c r="X13" s="25"/>
      <c r="Y13" s="12"/>
    </row>
    <row r="14" spans="1:29">
      <c r="B14" s="184" t="s">
        <v>1099</v>
      </c>
      <c r="C14" s="182" t="s">
        <v>1149</v>
      </c>
      <c r="D14" s="177" t="s">
        <v>425</v>
      </c>
      <c r="E14" s="35"/>
      <c r="F14" s="21"/>
      <c r="G14" s="21"/>
      <c r="H14" s="20"/>
      <c r="I14" s="36"/>
      <c r="J14" s="298"/>
      <c r="K14" s="300"/>
      <c r="L14" s="300"/>
      <c r="M14" s="300"/>
      <c r="N14" s="240">
        <f t="shared" si="0"/>
        <v>0</v>
      </c>
      <c r="O14" s="12"/>
      <c r="P14" s="12"/>
      <c r="S14" s="298" t="str">
        <f t="shared" si="4"/>
        <v>Enter data here</v>
      </c>
      <c r="T14" s="298" t="str">
        <f t="shared" si="5"/>
        <v>Use column to left</v>
      </c>
      <c r="U14" s="35" t="s">
        <v>1148</v>
      </c>
      <c r="V14" s="261" t="str">
        <f t="shared" si="2"/>
        <v>Unfilled fields to left</v>
      </c>
      <c r="X14" s="25"/>
      <c r="Y14" s="12"/>
    </row>
    <row r="15" spans="1:29">
      <c r="B15" s="184" t="s">
        <v>1225</v>
      </c>
      <c r="C15" s="182" t="s">
        <v>1103</v>
      </c>
      <c r="D15" s="177" t="s">
        <v>425</v>
      </c>
      <c r="E15" s="35"/>
      <c r="F15" s="21"/>
      <c r="G15" s="21"/>
      <c r="H15" s="20"/>
      <c r="I15" s="36"/>
      <c r="J15" s="298"/>
      <c r="K15" s="300"/>
      <c r="L15" s="300"/>
      <c r="M15" s="300"/>
      <c r="N15" s="240">
        <f t="shared" si="0"/>
        <v>0</v>
      </c>
      <c r="O15" s="12"/>
      <c r="P15" s="12"/>
      <c r="S15" s="298" t="str">
        <f t="shared" si="4"/>
        <v>Enter data here</v>
      </c>
      <c r="T15" s="298" t="str">
        <f t="shared" si="5"/>
        <v>Use column to left</v>
      </c>
      <c r="U15" s="35" t="s">
        <v>1148</v>
      </c>
      <c r="V15" s="261" t="str">
        <f t="shared" si="2"/>
        <v>Unfilled fields to left</v>
      </c>
      <c r="X15" s="25"/>
      <c r="Y15" s="12"/>
    </row>
    <row r="16" spans="1:29">
      <c r="B16" s="184" t="s">
        <v>1225</v>
      </c>
      <c r="C16" s="182" t="s">
        <v>1261</v>
      </c>
      <c r="D16" s="177" t="s">
        <v>425</v>
      </c>
      <c r="E16" s="35"/>
      <c r="F16" s="21"/>
      <c r="G16" s="21"/>
      <c r="H16" s="20"/>
      <c r="I16" s="36"/>
      <c r="J16" s="298"/>
      <c r="K16" s="300"/>
      <c r="L16" s="300"/>
      <c r="M16" s="300"/>
      <c r="N16" s="240">
        <f t="shared" si="0"/>
        <v>0</v>
      </c>
      <c r="O16" s="12"/>
      <c r="P16" s="12"/>
      <c r="S16" s="298" t="str">
        <f t="shared" si="4"/>
        <v>Enter data here</v>
      </c>
      <c r="T16" s="298" t="str">
        <f t="shared" si="5"/>
        <v>Use column to left</v>
      </c>
      <c r="U16" s="35" t="s">
        <v>1148</v>
      </c>
      <c r="V16" s="261" t="str">
        <f t="shared" si="2"/>
        <v>Unfilled fields to left</v>
      </c>
      <c r="X16" s="25"/>
      <c r="Y16" s="12"/>
    </row>
    <row r="17" spans="2:29">
      <c r="B17" s="16"/>
      <c r="C17" s="15"/>
      <c r="D17" s="177"/>
      <c r="E17" s="35"/>
      <c r="F17" s="21"/>
      <c r="G17" s="21"/>
      <c r="H17" s="20"/>
      <c r="I17" s="36"/>
      <c r="J17" s="298"/>
      <c r="K17" s="300"/>
      <c r="L17" s="300"/>
      <c r="M17" s="300"/>
      <c r="N17" s="240">
        <f t="shared" si="0"/>
        <v>0</v>
      </c>
      <c r="O17" s="12"/>
      <c r="P17" s="12"/>
      <c r="S17" s="298" t="str">
        <f t="shared" si="4"/>
        <v/>
      </c>
      <c r="T17" s="298" t="str">
        <f t="shared" si="5"/>
        <v/>
      </c>
      <c r="U17" s="35"/>
      <c r="V17" s="261" t="str">
        <f t="shared" si="2"/>
        <v>Unfilled fields to left</v>
      </c>
      <c r="X17" s="25"/>
      <c r="Y17" s="12"/>
    </row>
    <row r="18" spans="2:29">
      <c r="C18" s="17"/>
      <c r="D18" s="17"/>
      <c r="E18" s="502"/>
      <c r="F18" s="26"/>
      <c r="G18" s="27"/>
      <c r="H18" s="22"/>
      <c r="I18" s="22"/>
      <c r="J18" s="41"/>
      <c r="K18" s="41"/>
      <c r="L18" s="41"/>
      <c r="M18" s="41"/>
      <c r="N18" s="41"/>
      <c r="O18" s="12"/>
      <c r="P18" s="12"/>
      <c r="S18" s="41"/>
      <c r="T18" s="41"/>
      <c r="U18" s="41"/>
      <c r="V18" s="138"/>
      <c r="X18" s="27"/>
      <c r="Y18" s="12"/>
    </row>
    <row r="19" spans="2:29">
      <c r="B19" s="144" t="s">
        <v>1151</v>
      </c>
      <c r="C19" s="144"/>
      <c r="D19" s="144"/>
      <c r="E19" s="299"/>
      <c r="F19" s="144"/>
      <c r="G19" s="144"/>
      <c r="H19" s="144"/>
      <c r="I19" s="144"/>
      <c r="J19" s="299"/>
      <c r="K19" s="299"/>
      <c r="L19" s="299"/>
      <c r="M19" s="299"/>
      <c r="N19" s="299"/>
      <c r="R19"/>
      <c r="S19" s="40"/>
      <c r="T19" s="40"/>
      <c r="U19" s="40"/>
      <c r="V19" s="139"/>
      <c r="W19" s="19"/>
      <c r="X19" s="19"/>
      <c r="Y19" s="19"/>
      <c r="Z19" s="19"/>
      <c r="AA19" s="19"/>
      <c r="AB19" s="19"/>
      <c r="AC19" s="19"/>
    </row>
    <row r="20" spans="2:29">
      <c r="B20" s="16" t="s">
        <v>1152</v>
      </c>
      <c r="C20" s="182" t="s">
        <v>1344</v>
      </c>
      <c r="D20" s="177" t="s">
        <v>425</v>
      </c>
      <c r="E20" s="35"/>
      <c r="F20" s="21"/>
      <c r="G20" s="21"/>
      <c r="H20" s="21"/>
      <c r="I20" s="21"/>
      <c r="J20" s="298"/>
      <c r="K20" s="304"/>
      <c r="L20" s="304"/>
      <c r="M20" s="304"/>
      <c r="N20" s="240">
        <f t="shared" ref="N20:N31" si="6">IF($D20="MWh/yr (LHV)",$E20,$J20*$E20*(1-$L20)/Conversion_kWh_to_MJ)</f>
        <v>0</v>
      </c>
      <c r="O20" s="244" t="str">
        <f>IFERROR(N20/N8,"")</f>
        <v/>
      </c>
      <c r="P20" s="12"/>
      <c r="Q20" s="511">
        <f>IF($D20="MWh/yr (LHV)",$E20,$E20*MAX(0, $J20*(1-$L20)-2.441*$L20)/Conversion_kWh_to_MJ)</f>
        <v>0</v>
      </c>
      <c r="R20" s="243" t="str">
        <f>IFERROR(Q20/(SUM($Q$20:$Q$22)),"")</f>
        <v/>
      </c>
      <c r="S20" s="42"/>
      <c r="T20" s="42"/>
      <c r="U20" s="42"/>
      <c r="V20" s="140"/>
      <c r="X20" s="21"/>
      <c r="Y20" s="12"/>
    </row>
    <row r="21" spans="2:29" s="14" customFormat="1">
      <c r="B21" s="184" t="s">
        <v>1056</v>
      </c>
      <c r="C21" s="182" t="s">
        <v>1154</v>
      </c>
      <c r="D21" s="177" t="s">
        <v>425</v>
      </c>
      <c r="E21" s="35"/>
      <c r="F21" s="21"/>
      <c r="G21" s="21"/>
      <c r="H21" s="20"/>
      <c r="I21" s="33"/>
      <c r="J21" s="298"/>
      <c r="K21" s="300"/>
      <c r="L21" s="300"/>
      <c r="M21" s="300"/>
      <c r="N21" s="240">
        <f t="shared" si="6"/>
        <v>0</v>
      </c>
      <c r="O21" s="12"/>
      <c r="P21" s="12"/>
      <c r="Q21" s="511">
        <f>IF($D21="MWh/yr (LHV)",$E21,$E21*MAX(0, $J21*(1-$L21)-2.441*$L21)/Conversion_kWh_to_MJ)</f>
        <v>0</v>
      </c>
      <c r="R21" s="243" t="str">
        <f t="shared" ref="R21:R22" si="7">IFERROR(Q21/(SUM($Q$20:$Q$22)),"")</f>
        <v/>
      </c>
      <c r="S21" s="42"/>
      <c r="T21" s="42"/>
      <c r="U21" s="107"/>
      <c r="V21" s="12"/>
      <c r="W21" s="23"/>
      <c r="X21" s="21"/>
      <c r="Y21" s="23"/>
      <c r="Z21" s="42"/>
      <c r="AB21" s="12"/>
    </row>
    <row r="22" spans="2:29" s="14" customFormat="1">
      <c r="B22" s="184" t="s">
        <v>1056</v>
      </c>
      <c r="C22" s="182" t="s">
        <v>1155</v>
      </c>
      <c r="D22" s="177" t="s">
        <v>425</v>
      </c>
      <c r="E22" s="35"/>
      <c r="F22" s="21"/>
      <c r="G22" s="21"/>
      <c r="H22" s="20"/>
      <c r="I22" s="20"/>
      <c r="J22" s="300"/>
      <c r="K22" s="300"/>
      <c r="L22" s="300"/>
      <c r="M22" s="300"/>
      <c r="N22" s="240">
        <f t="shared" si="6"/>
        <v>0</v>
      </c>
      <c r="O22" s="12"/>
      <c r="P22" s="12"/>
      <c r="Q22" s="511">
        <f>IF($D22="MWh/yr (LHV)",$E22,$E22*MAX(0, $J22*(1-$L22)-2.441*$L22)/Conversion_kWh_to_MJ)</f>
        <v>0</v>
      </c>
      <c r="R22" s="243" t="str">
        <f t="shared" si="7"/>
        <v/>
      </c>
      <c r="S22" s="42"/>
      <c r="T22" s="42"/>
      <c r="U22" s="107"/>
      <c r="V22" s="12"/>
      <c r="W22" s="23"/>
      <c r="X22" s="21"/>
      <c r="Y22" s="23"/>
      <c r="Z22" s="42"/>
      <c r="AB22" s="12"/>
    </row>
    <row r="23" spans="2:29" s="14" customFormat="1">
      <c r="B23" s="184" t="s">
        <v>1061</v>
      </c>
      <c r="C23" s="182" t="s">
        <v>1156</v>
      </c>
      <c r="D23" s="177" t="s">
        <v>425</v>
      </c>
      <c r="E23" s="35"/>
      <c r="F23" s="21"/>
      <c r="G23" s="21"/>
      <c r="H23" s="20"/>
      <c r="I23" s="20"/>
      <c r="J23" s="300"/>
      <c r="K23" s="300"/>
      <c r="L23" s="300"/>
      <c r="M23" s="300"/>
      <c r="N23" s="240">
        <f t="shared" si="6"/>
        <v>0</v>
      </c>
      <c r="O23" s="12"/>
      <c r="P23" s="12"/>
      <c r="Q23" s="12"/>
      <c r="R23" s="12"/>
      <c r="S23" s="107"/>
      <c r="T23" s="107"/>
      <c r="U23" s="107"/>
      <c r="V23" s="12"/>
      <c r="W23" s="23"/>
      <c r="X23" s="21"/>
      <c r="Y23" s="23"/>
      <c r="Z23" s="42"/>
      <c r="AB23" s="12"/>
    </row>
    <row r="24" spans="2:29" s="14" customFormat="1">
      <c r="B24" s="184" t="s">
        <v>1061</v>
      </c>
      <c r="C24" s="182" t="s">
        <v>1063</v>
      </c>
      <c r="D24" s="177" t="s">
        <v>425</v>
      </c>
      <c r="E24" s="35"/>
      <c r="F24" s="21"/>
      <c r="G24" s="21"/>
      <c r="H24" s="20"/>
      <c r="I24" s="20"/>
      <c r="J24" s="300"/>
      <c r="K24" s="300"/>
      <c r="L24" s="300"/>
      <c r="M24" s="300"/>
      <c r="N24" s="240">
        <f t="shared" si="6"/>
        <v>0</v>
      </c>
      <c r="O24" s="12"/>
      <c r="P24" s="12"/>
      <c r="Q24" s="12"/>
      <c r="R24" s="12"/>
      <c r="S24" s="107"/>
      <c r="T24" s="107"/>
      <c r="U24" s="107"/>
      <c r="V24" s="12"/>
      <c r="W24" s="23"/>
      <c r="X24" s="21"/>
      <c r="Y24" s="23"/>
      <c r="Z24" s="42"/>
      <c r="AB24" s="12"/>
    </row>
    <row r="25" spans="2:29" s="14" customFormat="1">
      <c r="B25" s="184" t="s">
        <v>1064</v>
      </c>
      <c r="C25" s="182" t="s">
        <v>1065</v>
      </c>
      <c r="D25" s="177" t="s">
        <v>425</v>
      </c>
      <c r="E25" s="35"/>
      <c r="F25" s="21"/>
      <c r="G25" s="21"/>
      <c r="H25" s="20"/>
      <c r="I25" s="36"/>
      <c r="J25" s="298"/>
      <c r="K25" s="300"/>
      <c r="L25" s="300"/>
      <c r="M25" s="300"/>
      <c r="N25" s="240">
        <f t="shared" si="6"/>
        <v>0</v>
      </c>
      <c r="O25" s="12"/>
      <c r="P25" s="12"/>
      <c r="Q25" s="12"/>
      <c r="R25" s="12"/>
      <c r="S25" s="107"/>
      <c r="T25" s="107"/>
      <c r="U25" s="107"/>
      <c r="V25" s="12"/>
      <c r="X25" s="21"/>
    </row>
    <row r="26" spans="2:29" s="14" customFormat="1">
      <c r="B26" s="184" t="s">
        <v>1064</v>
      </c>
      <c r="C26" s="182" t="s">
        <v>1066</v>
      </c>
      <c r="D26" s="177" t="s">
        <v>425</v>
      </c>
      <c r="E26" s="35"/>
      <c r="F26" s="21"/>
      <c r="G26" s="21"/>
      <c r="H26" s="20"/>
      <c r="I26" s="36"/>
      <c r="J26" s="298"/>
      <c r="K26" s="300"/>
      <c r="L26" s="300"/>
      <c r="M26" s="300"/>
      <c r="N26" s="240">
        <f t="shared" si="6"/>
        <v>0</v>
      </c>
      <c r="O26" s="12"/>
      <c r="P26" s="12"/>
      <c r="Q26" s="12"/>
      <c r="R26" s="12"/>
      <c r="S26" s="107"/>
      <c r="T26" s="107"/>
      <c r="U26" s="107"/>
      <c r="V26" s="12"/>
      <c r="X26" s="21"/>
    </row>
    <row r="27" spans="2:29" s="14" customFormat="1">
      <c r="B27" s="184" t="s">
        <v>1105</v>
      </c>
      <c r="C27" s="182" t="s">
        <v>1230</v>
      </c>
      <c r="D27" s="177" t="s">
        <v>425</v>
      </c>
      <c r="E27" s="35"/>
      <c r="F27" s="34"/>
      <c r="G27" s="21"/>
      <c r="H27" s="20"/>
      <c r="I27" s="36"/>
      <c r="J27" s="298"/>
      <c r="K27" s="300"/>
      <c r="L27" s="300"/>
      <c r="M27" s="300"/>
      <c r="N27" s="240">
        <f t="shared" si="6"/>
        <v>0</v>
      </c>
      <c r="O27" s="12"/>
      <c r="P27" s="12"/>
      <c r="Q27" s="12"/>
      <c r="R27" s="12"/>
      <c r="S27" s="35">
        <v>1000</v>
      </c>
      <c r="T27" s="514"/>
      <c r="U27" s="35" t="s">
        <v>1166</v>
      </c>
      <c r="V27" s="261" t="str">
        <f>IFERROR(IF(D27="tonnes/yr", $S27*$E27/($N$20*3.6), $T27*$E27*3.6/($N$20*3.6)), "Unfilled fields to left")</f>
        <v>Unfilled fields to left</v>
      </c>
      <c r="X27" s="21"/>
    </row>
    <row r="28" spans="2:29" s="14" customFormat="1">
      <c r="B28" s="184" t="s">
        <v>1161</v>
      </c>
      <c r="C28" s="182" t="s">
        <v>1121</v>
      </c>
      <c r="D28" s="177" t="s">
        <v>425</v>
      </c>
      <c r="E28" s="35"/>
      <c r="F28" s="34"/>
      <c r="G28" s="21"/>
      <c r="H28" s="20"/>
      <c r="I28" s="36"/>
      <c r="J28" s="298"/>
      <c r="K28" s="300"/>
      <c r="L28" s="300"/>
      <c r="M28" s="300"/>
      <c r="N28" s="240">
        <f t="shared" si="6"/>
        <v>0</v>
      </c>
      <c r="O28" s="12"/>
      <c r="P28" s="12"/>
      <c r="Q28" s="12"/>
      <c r="R28" s="12"/>
      <c r="S28" s="35">
        <v>28000</v>
      </c>
      <c r="T28" s="514"/>
      <c r="U28" s="35" t="s">
        <v>1107</v>
      </c>
      <c r="V28" s="261" t="str">
        <f>IFERROR(IF(D28="tonnes/yr", $S28*$E28/($N$20*3.6), $T28*$E28*3.6/($N$20*3.6)), "Unfilled fields to left")</f>
        <v>Unfilled fields to left</v>
      </c>
      <c r="X28" s="21"/>
    </row>
    <row r="29" spans="2:29" s="14" customFormat="1">
      <c r="B29" s="184" t="s">
        <v>1161</v>
      </c>
      <c r="C29" s="182" t="s">
        <v>1123</v>
      </c>
      <c r="D29" s="177" t="s">
        <v>425</v>
      </c>
      <c r="E29" s="35"/>
      <c r="F29" s="21"/>
      <c r="G29" s="21"/>
      <c r="H29" s="20"/>
      <c r="I29" s="36"/>
      <c r="J29" s="298"/>
      <c r="K29" s="300"/>
      <c r="L29" s="300"/>
      <c r="M29" s="300"/>
      <c r="N29" s="240">
        <f t="shared" si="6"/>
        <v>0</v>
      </c>
      <c r="O29" s="12"/>
      <c r="P29" s="12"/>
      <c r="Q29" s="12"/>
      <c r="R29" s="12"/>
      <c r="S29" s="35">
        <v>265000</v>
      </c>
      <c r="T29" s="514"/>
      <c r="U29" s="35" t="s">
        <v>1107</v>
      </c>
      <c r="V29" s="261" t="str">
        <f>IFERROR(IF(D29="tonnes/yr", $S29*$E29/($N$20*3.6), $T29*$E29*3.6/($N$20*3.6)), "Unfilled fields to left")</f>
        <v>Unfilled fields to left</v>
      </c>
      <c r="X29" s="21"/>
    </row>
    <row r="30" spans="2:29" s="14" customFormat="1">
      <c r="B30" s="16"/>
      <c r="C30" s="15"/>
      <c r="D30" s="177"/>
      <c r="E30" s="35"/>
      <c r="F30" s="21"/>
      <c r="G30" s="21"/>
      <c r="H30" s="20"/>
      <c r="I30" s="36"/>
      <c r="J30" s="298"/>
      <c r="K30" s="300"/>
      <c r="L30" s="300"/>
      <c r="M30" s="300"/>
      <c r="N30" s="240">
        <f t="shared" si="6"/>
        <v>0</v>
      </c>
      <c r="O30" s="12"/>
      <c r="P30" s="12"/>
      <c r="Q30" s="12"/>
      <c r="R30" s="12"/>
      <c r="S30" s="298" t="str">
        <f t="shared" ref="S30:S31" si="8">IF(B30="", "", IF(D30="MWh/yr (LHV)", "Use column to right", "Enter data here"))</f>
        <v/>
      </c>
      <c r="T30" s="473"/>
      <c r="U30" s="300"/>
      <c r="V30" s="261" t="str">
        <f>IFERROR(IF(D30="tonnes/yr", $S30*$E30/($N$20*3.6), $T30*$E30*3.6/($N$20*3.6)), "Unfilled fields to left")</f>
        <v>Unfilled fields to left</v>
      </c>
      <c r="X30" s="21"/>
    </row>
    <row r="31" spans="2:29" s="14" customFormat="1">
      <c r="B31" s="16"/>
      <c r="C31" s="15"/>
      <c r="D31" s="177"/>
      <c r="E31" s="35"/>
      <c r="F31" s="21"/>
      <c r="G31" s="21"/>
      <c r="H31" s="20"/>
      <c r="I31" s="36"/>
      <c r="J31" s="298"/>
      <c r="K31" s="300"/>
      <c r="L31" s="300"/>
      <c r="M31" s="300"/>
      <c r="N31" s="240">
        <f t="shared" si="6"/>
        <v>0</v>
      </c>
      <c r="O31" s="12"/>
      <c r="P31" s="12"/>
      <c r="Q31" s="12"/>
      <c r="R31" s="12"/>
      <c r="S31" s="298" t="str">
        <f t="shared" si="8"/>
        <v/>
      </c>
      <c r="T31" s="473"/>
      <c r="U31" s="300"/>
      <c r="V31" s="261" t="str">
        <f>IFERROR(IF(D31="tonnes/yr", $S31*$E31/($N$20*3.6), $T31*$E31*3.6/($N$20*3.6)), "Unfilled fields to left")</f>
        <v>Unfilled fields to left</v>
      </c>
      <c r="X31" s="21"/>
    </row>
    <row r="32" spans="2:29">
      <c r="C32" s="17"/>
      <c r="D32" s="17"/>
      <c r="E32" s="139"/>
      <c r="F32" s="17"/>
      <c r="H32" s="18"/>
      <c r="I32" s="18"/>
      <c r="J32" s="40"/>
      <c r="K32" s="40"/>
      <c r="L32" s="40"/>
      <c r="M32" s="40"/>
      <c r="N32" s="40"/>
      <c r="O32" s="12"/>
      <c r="P32" s="12"/>
      <c r="S32" s="40"/>
      <c r="T32" s="40"/>
      <c r="U32" s="40"/>
      <c r="V32" s="139"/>
      <c r="Y32" s="12"/>
    </row>
    <row r="33" spans="2:25">
      <c r="D33" s="17"/>
      <c r="E33" s="139"/>
      <c r="J33" s="39"/>
      <c r="K33" s="39"/>
      <c r="L33" s="39"/>
      <c r="M33" s="39"/>
      <c r="O33" s="12"/>
      <c r="P33" s="12"/>
      <c r="S33" s="39"/>
      <c r="T33" s="39"/>
      <c r="U33" s="38" t="s">
        <v>1162</v>
      </c>
      <c r="V33" s="169">
        <f>SUM(V7:V32)</f>
        <v>0</v>
      </c>
      <c r="Y33" s="12"/>
    </row>
    <row r="34" spans="2:25">
      <c r="B34" s="144" t="s">
        <v>133</v>
      </c>
      <c r="C34" s="158"/>
      <c r="D34" s="158"/>
      <c r="E34" s="495"/>
      <c r="I34" s="12"/>
      <c r="J34" s="107"/>
      <c r="K34" s="107"/>
      <c r="L34" s="107"/>
      <c r="M34" s="107"/>
      <c r="N34" s="107"/>
      <c r="O34" s="12"/>
      <c r="P34" s="12"/>
      <c r="S34" s="107"/>
      <c r="T34" s="107"/>
      <c r="U34" s="107"/>
      <c r="V34" s="107"/>
      <c r="Y34" s="12"/>
    </row>
    <row r="35" spans="2:25">
      <c r="B35" s="16" t="s">
        <v>1134</v>
      </c>
      <c r="C35" s="15" t="s">
        <v>1135</v>
      </c>
      <c r="D35" s="15" t="s">
        <v>1136</v>
      </c>
      <c r="E35" s="497"/>
      <c r="G35" s="19"/>
      <c r="H35" s="12"/>
      <c r="I35" s="12"/>
      <c r="J35" s="107"/>
      <c r="K35" s="107"/>
      <c r="L35" s="107"/>
      <c r="M35" s="107"/>
      <c r="N35" s="107"/>
      <c r="O35" s="12"/>
      <c r="P35" s="12"/>
      <c r="S35" s="107"/>
      <c r="T35" s="107"/>
      <c r="U35" s="107"/>
      <c r="V35" s="12"/>
      <c r="X35" s="25"/>
      <c r="Y35" s="12"/>
    </row>
    <row r="36" spans="2:25">
      <c r="B36" s="16" t="s">
        <v>1167</v>
      </c>
      <c r="C36" s="15" t="s">
        <v>1168</v>
      </c>
      <c r="D36" s="15" t="s">
        <v>300</v>
      </c>
      <c r="E36" s="497"/>
      <c r="H36" s="12"/>
      <c r="I36" s="12"/>
      <c r="J36" s="107"/>
      <c r="K36" s="107"/>
      <c r="L36" s="107"/>
      <c r="M36" s="107"/>
      <c r="N36" s="107"/>
      <c r="O36" s="12"/>
      <c r="P36" s="12"/>
      <c r="S36" s="107"/>
      <c r="T36" s="107"/>
      <c r="U36" s="107"/>
      <c r="V36" s="12"/>
      <c r="X36" s="25"/>
      <c r="Y36" s="12"/>
    </row>
    <row r="37" spans="2:25">
      <c r="B37" s="16"/>
      <c r="C37" s="15"/>
      <c r="D37" s="15"/>
      <c r="E37" s="503"/>
      <c r="J37" s="39"/>
      <c r="K37" s="39"/>
      <c r="L37" s="39"/>
      <c r="M37" s="39"/>
      <c r="S37" s="39"/>
      <c r="T37" s="39"/>
      <c r="U37" s="39"/>
      <c r="V37" s="107"/>
      <c r="X37" s="25"/>
    </row>
    <row r="38" spans="2:25">
      <c r="B38" s="16"/>
      <c r="C38" s="15"/>
      <c r="D38" s="15"/>
      <c r="E38" s="503"/>
      <c r="J38" s="39"/>
      <c r="K38" s="39"/>
      <c r="L38" s="39"/>
      <c r="M38" s="39"/>
      <c r="S38" s="39"/>
      <c r="T38" s="39"/>
      <c r="U38" s="39"/>
      <c r="V38" s="107"/>
      <c r="X38" s="25"/>
    </row>
    <row r="39" spans="2:25">
      <c r="E39" s="107"/>
      <c r="J39" s="39"/>
      <c r="K39" s="39"/>
      <c r="L39" s="39"/>
      <c r="M39" s="39"/>
      <c r="S39" s="39"/>
      <c r="T39" s="39"/>
      <c r="U39" s="39"/>
      <c r="V39" s="107"/>
    </row>
    <row r="40" spans="2:25">
      <c r="E40" s="107"/>
      <c r="J40" s="39"/>
      <c r="K40" s="39"/>
      <c r="L40" s="39"/>
      <c r="M40" s="39"/>
      <c r="S40" s="39"/>
      <c r="T40" s="39"/>
      <c r="U40" s="39"/>
      <c r="V40" s="107"/>
    </row>
    <row r="41" spans="2:25">
      <c r="E41" s="107"/>
      <c r="J41" s="39"/>
      <c r="K41" s="39"/>
      <c r="L41" s="39"/>
      <c r="M41" s="39"/>
      <c r="S41" s="39"/>
      <c r="T41" s="39"/>
      <c r="U41" s="39"/>
      <c r="V41" s="107"/>
    </row>
    <row r="42" spans="2:25">
      <c r="E42" s="107"/>
      <c r="J42" s="39"/>
      <c r="K42" s="39"/>
      <c r="L42" s="39"/>
      <c r="M42" s="39"/>
      <c r="S42" s="39"/>
      <c r="T42" s="39"/>
      <c r="U42" s="39"/>
      <c r="V42" s="107"/>
    </row>
    <row r="43" spans="2:25">
      <c r="E43" s="107"/>
      <c r="J43" s="39"/>
      <c r="K43" s="39"/>
      <c r="L43" s="39"/>
      <c r="M43" s="39"/>
      <c r="S43" s="39"/>
      <c r="T43" s="39"/>
      <c r="U43" s="39"/>
      <c r="V43" s="107"/>
    </row>
    <row r="44" spans="2:25">
      <c r="E44" s="107"/>
      <c r="J44" s="39"/>
      <c r="K44" s="39"/>
      <c r="L44" s="39"/>
      <c r="M44" s="39"/>
      <c r="S44" s="39"/>
      <c r="T44" s="39"/>
      <c r="U44" s="39"/>
      <c r="V44" s="107"/>
    </row>
    <row r="45" spans="2:25">
      <c r="E45" s="107"/>
      <c r="J45" s="39"/>
      <c r="K45" s="39"/>
      <c r="L45" s="39"/>
      <c r="M45" s="39"/>
      <c r="S45" s="39"/>
      <c r="T45" s="39"/>
      <c r="U45" s="39"/>
      <c r="V45" s="107"/>
    </row>
    <row r="46" spans="2:25">
      <c r="E46" s="107"/>
      <c r="J46" s="39"/>
      <c r="K46" s="39"/>
      <c r="L46" s="39"/>
      <c r="M46" s="39"/>
      <c r="S46" s="39"/>
      <c r="T46" s="39"/>
      <c r="U46" s="39"/>
      <c r="V46" s="107"/>
    </row>
    <row r="47" spans="2:25">
      <c r="E47" s="107"/>
      <c r="J47" s="39"/>
      <c r="K47" s="39"/>
      <c r="L47" s="39"/>
      <c r="M47" s="39"/>
      <c r="S47" s="39"/>
      <c r="T47" s="39"/>
      <c r="U47" s="39"/>
      <c r="V47" s="107"/>
    </row>
    <row r="48" spans="2:25">
      <c r="E48" s="107"/>
      <c r="J48" s="39"/>
      <c r="K48" s="39"/>
      <c r="L48" s="39"/>
      <c r="M48" s="39"/>
      <c r="S48" s="39"/>
      <c r="T48" s="39"/>
      <c r="U48" s="39"/>
      <c r="V48" s="107"/>
    </row>
    <row r="49" spans="5:22">
      <c r="E49" s="107"/>
      <c r="J49" s="39"/>
      <c r="K49" s="39"/>
      <c r="L49" s="39"/>
      <c r="M49" s="39"/>
      <c r="S49" s="39"/>
      <c r="T49" s="39"/>
      <c r="U49" s="39"/>
      <c r="V49" s="107"/>
    </row>
    <row r="50" spans="5:22">
      <c r="E50" s="107"/>
      <c r="J50" s="39"/>
      <c r="K50" s="39"/>
      <c r="L50" s="39"/>
      <c r="M50" s="39"/>
      <c r="S50" s="39"/>
      <c r="T50" s="39"/>
      <c r="U50" s="39"/>
      <c r="V50" s="107"/>
    </row>
    <row r="51" spans="5:22">
      <c r="E51" s="107"/>
      <c r="J51" s="39"/>
      <c r="K51" s="39"/>
      <c r="L51" s="39"/>
      <c r="M51" s="39"/>
      <c r="S51" s="39"/>
      <c r="T51" s="39"/>
      <c r="U51" s="39"/>
      <c r="V51" s="107"/>
    </row>
    <row r="52" spans="5:22">
      <c r="E52" s="107"/>
      <c r="J52" s="39"/>
      <c r="K52" s="39"/>
      <c r="L52" s="39"/>
      <c r="M52" s="39"/>
      <c r="S52" s="39"/>
      <c r="T52" s="39"/>
      <c r="U52" s="39"/>
      <c r="V52" s="107"/>
    </row>
    <row r="53" spans="5:22">
      <c r="E53" s="107"/>
      <c r="J53" s="39"/>
      <c r="K53" s="39"/>
      <c r="L53" s="39"/>
      <c r="M53" s="39"/>
      <c r="S53" s="39"/>
      <c r="T53" s="39"/>
      <c r="U53" s="39"/>
      <c r="V53" s="107"/>
    </row>
    <row r="54" spans="5:22">
      <c r="E54" s="107"/>
      <c r="J54" s="39"/>
      <c r="K54" s="39"/>
      <c r="L54" s="39"/>
      <c r="M54" s="39"/>
      <c r="S54" s="39"/>
      <c r="T54" s="39"/>
      <c r="U54" s="39"/>
      <c r="V54" s="107"/>
    </row>
    <row r="55" spans="5:22">
      <c r="E55" s="107"/>
      <c r="J55" s="39"/>
      <c r="K55" s="39"/>
      <c r="L55" s="39"/>
      <c r="M55" s="39"/>
      <c r="S55" s="39"/>
      <c r="T55" s="39"/>
      <c r="U55" s="39"/>
      <c r="V55" s="107"/>
    </row>
    <row r="56" spans="5:22">
      <c r="E56" s="107"/>
      <c r="J56" s="39"/>
      <c r="K56" s="39"/>
      <c r="L56" s="39"/>
      <c r="M56" s="39"/>
      <c r="S56" s="39"/>
      <c r="T56" s="39"/>
      <c r="U56" s="39"/>
      <c r="V56" s="107"/>
    </row>
    <row r="57" spans="5:22">
      <c r="E57" s="107"/>
      <c r="J57" s="39"/>
      <c r="K57" s="39"/>
      <c r="L57" s="39"/>
      <c r="M57" s="39"/>
      <c r="S57" s="39"/>
      <c r="T57" s="39"/>
      <c r="U57" s="39"/>
      <c r="V57" s="107"/>
    </row>
    <row r="58" spans="5:22">
      <c r="E58" s="107"/>
      <c r="J58" s="39"/>
      <c r="K58" s="39"/>
      <c r="L58" s="39"/>
      <c r="M58" s="39"/>
      <c r="S58" s="39"/>
      <c r="T58" s="39"/>
      <c r="U58" s="39"/>
      <c r="V58" s="107"/>
    </row>
    <row r="59" spans="5:22">
      <c r="E59" s="107"/>
      <c r="J59" s="39"/>
      <c r="K59" s="39"/>
      <c r="L59" s="39"/>
      <c r="M59" s="39"/>
      <c r="S59" s="39"/>
      <c r="T59" s="39"/>
      <c r="U59" s="39"/>
      <c r="V59" s="107"/>
    </row>
    <row r="60" spans="5:22">
      <c r="E60" s="107"/>
      <c r="J60" s="39"/>
      <c r="K60" s="39"/>
      <c r="L60" s="39"/>
      <c r="M60" s="39"/>
      <c r="S60" s="39"/>
      <c r="T60" s="39"/>
      <c r="U60" s="39"/>
      <c r="V60" s="107"/>
    </row>
    <row r="61" spans="5:22">
      <c r="E61" s="107"/>
      <c r="J61" s="39"/>
      <c r="K61" s="39"/>
      <c r="L61" s="39"/>
      <c r="M61" s="39"/>
      <c r="S61" s="39"/>
      <c r="T61" s="39"/>
      <c r="U61" s="39"/>
      <c r="V61" s="107"/>
    </row>
    <row r="62" spans="5:22">
      <c r="E62" s="107"/>
      <c r="J62" s="39"/>
      <c r="K62" s="39"/>
      <c r="L62" s="39"/>
      <c r="M62" s="39"/>
      <c r="S62" s="39"/>
      <c r="T62" s="39"/>
      <c r="U62" s="39"/>
      <c r="V62" s="107"/>
    </row>
    <row r="63" spans="5:22">
      <c r="E63" s="107"/>
      <c r="J63" s="39"/>
      <c r="K63" s="39"/>
      <c r="L63" s="39"/>
      <c r="M63" s="39"/>
      <c r="S63" s="39"/>
      <c r="T63" s="39"/>
      <c r="U63" s="39"/>
      <c r="V63" s="107"/>
    </row>
    <row r="64" spans="5:22">
      <c r="E64" s="107"/>
      <c r="J64" s="39"/>
      <c r="K64" s="39"/>
      <c r="L64" s="39"/>
      <c r="M64" s="39"/>
      <c r="S64" s="39"/>
      <c r="T64" s="39"/>
      <c r="U64" s="39"/>
      <c r="V64" s="107"/>
    </row>
    <row r="65" spans="5:22">
      <c r="E65" s="107"/>
      <c r="J65" s="39"/>
      <c r="K65" s="39"/>
      <c r="L65" s="39"/>
      <c r="M65" s="39"/>
      <c r="S65" s="39"/>
      <c r="T65" s="39"/>
      <c r="U65" s="39"/>
      <c r="V65" s="107"/>
    </row>
    <row r="66" spans="5:22">
      <c r="E66" s="107"/>
      <c r="J66" s="39"/>
      <c r="K66" s="39"/>
      <c r="L66" s="39"/>
      <c r="M66" s="39"/>
      <c r="S66" s="39"/>
      <c r="T66" s="39"/>
      <c r="U66" s="39"/>
      <c r="V66" s="107"/>
    </row>
    <row r="67" spans="5:22">
      <c r="E67" s="107"/>
      <c r="J67" s="39"/>
      <c r="K67" s="39"/>
      <c r="L67" s="39"/>
      <c r="M67" s="39"/>
      <c r="S67" s="39"/>
      <c r="T67" s="39"/>
      <c r="U67" s="39"/>
      <c r="V67" s="107"/>
    </row>
    <row r="68" spans="5:22">
      <c r="E68" s="107"/>
      <c r="J68" s="39"/>
      <c r="K68" s="39"/>
      <c r="L68" s="39"/>
      <c r="M68" s="39"/>
      <c r="S68" s="39"/>
      <c r="T68" s="39"/>
      <c r="U68" s="39"/>
      <c r="V68" s="107"/>
    </row>
    <row r="69" spans="5:22">
      <c r="E69" s="107"/>
      <c r="J69" s="39"/>
      <c r="K69" s="39"/>
      <c r="L69" s="39"/>
      <c r="M69" s="39"/>
      <c r="S69" s="39"/>
      <c r="T69" s="39"/>
      <c r="U69" s="39"/>
      <c r="V69" s="107"/>
    </row>
    <row r="70" spans="5:22">
      <c r="E70" s="107"/>
      <c r="J70" s="39"/>
      <c r="K70" s="39"/>
      <c r="L70" s="39"/>
      <c r="M70" s="39"/>
      <c r="S70" s="39"/>
      <c r="T70" s="39"/>
      <c r="U70" s="39"/>
      <c r="V70" s="107"/>
    </row>
    <row r="71" spans="5:22">
      <c r="E71" s="107"/>
      <c r="J71" s="39"/>
      <c r="K71" s="39"/>
      <c r="L71" s="39"/>
      <c r="M71" s="39"/>
      <c r="S71" s="39"/>
      <c r="T71" s="39"/>
      <c r="U71" s="39"/>
      <c r="V71" s="107"/>
    </row>
    <row r="72" spans="5:22">
      <c r="E72" s="107"/>
      <c r="J72" s="39"/>
      <c r="K72" s="39"/>
      <c r="L72" s="39"/>
      <c r="M72" s="39"/>
      <c r="S72" s="39"/>
      <c r="T72" s="39"/>
      <c r="U72" s="39"/>
      <c r="V72" s="107"/>
    </row>
    <row r="73" spans="5:22">
      <c r="E73" s="107"/>
      <c r="J73" s="39"/>
      <c r="K73" s="39"/>
      <c r="L73" s="39"/>
      <c r="M73" s="39"/>
      <c r="S73" s="39"/>
      <c r="T73" s="39"/>
      <c r="U73" s="39"/>
      <c r="V73" s="107"/>
    </row>
    <row r="74" spans="5:22">
      <c r="E74" s="107"/>
      <c r="J74" s="39"/>
      <c r="K74" s="39"/>
      <c r="L74" s="39"/>
      <c r="M74" s="39"/>
      <c r="S74" s="39"/>
      <c r="T74" s="39"/>
      <c r="U74" s="39"/>
    </row>
    <row r="75" spans="5:22">
      <c r="E75" s="107"/>
      <c r="J75" s="39"/>
      <c r="K75" s="39"/>
      <c r="L75" s="39"/>
      <c r="M75" s="39"/>
      <c r="S75" s="39"/>
      <c r="T75" s="39"/>
      <c r="U75" s="39"/>
    </row>
    <row r="76" spans="5:22">
      <c r="E76" s="107"/>
      <c r="J76" s="39"/>
      <c r="K76" s="39"/>
      <c r="L76" s="39"/>
      <c r="M76" s="39"/>
      <c r="S76" s="39"/>
      <c r="T76" s="39"/>
      <c r="U76" s="39"/>
    </row>
    <row r="77" spans="5:22">
      <c r="E77" s="107"/>
      <c r="J77" s="39"/>
      <c r="K77" s="39"/>
      <c r="L77" s="39"/>
      <c r="M77" s="39"/>
      <c r="S77" s="39"/>
      <c r="T77" s="39"/>
      <c r="U77" s="39"/>
    </row>
    <row r="78" spans="5:22">
      <c r="E78" s="107"/>
      <c r="J78" s="39"/>
      <c r="K78" s="39"/>
      <c r="L78" s="39"/>
      <c r="M78" s="39"/>
      <c r="S78" s="39"/>
      <c r="T78" s="39"/>
      <c r="U78" s="39"/>
    </row>
    <row r="79" spans="5:22">
      <c r="E79" s="107"/>
      <c r="J79" s="39"/>
      <c r="K79" s="39"/>
      <c r="L79" s="39"/>
      <c r="M79" s="39"/>
      <c r="S79" s="39"/>
      <c r="T79" s="39"/>
      <c r="U79" s="39"/>
    </row>
    <row r="80" spans="5:22">
      <c r="E80" s="107"/>
      <c r="J80" s="39"/>
      <c r="K80" s="39"/>
      <c r="L80" s="39"/>
      <c r="M80" s="39"/>
      <c r="S80" s="39"/>
      <c r="T80" s="39"/>
      <c r="U80" s="39"/>
    </row>
    <row r="81" spans="5:21">
      <c r="E81" s="107"/>
      <c r="J81" s="39"/>
      <c r="K81" s="39"/>
      <c r="L81" s="39"/>
      <c r="M81" s="39"/>
      <c r="S81" s="39"/>
      <c r="T81" s="39"/>
      <c r="U81" s="39"/>
    </row>
    <row r="82" spans="5:21">
      <c r="E82" s="107"/>
      <c r="J82" s="39"/>
      <c r="K82" s="39"/>
      <c r="L82" s="39"/>
      <c r="M82" s="39"/>
      <c r="S82" s="39"/>
      <c r="T82" s="39"/>
      <c r="U82" s="39"/>
    </row>
    <row r="83" spans="5:21">
      <c r="E83" s="107"/>
      <c r="J83" s="39"/>
      <c r="K83" s="39"/>
      <c r="L83" s="39"/>
      <c r="M83" s="39"/>
      <c r="S83" s="39"/>
      <c r="T83" s="39"/>
      <c r="U83" s="39"/>
    </row>
    <row r="84" spans="5:21">
      <c r="E84" s="107"/>
      <c r="J84" s="39"/>
      <c r="K84" s="39"/>
      <c r="L84" s="39"/>
      <c r="M84" s="39"/>
      <c r="S84" s="39"/>
      <c r="T84" s="39"/>
      <c r="U84" s="39"/>
    </row>
    <row r="85" spans="5:21">
      <c r="E85" s="107"/>
      <c r="J85" s="39"/>
      <c r="K85" s="39"/>
      <c r="L85" s="39"/>
      <c r="M85" s="39"/>
      <c r="S85" s="39"/>
      <c r="T85" s="39"/>
      <c r="U85" s="39"/>
    </row>
    <row r="86" spans="5:21">
      <c r="E86" s="107"/>
      <c r="J86" s="39"/>
      <c r="K86" s="39"/>
      <c r="L86" s="39"/>
      <c r="M86" s="39"/>
      <c r="S86" s="39"/>
      <c r="T86" s="39"/>
      <c r="U86" s="39"/>
    </row>
    <row r="87" spans="5:21">
      <c r="E87" s="107"/>
      <c r="J87" s="39"/>
      <c r="K87" s="39"/>
      <c r="L87" s="39"/>
      <c r="M87" s="39"/>
      <c r="S87" s="39"/>
      <c r="T87" s="39"/>
      <c r="U87" s="39"/>
    </row>
    <row r="88" spans="5:21">
      <c r="E88" s="107"/>
      <c r="J88" s="39"/>
      <c r="K88" s="39"/>
      <c r="L88" s="39"/>
      <c r="M88" s="39"/>
      <c r="S88" s="39"/>
      <c r="T88" s="39"/>
      <c r="U88" s="39"/>
    </row>
    <row r="89" spans="5:21">
      <c r="E89" s="107"/>
      <c r="J89" s="39"/>
      <c r="K89" s="39"/>
      <c r="L89" s="39"/>
      <c r="M89" s="39"/>
      <c r="S89" s="39"/>
      <c r="T89" s="39"/>
      <c r="U89" s="39"/>
    </row>
    <row r="90" spans="5:21">
      <c r="E90" s="107"/>
      <c r="J90" s="39"/>
      <c r="K90" s="39"/>
      <c r="L90" s="39"/>
      <c r="M90" s="39"/>
      <c r="S90" s="39"/>
      <c r="T90" s="39"/>
      <c r="U90" s="39"/>
    </row>
    <row r="91" spans="5:21">
      <c r="E91" s="107"/>
      <c r="J91" s="39"/>
      <c r="K91" s="39"/>
      <c r="L91" s="39"/>
      <c r="M91" s="39"/>
      <c r="S91" s="39"/>
      <c r="T91" s="39"/>
      <c r="U91" s="39"/>
    </row>
    <row r="92" spans="5:21">
      <c r="E92" s="107"/>
      <c r="J92" s="39"/>
      <c r="K92" s="39"/>
      <c r="L92" s="39"/>
      <c r="M92" s="39"/>
      <c r="S92" s="39"/>
      <c r="T92" s="39"/>
      <c r="U92" s="39"/>
    </row>
    <row r="93" spans="5:21">
      <c r="E93" s="107"/>
      <c r="J93" s="39"/>
      <c r="K93" s="39"/>
      <c r="L93" s="39"/>
      <c r="M93" s="39"/>
      <c r="S93" s="39"/>
      <c r="T93" s="39"/>
      <c r="U93" s="39"/>
    </row>
    <row r="94" spans="5:21">
      <c r="E94" s="107"/>
      <c r="J94" s="39"/>
      <c r="K94" s="39"/>
      <c r="L94" s="39"/>
      <c r="M94" s="39"/>
      <c r="S94" s="39"/>
      <c r="T94" s="39"/>
      <c r="U94" s="39"/>
    </row>
    <row r="95" spans="5:21">
      <c r="E95" s="107"/>
      <c r="J95" s="39"/>
      <c r="K95" s="39"/>
      <c r="L95" s="39"/>
      <c r="M95" s="39"/>
      <c r="S95" s="39"/>
      <c r="T95" s="39"/>
      <c r="U95" s="39"/>
    </row>
    <row r="96" spans="5:21">
      <c r="E96" s="107"/>
      <c r="J96" s="39"/>
      <c r="K96" s="39"/>
      <c r="L96" s="39"/>
      <c r="M96" s="39"/>
      <c r="S96" s="39"/>
      <c r="T96" s="39"/>
      <c r="U96" s="39"/>
    </row>
    <row r="97" spans="5:21">
      <c r="E97" s="107"/>
      <c r="J97" s="39"/>
      <c r="K97" s="39"/>
      <c r="L97" s="39"/>
      <c r="M97" s="39"/>
      <c r="S97" s="39"/>
      <c r="T97" s="39"/>
      <c r="U97" s="39"/>
    </row>
    <row r="98" spans="5:21">
      <c r="E98" s="107"/>
      <c r="J98" s="39"/>
      <c r="K98" s="39"/>
      <c r="L98" s="39"/>
      <c r="M98" s="39"/>
      <c r="S98" s="39"/>
      <c r="T98" s="39"/>
      <c r="U98" s="39"/>
    </row>
    <row r="99" spans="5:21">
      <c r="E99" s="107"/>
      <c r="J99" s="39"/>
      <c r="K99" s="39"/>
      <c r="L99" s="39"/>
      <c r="M99" s="39"/>
      <c r="S99" s="39"/>
      <c r="T99" s="39"/>
      <c r="U99" s="39"/>
    </row>
    <row r="100" spans="5:21">
      <c r="E100" s="107"/>
      <c r="J100" s="39"/>
      <c r="K100" s="39"/>
      <c r="L100" s="39"/>
      <c r="M100" s="39"/>
      <c r="S100" s="39"/>
      <c r="T100" s="39"/>
      <c r="U100" s="39"/>
    </row>
    <row r="101" spans="5:21">
      <c r="E101" s="107"/>
      <c r="J101" s="39"/>
      <c r="K101" s="39"/>
      <c r="L101" s="39"/>
      <c r="M101" s="39"/>
      <c r="S101" s="39"/>
      <c r="T101" s="39"/>
      <c r="U101" s="39"/>
    </row>
    <row r="102" spans="5:21">
      <c r="E102" s="107"/>
      <c r="J102" s="39"/>
      <c r="K102" s="39"/>
      <c r="L102" s="39"/>
      <c r="M102" s="39"/>
      <c r="S102" s="39"/>
      <c r="T102" s="39"/>
      <c r="U102" s="39"/>
    </row>
    <row r="103" spans="5:21">
      <c r="E103" s="107"/>
      <c r="J103" s="39"/>
      <c r="K103" s="39"/>
      <c r="L103" s="39"/>
      <c r="M103" s="39"/>
      <c r="S103" s="39"/>
      <c r="T103" s="39"/>
      <c r="U103" s="39"/>
    </row>
    <row r="104" spans="5:21">
      <c r="E104" s="107"/>
      <c r="J104" s="39"/>
      <c r="K104" s="39"/>
      <c r="L104" s="39"/>
      <c r="M104" s="39"/>
      <c r="S104" s="39"/>
      <c r="T104" s="39"/>
      <c r="U104" s="39"/>
    </row>
    <row r="105" spans="5:21">
      <c r="E105" s="107"/>
      <c r="J105" s="39"/>
      <c r="K105" s="39"/>
      <c r="L105" s="39"/>
      <c r="M105" s="39"/>
      <c r="S105" s="39"/>
      <c r="T105" s="39"/>
      <c r="U105" s="39"/>
    </row>
    <row r="106" spans="5:21">
      <c r="E106" s="107"/>
      <c r="J106" s="39"/>
      <c r="K106" s="39"/>
      <c r="L106" s="39"/>
      <c r="M106" s="39"/>
      <c r="S106" s="39"/>
      <c r="T106" s="39"/>
      <c r="U106" s="39"/>
    </row>
    <row r="107" spans="5:21">
      <c r="E107" s="107"/>
      <c r="J107" s="39"/>
      <c r="K107" s="39"/>
      <c r="L107" s="39"/>
      <c r="M107" s="39"/>
      <c r="S107" s="39"/>
      <c r="T107" s="39"/>
      <c r="U107" s="39"/>
    </row>
    <row r="108" spans="5:21">
      <c r="E108" s="107"/>
      <c r="J108" s="39"/>
      <c r="K108" s="39"/>
      <c r="L108" s="39"/>
      <c r="M108" s="39"/>
      <c r="S108" s="39"/>
      <c r="T108" s="39"/>
      <c r="U108" s="39"/>
    </row>
    <row r="109" spans="5:21">
      <c r="E109" s="107"/>
      <c r="J109" s="39"/>
      <c r="K109" s="39"/>
      <c r="L109" s="39"/>
      <c r="M109" s="39"/>
      <c r="S109" s="39"/>
      <c r="T109" s="39"/>
      <c r="U109" s="39"/>
    </row>
    <row r="110" spans="5:21">
      <c r="E110" s="107"/>
      <c r="J110" s="39"/>
      <c r="K110" s="39"/>
      <c r="L110" s="39"/>
      <c r="M110" s="39"/>
      <c r="S110" s="39"/>
      <c r="T110" s="39"/>
      <c r="U110" s="39"/>
    </row>
    <row r="111" spans="5:21">
      <c r="E111" s="107"/>
      <c r="J111" s="39"/>
      <c r="K111" s="39"/>
      <c r="L111" s="39"/>
      <c r="M111" s="39"/>
      <c r="S111" s="39"/>
      <c r="T111" s="39"/>
      <c r="U111" s="39"/>
    </row>
    <row r="112" spans="5:21">
      <c r="E112" s="107"/>
      <c r="J112" s="39"/>
      <c r="K112" s="39"/>
      <c r="L112" s="39"/>
      <c r="M112" s="39"/>
      <c r="S112" s="39"/>
      <c r="T112" s="39"/>
      <c r="U112" s="39"/>
    </row>
    <row r="113" spans="5:21">
      <c r="E113" s="107"/>
      <c r="J113" s="39"/>
      <c r="K113" s="39"/>
      <c r="L113" s="39"/>
      <c r="M113" s="39"/>
      <c r="S113" s="39"/>
      <c r="T113" s="39"/>
      <c r="U113" s="39"/>
    </row>
    <row r="114" spans="5:21">
      <c r="E114" s="107"/>
      <c r="J114" s="39"/>
      <c r="K114" s="39"/>
      <c r="L114" s="39"/>
      <c r="M114" s="39"/>
      <c r="S114" s="39"/>
      <c r="T114" s="39"/>
      <c r="U114" s="39"/>
    </row>
    <row r="115" spans="5:21">
      <c r="E115" s="107"/>
      <c r="J115" s="39"/>
      <c r="K115" s="39"/>
      <c r="L115" s="39"/>
      <c r="M115" s="39"/>
      <c r="S115" s="39"/>
      <c r="T115" s="39"/>
      <c r="U115" s="39"/>
    </row>
    <row r="116" spans="5:21">
      <c r="E116" s="107"/>
      <c r="J116" s="39"/>
      <c r="K116" s="39"/>
      <c r="L116" s="39"/>
      <c r="M116" s="39"/>
      <c r="S116" s="39"/>
      <c r="T116" s="39"/>
      <c r="U116" s="39"/>
    </row>
    <row r="117" spans="5:21">
      <c r="E117" s="107"/>
      <c r="J117" s="39"/>
      <c r="K117" s="39"/>
      <c r="L117" s="39"/>
      <c r="M117" s="39"/>
      <c r="S117" s="39"/>
      <c r="T117" s="39"/>
      <c r="U117" s="39"/>
    </row>
    <row r="118" spans="5:21">
      <c r="E118" s="107"/>
      <c r="J118" s="39"/>
      <c r="K118" s="39"/>
      <c r="L118" s="39"/>
      <c r="M118" s="39"/>
      <c r="S118" s="39"/>
      <c r="T118" s="39"/>
      <c r="U118" s="39"/>
    </row>
    <row r="119" spans="5:21">
      <c r="E119" s="107"/>
      <c r="J119" s="39"/>
      <c r="K119" s="39"/>
      <c r="L119" s="39"/>
      <c r="M119" s="39"/>
      <c r="S119" s="39"/>
      <c r="T119" s="39"/>
      <c r="U119" s="39"/>
    </row>
    <row r="120" spans="5:21">
      <c r="E120" s="107"/>
      <c r="J120" s="39"/>
      <c r="K120" s="39"/>
      <c r="L120" s="39"/>
      <c r="M120" s="39"/>
      <c r="S120" s="39"/>
      <c r="T120" s="39"/>
      <c r="U120" s="39"/>
    </row>
    <row r="121" spans="5:21">
      <c r="E121" s="107"/>
      <c r="J121" s="39"/>
      <c r="K121" s="39"/>
      <c r="L121" s="39"/>
      <c r="M121" s="39"/>
      <c r="S121" s="39"/>
      <c r="T121" s="39"/>
      <c r="U121" s="39"/>
    </row>
    <row r="122" spans="5:21">
      <c r="E122" s="107"/>
      <c r="S122" s="39"/>
      <c r="T122" s="39"/>
      <c r="U122" s="39"/>
    </row>
    <row r="123" spans="5:21">
      <c r="E123" s="107"/>
      <c r="S123" s="39"/>
      <c r="T123" s="39"/>
      <c r="U123" s="39"/>
    </row>
    <row r="124" spans="5:21">
      <c r="E124" s="107"/>
      <c r="S124" s="39"/>
      <c r="T124" s="39"/>
      <c r="U124" s="39"/>
    </row>
    <row r="125" spans="5:21">
      <c r="E125" s="107"/>
      <c r="S125" s="39"/>
      <c r="T125" s="39"/>
      <c r="U125" s="39"/>
    </row>
    <row r="126" spans="5:21">
      <c r="E126" s="107"/>
      <c r="S126" s="39"/>
      <c r="T126" s="39"/>
      <c r="U126" s="39"/>
    </row>
    <row r="127" spans="5:21">
      <c r="E127" s="107"/>
      <c r="S127" s="39"/>
      <c r="T127" s="39"/>
      <c r="U127" s="39"/>
    </row>
    <row r="128" spans="5:21">
      <c r="E128" s="107"/>
      <c r="S128" s="39"/>
      <c r="T128" s="39"/>
      <c r="U128" s="39"/>
    </row>
    <row r="129" spans="5:21">
      <c r="E129" s="107"/>
      <c r="S129" s="39"/>
      <c r="T129" s="39"/>
      <c r="U129" s="39"/>
    </row>
    <row r="130" spans="5:21">
      <c r="E130" s="107"/>
      <c r="S130" s="39"/>
      <c r="T130" s="39"/>
      <c r="U130" s="39"/>
    </row>
    <row r="131" spans="5:21">
      <c r="E131" s="107"/>
      <c r="S131" s="39"/>
      <c r="T131" s="39"/>
      <c r="U131" s="39"/>
    </row>
    <row r="132" spans="5:21">
      <c r="E132" s="107"/>
      <c r="S132" s="39"/>
      <c r="T132" s="39"/>
      <c r="U132" s="39"/>
    </row>
    <row r="133" spans="5:21">
      <c r="E133" s="107"/>
      <c r="S133" s="39"/>
      <c r="T133" s="39"/>
      <c r="U133" s="39"/>
    </row>
    <row r="134" spans="5:21">
      <c r="E134" s="107"/>
      <c r="S134" s="39"/>
      <c r="T134" s="39"/>
      <c r="U134" s="39"/>
    </row>
    <row r="135" spans="5:21">
      <c r="E135" s="107"/>
      <c r="S135" s="39"/>
      <c r="T135" s="39"/>
      <c r="U135" s="39"/>
    </row>
    <row r="136" spans="5:21">
      <c r="E136" s="107"/>
      <c r="S136" s="39"/>
      <c r="T136" s="39"/>
      <c r="U136" s="39"/>
    </row>
    <row r="137" spans="5:21">
      <c r="E137" s="107"/>
      <c r="S137" s="39"/>
      <c r="T137" s="39"/>
      <c r="U137" s="39"/>
    </row>
    <row r="138" spans="5:21">
      <c r="E138" s="107"/>
      <c r="S138" s="39"/>
      <c r="T138" s="39"/>
      <c r="U138" s="39"/>
    </row>
    <row r="139" spans="5:21">
      <c r="E139" s="107"/>
      <c r="S139" s="39"/>
      <c r="T139" s="39"/>
      <c r="U139" s="39"/>
    </row>
    <row r="140" spans="5:21">
      <c r="E140" s="107"/>
      <c r="S140" s="39"/>
      <c r="T140" s="39"/>
      <c r="U140" s="39"/>
    </row>
    <row r="141" spans="5:21">
      <c r="E141" s="107"/>
      <c r="S141" s="39"/>
      <c r="T141" s="39"/>
      <c r="U141" s="39"/>
    </row>
    <row r="142" spans="5:21">
      <c r="E142" s="107"/>
      <c r="S142" s="39"/>
      <c r="T142" s="39"/>
      <c r="U142" s="39"/>
    </row>
    <row r="143" spans="5:21">
      <c r="E143" s="107"/>
      <c r="S143" s="39"/>
      <c r="T143" s="39"/>
      <c r="U143" s="39"/>
    </row>
    <row r="144" spans="5:21">
      <c r="E144" s="107"/>
      <c r="S144" s="39"/>
      <c r="T144" s="39"/>
      <c r="U144" s="39"/>
    </row>
    <row r="145" spans="5:21">
      <c r="E145" s="107"/>
      <c r="S145" s="39"/>
      <c r="T145" s="39"/>
      <c r="U145" s="39"/>
    </row>
    <row r="146" spans="5:21">
      <c r="E146" s="107"/>
      <c r="S146" s="39"/>
      <c r="T146" s="39"/>
      <c r="U146" s="39"/>
    </row>
    <row r="147" spans="5:21">
      <c r="S147" s="39"/>
      <c r="T147" s="39"/>
      <c r="U147" s="39"/>
    </row>
    <row r="148" spans="5:21">
      <c r="S148" s="39"/>
      <c r="T148" s="39"/>
      <c r="U148" s="39"/>
    </row>
    <row r="149" spans="5:21">
      <c r="S149" s="39"/>
      <c r="T149" s="39"/>
      <c r="U149" s="39"/>
    </row>
    <row r="150" spans="5:21">
      <c r="S150" s="39"/>
      <c r="T150" s="39"/>
      <c r="U150" s="39"/>
    </row>
    <row r="151" spans="5:21">
      <c r="S151" s="39"/>
      <c r="T151" s="39"/>
      <c r="U151" s="39"/>
    </row>
    <row r="152" spans="5:21">
      <c r="S152" s="39"/>
      <c r="T152" s="39"/>
      <c r="U152" s="39"/>
    </row>
    <row r="153" spans="5:21">
      <c r="S153" s="39"/>
      <c r="T153" s="39"/>
      <c r="U153" s="39"/>
    </row>
    <row r="154" spans="5:21">
      <c r="S154" s="39"/>
      <c r="T154" s="39"/>
      <c r="U154" s="39"/>
    </row>
    <row r="155" spans="5:21">
      <c r="S155" s="39"/>
      <c r="T155" s="39"/>
      <c r="U155" s="39"/>
    </row>
    <row r="156" spans="5:21">
      <c r="S156" s="39"/>
      <c r="T156" s="39"/>
      <c r="U156" s="39"/>
    </row>
    <row r="157" spans="5:21">
      <c r="S157" s="39"/>
      <c r="T157" s="39"/>
      <c r="U157" s="39"/>
    </row>
    <row r="158" spans="5:21">
      <c r="S158" s="39"/>
      <c r="T158" s="39"/>
      <c r="U158" s="39"/>
    </row>
    <row r="159" spans="5:21">
      <c r="S159" s="39"/>
      <c r="T159" s="39"/>
      <c r="U159" s="39"/>
    </row>
    <row r="160" spans="5:21">
      <c r="S160" s="39"/>
      <c r="T160" s="39"/>
      <c r="U160" s="39"/>
    </row>
    <row r="161" spans="19:21">
      <c r="S161" s="39"/>
      <c r="T161" s="39"/>
      <c r="U161" s="39"/>
    </row>
    <row r="162" spans="19:21">
      <c r="S162" s="39"/>
      <c r="T162" s="39"/>
      <c r="U162" s="39"/>
    </row>
    <row r="163" spans="19:21">
      <c r="S163" s="39"/>
      <c r="T163" s="39"/>
      <c r="U163" s="39"/>
    </row>
    <row r="164" spans="19:21">
      <c r="S164" s="39"/>
      <c r="T164" s="39"/>
      <c r="U164" s="39"/>
    </row>
    <row r="165" spans="19:21">
      <c r="S165" s="39"/>
      <c r="T165" s="39"/>
      <c r="U165" s="39"/>
    </row>
    <row r="166" spans="19:21">
      <c r="S166" s="39"/>
      <c r="T166" s="39"/>
      <c r="U166" s="39"/>
    </row>
    <row r="167" spans="19:21">
      <c r="S167" s="39"/>
      <c r="T167" s="39"/>
      <c r="U167" s="39"/>
    </row>
    <row r="168" spans="19:21">
      <c r="S168" s="39"/>
      <c r="T168" s="39"/>
      <c r="U168" s="39"/>
    </row>
    <row r="169" spans="19:21">
      <c r="S169" s="39"/>
      <c r="T169" s="39"/>
      <c r="U169" s="39"/>
    </row>
    <row r="170" spans="19:21">
      <c r="S170" s="39"/>
      <c r="T170" s="39"/>
      <c r="U170" s="39"/>
    </row>
    <row r="171" spans="19:21">
      <c r="S171" s="39"/>
      <c r="T171" s="39"/>
      <c r="U171" s="39"/>
    </row>
    <row r="172" spans="19:21">
      <c r="S172" s="39"/>
      <c r="T172" s="39"/>
      <c r="U172" s="39"/>
    </row>
    <row r="173" spans="19:21">
      <c r="S173" s="39"/>
      <c r="T173" s="39"/>
      <c r="U173" s="39"/>
    </row>
    <row r="174" spans="19:21">
      <c r="S174" s="39"/>
      <c r="T174" s="39"/>
      <c r="U174" s="39"/>
    </row>
    <row r="175" spans="19:21">
      <c r="S175" s="39"/>
      <c r="T175" s="39"/>
      <c r="U175" s="39"/>
    </row>
    <row r="176" spans="19:21">
      <c r="S176" s="39"/>
      <c r="T176" s="39"/>
      <c r="U176" s="39"/>
    </row>
    <row r="177" spans="19:21">
      <c r="S177" s="39"/>
      <c r="T177" s="39"/>
      <c r="U177" s="39"/>
    </row>
    <row r="178" spans="19:21">
      <c r="S178" s="39"/>
      <c r="T178" s="39"/>
      <c r="U178" s="39"/>
    </row>
    <row r="179" spans="19:21">
      <c r="S179" s="39"/>
      <c r="T179" s="39"/>
      <c r="U179" s="39"/>
    </row>
    <row r="180" spans="19:21">
      <c r="S180" s="39"/>
      <c r="T180" s="39"/>
      <c r="U180" s="39"/>
    </row>
    <row r="181" spans="19:21">
      <c r="S181" s="39"/>
      <c r="T181" s="39"/>
      <c r="U181" s="39"/>
    </row>
    <row r="182" spans="19:21">
      <c r="S182" s="39"/>
      <c r="T182" s="39"/>
      <c r="U182" s="39"/>
    </row>
    <row r="183" spans="19:21">
      <c r="S183" s="39"/>
      <c r="T183" s="39"/>
      <c r="U183" s="39"/>
    </row>
    <row r="184" spans="19:21">
      <c r="S184" s="39"/>
      <c r="T184" s="39"/>
      <c r="U184" s="39"/>
    </row>
    <row r="185" spans="19:21">
      <c r="S185" s="39"/>
      <c r="T185" s="39"/>
      <c r="U185" s="39"/>
    </row>
    <row r="186" spans="19:21">
      <c r="S186" s="39"/>
      <c r="T186" s="39"/>
      <c r="U186" s="39"/>
    </row>
    <row r="187" spans="19:21">
      <c r="S187" s="39"/>
      <c r="T187" s="39"/>
      <c r="U187" s="39"/>
    </row>
    <row r="188" spans="19:21">
      <c r="S188" s="39"/>
      <c r="T188" s="39"/>
      <c r="U188" s="39"/>
    </row>
  </sheetData>
  <customSheetViews>
    <customSheetView guid="{F03309BC-D3FA-4CF2-833B-D6D9A95FE1FB}" showGridLines="0">
      <pane xSplit="3" ySplit="5" topLeftCell="N6" activePane="bottomRight" state="frozen"/>
      <selection pane="bottomRight" activeCell="D2" sqref="D2"/>
      <pageMargins left="0" right="0" top="0" bottom="0" header="0" footer="0"/>
      <pageSetup paperSize="9" orientation="portrait" r:id="rId1"/>
    </customSheetView>
    <customSheetView guid="{EECBF9DF-6D77-4263-85DA-71E40216BADD}" showGridLines="0" state="hidden">
      <pane xSplit="3" ySplit="5" topLeftCell="D6" activePane="bottomRight" state="frozen"/>
      <selection pane="bottomRight" activeCell="D1" sqref="D1"/>
      <pageMargins left="0" right="0" top="0" bottom="0" header="0" footer="0"/>
      <pageSetup paperSize="9" orientation="portrait" r:id="rId2"/>
    </customSheetView>
    <customSheetView guid="{1C16EB38-F785-4168-9938-104594734038}" showGridLines="0" state="hidden">
      <pane xSplit="3" ySplit="5" topLeftCell="D6" activePane="bottomRight" state="frozen"/>
      <selection pane="bottomRight" activeCell="D1" sqref="D1"/>
      <pageMargins left="0" right="0" top="0" bottom="0" header="0" footer="0"/>
      <pageSetup paperSize="9" orientation="portrait" r:id="rId3"/>
    </customSheetView>
    <customSheetView guid="{0E935136-9A80-44B6-88D5-61E64D742049}" showGridLines="0" state="hidden">
      <pane xSplit="3" ySplit="5" topLeftCell="D6" activePane="bottomRight" state="frozen"/>
      <selection pane="bottomRight" activeCell="D1" sqref="D1"/>
      <pageMargins left="0" right="0" top="0" bottom="0" header="0" footer="0"/>
      <pageSetup paperSize="9" orientation="portrait" r:id="rId4"/>
    </customSheetView>
    <customSheetView guid="{E6EFD927-84B2-4D06-BB59-59D9DF522DA2}" showGridLines="0" state="hidden">
      <pane xSplit="3" ySplit="5" topLeftCell="D6" activePane="bottomRight" state="frozen"/>
      <selection pane="bottomRight" activeCell="D1" sqref="D1"/>
      <pageMargins left="0" right="0" top="0" bottom="0" header="0" footer="0"/>
      <pageSetup paperSize="9" orientation="portrait" r:id="rId5"/>
    </customSheetView>
    <customSheetView guid="{3F0A4FBA-5323-448F-A023-B3E14C54064C}" showGridLines="0" state="hidden">
      <pane xSplit="3" ySplit="5" topLeftCell="N6" activePane="bottomRight" state="frozen"/>
      <selection pane="bottomRight" activeCell="D2" sqref="D2"/>
      <pageMargins left="0" right="0" top="0" bottom="0" header="0" footer="0"/>
      <pageSetup paperSize="9" orientation="portrait" r:id="rId6"/>
    </customSheetView>
    <customSheetView guid="{D97B1299-69D0-4EE0-B673-CCF74742F96B}" state="hidden">
      <selection activeCell="I2" sqref="I2:K2"/>
      <pageMargins left="0" right="0" top="0" bottom="0" header="0" footer="0"/>
      <pageSetup paperSize="9" orientation="portrait" r:id="rId7"/>
    </customSheetView>
    <customSheetView guid="{F468A2FD-7987-4A9D-8BAE-1AACE523607F}" showGridLines="0" state="hidden">
      <pane xSplit="3" ySplit="5" topLeftCell="D6" activePane="bottomRight" state="frozen"/>
      <selection pane="bottomRight" activeCell="D1" sqref="D1"/>
      <pageMargins left="0" right="0" top="0" bottom="0" header="0" footer="0"/>
      <pageSetup paperSize="9" orientation="portrait" r:id="rId8"/>
    </customSheetView>
    <customSheetView guid="{2D920366-22B2-4182-A65D-0EDBE614FB37}" showGridLines="0">
      <pane xSplit="3" ySplit="5" topLeftCell="D6" activePane="bottomRight" state="frozen"/>
      <selection pane="bottomRight"/>
      <pageMargins left="0" right="0" top="0" bottom="0" header="0" footer="0"/>
      <pageSetup paperSize="9" orientation="portrait" r:id="rId9"/>
    </customSheetView>
  </customSheetViews>
  <mergeCells count="1">
    <mergeCell ref="I2:K2"/>
  </mergeCells>
  <dataValidations count="5">
    <dataValidation type="list" allowBlank="1" showInputMessage="1" showErrorMessage="1" sqref="D8:D17 D20:D31" xr:uid="{8B3B132F-4A63-40B4-B0F7-099B5B7DA092}">
      <formula1>Flow_units</formula1>
    </dataValidation>
    <dataValidation type="custom" allowBlank="1" showInputMessage="1" showErrorMessage="1" error="Please do not change this formula" prompt="Please do not change this formula" sqref="O6:Q1048576 V6:V1048576 W4 V1:V4 R6:R19 R23:R1048576 N1:N1048576 O1:R4 S5:V5" xr:uid="{B78AC99E-3181-4505-A25C-9FEE3B5D2CDF}">
      <formula1>"Please do not change this formula"</formula1>
    </dataValidation>
    <dataValidation type="custom" allowBlank="1" showInputMessage="1" showErrorMessage="1" error="Please do not change" sqref="R20:R22" xr:uid="{48D9217C-78C0-4900-A3A9-F85DA1FF6541}">
      <formula1>"Please do not change"</formula1>
    </dataValidation>
    <dataValidation type="custom" allowBlank="1" showInputMessage="1" showErrorMessage="1" error="Please do not change this formula" sqref="O5:R5" xr:uid="{CE86C54D-CBE6-494C-8FB7-3033DCA2D95A}">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T32" xr:uid="{89C670FA-59B7-4B18-BE87-3E3343D58D51}">
      <formula1>0</formula1>
    </dataValidation>
  </dataValidations>
  <hyperlinks>
    <hyperlink ref="I2:J2" location="Generic_Conversion!A1" display="Go to the next step of this pathway" xr:uid="{C078FE84-897F-4F27-8268-57C91A80956D}"/>
  </hyperlinks>
  <pageMargins left="0" right="0" top="0" bottom="0" header="0" footer="0"/>
  <pageSetup paperSize="9" orientation="portrait" r:id="rId10"/>
  <headerFooter>
    <oddHeader>&amp;C&amp;"Aptos"&amp;10&amp;K000000 OFFICIAL&amp;1#_x000D_</oddHeader>
    <oddFooter>&amp;C_x000D_&amp;1#&amp;"Aptos"&amp;10&amp;K000000 OFFICIAL</oddFooter>
  </headerFooter>
  <drawing r:id="rId11"/>
  <legacyDrawing r:id="rId12"/>
  <extLst>
    <ext xmlns:x14="http://schemas.microsoft.com/office/spreadsheetml/2009/9/main" uri="{78C0D931-6437-407d-A8EE-F0AAD7539E65}">
      <x14:conditionalFormattings>
        <x14:conditionalFormatting xmlns:xm="http://schemas.microsoft.com/office/excel/2006/main">
          <x14:cfRule type="expression" priority="2" id="{35EE499B-80A6-4655-93BA-793CD38654AC}">
            <xm:f>AND(Path&lt;&gt;Units!$B$103,Master_Switch="On")</xm:f>
            <x14:dxf>
              <font>
                <color theme="0"/>
              </font>
              <fill>
                <patternFill>
                  <bgColor theme="0"/>
                </patternFill>
              </fill>
              <border>
                <left/>
                <right/>
                <top/>
                <bottom/>
                <vertical/>
                <horizontal/>
              </border>
            </x14:dxf>
          </x14:cfRule>
          <xm:sqref>A2:XFD200</xm:sqref>
        </x14:conditionalFormatting>
      </x14:conditionalFormatting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F23B4-8022-4406-8CDC-3242A5CEC451}">
  <sheetPr codeName="Sheet41">
    <tabColor theme="0" tint="-0.34998626667073579"/>
  </sheetPr>
  <dimension ref="A1:AC259"/>
  <sheetViews>
    <sheetView showGridLines="0" zoomScaleNormal="100" workbookViewId="0">
      <pane xSplit="3" ySplit="5" topLeftCell="Q65" activePane="bottomRight" state="frozen"/>
      <selection pane="bottomRight"/>
      <selection pane="bottomLeft"/>
      <selection pane="topRight"/>
    </sheetView>
  </sheetViews>
  <sheetFormatPr defaultColWidth="7.140625" defaultRowHeight="14.45"/>
  <cols>
    <col min="1" max="1" width="4.28515625" style="12" customWidth="1"/>
    <col min="2" max="2" width="23.28515625" style="12" customWidth="1"/>
    <col min="3" max="3" width="37.140625" style="12" customWidth="1"/>
    <col min="4" max="4" width="13.28515625" style="12" customWidth="1"/>
    <col min="5" max="5" width="16.42578125" style="453" customWidth="1"/>
    <col min="6" max="6" width="22" style="12" customWidth="1"/>
    <col min="7" max="7" width="18.7109375" style="12" customWidth="1"/>
    <col min="8" max="8" width="13.42578125" style="13" customWidth="1"/>
    <col min="9" max="9" width="14.140625" style="13" customWidth="1"/>
    <col min="10" max="10" width="14" style="13" customWidth="1"/>
    <col min="11" max="13" width="13.85546875" style="13" customWidth="1"/>
    <col min="14" max="14" width="14.28515625" style="39" customWidth="1"/>
    <col min="15" max="15" width="17.85546875" customWidth="1"/>
    <col min="16" max="16" width="11.5703125" customWidth="1"/>
    <col min="17" max="17" width="18.85546875" style="12" customWidth="1"/>
    <col min="18" max="18" width="17.5703125" style="12" customWidth="1"/>
    <col min="19" max="20" width="20.7109375" style="13" customWidth="1"/>
    <col min="21" max="21" width="22.7109375" style="13" customWidth="1"/>
    <col min="22" max="22" width="20.28515625" style="39" customWidth="1"/>
    <col min="23" max="23" width="7.140625" style="12"/>
    <col min="24" max="24" width="26" style="12" customWidth="1"/>
    <col min="26" max="16384" width="7.140625" style="12"/>
  </cols>
  <sheetData>
    <row r="1" spans="1:28" ht="31.9" customHeight="1">
      <c r="A1" s="80" t="str">
        <f>IF(AND(Path&lt;&gt;Units!$B$103,Master_Switch="On"),"User should not fill in this sheet, but switch to other non-blank GHG worksheets","")</f>
        <v>User should not fill in this sheet, but switch to other non-blank GHG worksheets</v>
      </c>
      <c r="E1" s="254"/>
    </row>
    <row r="2" spans="1:28" ht="20.45" customHeight="1">
      <c r="E2" s="254"/>
      <c r="I2" s="735" t="s">
        <v>1031</v>
      </c>
      <c r="J2" s="737"/>
      <c r="K2" s="738"/>
    </row>
    <row r="3" spans="1:28" ht="15" customHeight="1">
      <c r="E3" s="254"/>
    </row>
    <row r="4" spans="1:28" ht="15.6" customHeight="1" thickBot="1">
      <c r="B4" s="3"/>
      <c r="C4" s="3"/>
      <c r="D4" s="3"/>
      <c r="E4" s="451"/>
      <c r="F4" s="3"/>
      <c r="G4" s="3"/>
      <c r="H4" s="1"/>
      <c r="I4" s="1"/>
      <c r="J4" s="1"/>
      <c r="K4" s="1"/>
      <c r="L4" s="1"/>
      <c r="M4" s="1"/>
      <c r="N4" s="37"/>
      <c r="O4" s="1"/>
      <c r="P4" s="1"/>
      <c r="Q4" s="1"/>
      <c r="R4" s="3"/>
      <c r="S4" s="1"/>
      <c r="T4" s="1"/>
      <c r="U4" s="1"/>
      <c r="V4" s="37"/>
      <c r="W4" s="37"/>
      <c r="X4" s="37"/>
    </row>
    <row r="5" spans="1:28" ht="94.15" customHeight="1" thickTop="1" thickBot="1">
      <c r="B5" s="11" t="s">
        <v>1032</v>
      </c>
      <c r="C5" s="11" t="s">
        <v>1033</v>
      </c>
      <c r="D5" s="11" t="s">
        <v>36</v>
      </c>
      <c r="E5" s="454" t="s">
        <v>883</v>
      </c>
      <c r="F5" s="11" t="s">
        <v>1034</v>
      </c>
      <c r="G5" s="11" t="s">
        <v>1035</v>
      </c>
      <c r="H5" s="11" t="s">
        <v>1036</v>
      </c>
      <c r="I5" s="11" t="s">
        <v>1037</v>
      </c>
      <c r="J5" s="11" t="s">
        <v>1038</v>
      </c>
      <c r="K5" s="11" t="s">
        <v>1039</v>
      </c>
      <c r="L5" s="11" t="s">
        <v>1040</v>
      </c>
      <c r="M5" s="11" t="s">
        <v>1041</v>
      </c>
      <c r="N5" s="509" t="s">
        <v>1042</v>
      </c>
      <c r="O5" s="11" t="s">
        <v>1143</v>
      </c>
      <c r="P5" s="11"/>
      <c r="Q5" s="509" t="s">
        <v>1044</v>
      </c>
      <c r="R5" s="11" t="s">
        <v>1144</v>
      </c>
      <c r="S5" s="11" t="s">
        <v>1046</v>
      </c>
      <c r="T5" s="11" t="s">
        <v>1047</v>
      </c>
      <c r="U5" s="11" t="s">
        <v>1048</v>
      </c>
      <c r="V5" s="11" t="s">
        <v>1049</v>
      </c>
      <c r="W5" s="11"/>
      <c r="X5" s="11" t="s">
        <v>1050</v>
      </c>
    </row>
    <row r="6" spans="1:28" ht="15" thickTop="1">
      <c r="E6" s="254"/>
      <c r="H6" s="19"/>
      <c r="I6" s="19"/>
      <c r="O6" s="12"/>
      <c r="P6" s="12"/>
      <c r="Q6" s="39"/>
      <c r="V6" s="107"/>
    </row>
    <row r="7" spans="1:28">
      <c r="B7" s="144" t="s">
        <v>1051</v>
      </c>
      <c r="C7" s="144"/>
      <c r="D7" s="144"/>
      <c r="E7" s="322"/>
      <c r="F7" s="144"/>
      <c r="G7" s="144"/>
      <c r="H7" s="144"/>
      <c r="I7" s="144"/>
      <c r="J7" s="144"/>
      <c r="K7" s="144"/>
      <c r="L7" s="144"/>
      <c r="M7" s="144"/>
      <c r="N7" s="299"/>
      <c r="O7" s="551"/>
      <c r="P7" s="551"/>
      <c r="Q7" s="551"/>
      <c r="R7" s="551"/>
      <c r="S7" s="18"/>
      <c r="T7" s="18"/>
      <c r="U7" s="18"/>
      <c r="V7" s="139"/>
      <c r="Y7" s="12"/>
    </row>
    <row r="8" spans="1:28">
      <c r="B8" s="16" t="s">
        <v>1052</v>
      </c>
      <c r="C8" s="182" t="s">
        <v>1344</v>
      </c>
      <c r="D8" s="177" t="s">
        <v>425</v>
      </c>
      <c r="E8" s="35"/>
      <c r="F8" s="24"/>
      <c r="G8" s="21"/>
      <c r="H8" s="21"/>
      <c r="I8" s="21"/>
      <c r="J8" s="298"/>
      <c r="K8" s="304"/>
      <c r="L8" s="304"/>
      <c r="M8" s="304"/>
      <c r="N8" s="240">
        <f t="shared" ref="N8:N17" si="0">IF($D8="MWh/yr (LHV)",$E8,$J8*$E8*(1-$L8)/Conversion_kWh_to_MJ)</f>
        <v>0</v>
      </c>
      <c r="O8" s="12"/>
      <c r="P8" s="12"/>
      <c r="Q8" s="550"/>
      <c r="S8" s="40"/>
      <c r="T8" s="40"/>
      <c r="U8" s="40"/>
      <c r="V8" s="139"/>
      <c r="X8" s="21"/>
      <c r="Y8" s="12"/>
    </row>
    <row r="9" spans="1:28">
      <c r="B9" s="16" t="s">
        <v>1054</v>
      </c>
      <c r="C9" s="15" t="s">
        <v>1169</v>
      </c>
      <c r="D9" s="15" t="s">
        <v>425</v>
      </c>
      <c r="E9" s="35">
        <f>Hydrogen_flow</f>
        <v>0</v>
      </c>
      <c r="F9" s="21"/>
      <c r="G9" s="21"/>
      <c r="H9" s="21"/>
      <c r="I9" s="21"/>
      <c r="J9" s="35">
        <v>120</v>
      </c>
      <c r="K9" s="304"/>
      <c r="L9" s="547">
        <v>0</v>
      </c>
      <c r="M9" s="304"/>
      <c r="N9" s="240">
        <f t="shared" si="0"/>
        <v>0</v>
      </c>
      <c r="O9" s="242" t="str">
        <f>IFERROR(N9/N8,"")</f>
        <v/>
      </c>
      <c r="P9" s="39"/>
      <c r="Q9" s="511">
        <f>IF($D9="MWh/yr (LHV)",$E9,$E9*MAX(0, $J9*(1-$L9)-2.441*$L9)/Conversion_kWh_to_MJ)</f>
        <v>0</v>
      </c>
      <c r="R9" s="243" t="str">
        <f>IFERROR(Q9/(SUM($Q$9:$Q$13)),"")</f>
        <v/>
      </c>
      <c r="S9" s="42"/>
      <c r="T9" s="42"/>
      <c r="U9" s="42"/>
      <c r="V9" s="12"/>
      <c r="X9" s="21"/>
      <c r="Y9" s="12"/>
    </row>
    <row r="10" spans="1:28">
      <c r="B10" s="184" t="s">
        <v>1056</v>
      </c>
      <c r="C10" s="182" t="s">
        <v>1057</v>
      </c>
      <c r="D10" s="177" t="s">
        <v>447</v>
      </c>
      <c r="E10" s="35"/>
      <c r="F10" s="21"/>
      <c r="G10" s="21"/>
      <c r="H10" s="20"/>
      <c r="I10" s="33"/>
      <c r="J10" s="298"/>
      <c r="K10" s="300"/>
      <c r="L10" s="300"/>
      <c r="M10" s="300"/>
      <c r="N10" s="240">
        <f t="shared" si="0"/>
        <v>0</v>
      </c>
      <c r="O10" s="39"/>
      <c r="P10" s="39"/>
      <c r="Q10" s="511">
        <f>IF($D10="MWh/yr (LHV)",$E10,$E10*MAX(0, $J10*(1-$L10)-2.441*$L10)/Conversion_kWh_to_MJ)</f>
        <v>0</v>
      </c>
      <c r="R10" s="243" t="str">
        <f t="shared" ref="R10:R13" si="1">IFERROR(Q10/(SUM($Q$9:$Q$13)),"")</f>
        <v/>
      </c>
      <c r="S10" s="42"/>
      <c r="T10" s="42"/>
      <c r="U10" s="42"/>
      <c r="V10" s="19"/>
      <c r="W10" s="23"/>
      <c r="X10" s="21"/>
      <c r="Y10" s="12"/>
    </row>
    <row r="11" spans="1:28">
      <c r="B11" s="184" t="s">
        <v>1056</v>
      </c>
      <c r="C11" s="182" t="s">
        <v>1146</v>
      </c>
      <c r="D11" s="177" t="s">
        <v>447</v>
      </c>
      <c r="E11" s="35"/>
      <c r="F11" s="21"/>
      <c r="G11" s="21"/>
      <c r="H11" s="20"/>
      <c r="I11" s="20"/>
      <c r="J11" s="300"/>
      <c r="K11" s="300"/>
      <c r="L11" s="300"/>
      <c r="M11" s="300"/>
      <c r="N11" s="240">
        <f t="shared" si="0"/>
        <v>0</v>
      </c>
      <c r="O11" s="39"/>
      <c r="P11" s="39"/>
      <c r="Q11" s="511">
        <f>IF($D11="MWh/yr (LHV)",$E11,$E11*MAX(0, $J11*(1-$L11)-2.441*$L11)/Conversion_kWh_to_MJ)</f>
        <v>0</v>
      </c>
      <c r="R11" s="243" t="str">
        <f t="shared" si="1"/>
        <v/>
      </c>
      <c r="S11" s="42"/>
      <c r="T11" s="42"/>
      <c r="U11" s="42"/>
      <c r="V11" s="14"/>
      <c r="W11" s="23"/>
      <c r="X11" s="21"/>
      <c r="Y11" s="12"/>
    </row>
    <row r="12" spans="1:28">
      <c r="B12" s="184" t="s">
        <v>1056</v>
      </c>
      <c r="C12" s="182" t="s">
        <v>1059</v>
      </c>
      <c r="D12" s="177" t="s">
        <v>425</v>
      </c>
      <c r="E12" s="35"/>
      <c r="F12" s="21"/>
      <c r="G12" s="21"/>
      <c r="H12" s="20"/>
      <c r="I12" s="20"/>
      <c r="J12" s="300"/>
      <c r="K12" s="300"/>
      <c r="L12" s="300"/>
      <c r="M12" s="300"/>
      <c r="N12" s="240">
        <f t="shared" si="0"/>
        <v>0</v>
      </c>
      <c r="O12" s="39"/>
      <c r="P12" s="39"/>
      <c r="Q12" s="511">
        <f>IF($D12="MWh/yr (LHV)",$E12,$E12*MAX(0, $J12*(1-$L12)-2.441*$L12)/Conversion_kWh_to_MJ)</f>
        <v>0</v>
      </c>
      <c r="R12" s="243" t="str">
        <f t="shared" si="1"/>
        <v/>
      </c>
      <c r="S12" s="40"/>
      <c r="T12" s="40"/>
      <c r="U12" s="40"/>
      <c r="V12" s="139"/>
      <c r="X12" s="21"/>
      <c r="Y12" s="12"/>
    </row>
    <row r="13" spans="1:28">
      <c r="B13" s="184" t="s">
        <v>1056</v>
      </c>
      <c r="C13" s="182" t="s">
        <v>1060</v>
      </c>
      <c r="D13" s="177" t="s">
        <v>425</v>
      </c>
      <c r="E13" s="35"/>
      <c r="F13" s="21"/>
      <c r="G13" s="21"/>
      <c r="H13" s="20"/>
      <c r="I13" s="20"/>
      <c r="J13" s="300"/>
      <c r="K13" s="300"/>
      <c r="L13" s="300"/>
      <c r="M13" s="300"/>
      <c r="N13" s="240">
        <f t="shared" si="0"/>
        <v>0</v>
      </c>
      <c r="O13" s="39"/>
      <c r="P13" s="39"/>
      <c r="Q13" s="511">
        <f>IF($D13="MWh/yr (LHV)",$E13,$E13*MAX(0, $J13*(1-$L13)-2.441*$L13)/Conversion_kWh_to_MJ)</f>
        <v>0</v>
      </c>
      <c r="R13" s="243" t="str">
        <f t="shared" si="1"/>
        <v/>
      </c>
      <c r="S13" s="40"/>
      <c r="T13" s="40"/>
      <c r="U13" s="40"/>
      <c r="V13" s="139"/>
      <c r="X13" s="21"/>
      <c r="Y13" s="12"/>
    </row>
    <row r="14" spans="1:28" s="14" customFormat="1">
      <c r="B14" s="184" t="s">
        <v>1061</v>
      </c>
      <c r="C14" s="182" t="s">
        <v>1156</v>
      </c>
      <c r="D14" s="177" t="s">
        <v>425</v>
      </c>
      <c r="E14" s="35"/>
      <c r="F14" s="21"/>
      <c r="G14" s="21"/>
      <c r="H14" s="20"/>
      <c r="I14" s="20"/>
      <c r="J14" s="300"/>
      <c r="K14" s="300"/>
      <c r="L14" s="300"/>
      <c r="M14" s="300"/>
      <c r="N14" s="240">
        <f t="shared" si="0"/>
        <v>0</v>
      </c>
      <c r="Q14" s="12"/>
      <c r="R14" s="12"/>
      <c r="S14" s="107"/>
      <c r="T14" s="107"/>
      <c r="U14" s="107"/>
      <c r="V14" s="12"/>
      <c r="W14" s="23"/>
      <c r="X14" s="21"/>
      <c r="Y14" s="23"/>
      <c r="Z14" s="42"/>
      <c r="AB14" s="12"/>
    </row>
    <row r="15" spans="1:28" s="14" customFormat="1">
      <c r="B15" s="184" t="s">
        <v>1061</v>
      </c>
      <c r="C15" s="182" t="s">
        <v>1063</v>
      </c>
      <c r="D15" s="177" t="s">
        <v>425</v>
      </c>
      <c r="E15" s="35"/>
      <c r="F15" s="21"/>
      <c r="G15" s="21"/>
      <c r="H15" s="20"/>
      <c r="I15" s="20"/>
      <c r="J15" s="300"/>
      <c r="K15" s="300"/>
      <c r="L15" s="300"/>
      <c r="M15" s="300"/>
      <c r="N15" s="240">
        <f t="shared" si="0"/>
        <v>0</v>
      </c>
      <c r="Q15" s="12"/>
      <c r="R15" s="12"/>
      <c r="S15" s="107"/>
      <c r="T15" s="107"/>
      <c r="U15" s="107"/>
      <c r="V15" s="12"/>
      <c r="W15" s="23"/>
      <c r="X15" s="21"/>
      <c r="Y15" s="23"/>
      <c r="Z15" s="42"/>
      <c r="AB15" s="12"/>
    </row>
    <row r="16" spans="1:28" s="14" customFormat="1">
      <c r="B16" s="184" t="s">
        <v>1064</v>
      </c>
      <c r="C16" s="182" t="s">
        <v>1065</v>
      </c>
      <c r="D16" s="177" t="s">
        <v>425</v>
      </c>
      <c r="E16" s="35"/>
      <c r="F16" s="21"/>
      <c r="G16" s="21"/>
      <c r="H16" s="20"/>
      <c r="I16" s="36"/>
      <c r="J16" s="298"/>
      <c r="K16" s="300"/>
      <c r="L16" s="300"/>
      <c r="M16" s="300"/>
      <c r="N16" s="240">
        <f t="shared" si="0"/>
        <v>0</v>
      </c>
      <c r="Q16" s="12"/>
      <c r="R16" s="12"/>
      <c r="S16" s="107"/>
      <c r="T16" s="107"/>
      <c r="U16" s="107"/>
      <c r="V16" s="12"/>
      <c r="X16" s="21"/>
    </row>
    <row r="17" spans="2:29" s="14" customFormat="1">
      <c r="B17" s="184" t="s">
        <v>1064</v>
      </c>
      <c r="C17" s="182" t="s">
        <v>1066</v>
      </c>
      <c r="D17" s="177" t="s">
        <v>425</v>
      </c>
      <c r="E17" s="35"/>
      <c r="F17" s="21"/>
      <c r="G17" s="21"/>
      <c r="H17" s="20"/>
      <c r="I17" s="36"/>
      <c r="J17" s="298"/>
      <c r="K17" s="300"/>
      <c r="L17" s="300"/>
      <c r="M17" s="300"/>
      <c r="N17" s="240">
        <f t="shared" si="0"/>
        <v>0</v>
      </c>
      <c r="Q17" s="12"/>
      <c r="R17" s="12"/>
      <c r="S17" s="107"/>
      <c r="T17" s="107"/>
      <c r="U17" s="107"/>
      <c r="V17" s="12"/>
      <c r="X17" s="21"/>
    </row>
    <row r="18" spans="2:29">
      <c r="B18" s="68"/>
      <c r="C18" s="69"/>
      <c r="D18" s="69"/>
      <c r="E18" s="499"/>
      <c r="F18" s="76"/>
      <c r="G18" s="79"/>
      <c r="H18" s="71"/>
      <c r="I18" s="71"/>
      <c r="J18" s="75"/>
      <c r="K18" s="73"/>
      <c r="L18" s="73"/>
      <c r="M18" s="73"/>
      <c r="N18" s="73"/>
      <c r="O18" s="73"/>
      <c r="P18" s="73"/>
      <c r="S18" s="40"/>
      <c r="T18" s="40"/>
      <c r="U18" s="40"/>
      <c r="V18" s="139"/>
      <c r="X18" s="76"/>
      <c r="Y18" s="12"/>
    </row>
    <row r="19" spans="2:29">
      <c r="B19" s="144" t="s">
        <v>1171</v>
      </c>
      <c r="C19" s="145"/>
      <c r="D19" s="145"/>
      <c r="E19" s="146"/>
      <c r="F19" s="147"/>
      <c r="G19" s="148"/>
      <c r="H19" s="149"/>
      <c r="I19" s="149"/>
      <c r="J19" s="146"/>
      <c r="K19" s="488"/>
      <c r="L19" s="488"/>
      <c r="M19" s="488"/>
      <c r="N19" s="487"/>
      <c r="O19" s="150"/>
      <c r="P19" s="150"/>
      <c r="Q19" s="151"/>
      <c r="R19" s="151"/>
      <c r="S19" s="476"/>
      <c r="T19" s="476"/>
      <c r="U19" s="476"/>
      <c r="V19" s="169">
        <f>SUM(V20:V29)</f>
        <v>0</v>
      </c>
      <c r="Y19" s="12"/>
    </row>
    <row r="20" spans="2:29">
      <c r="B20" s="184" t="s">
        <v>1069</v>
      </c>
      <c r="C20" s="182" t="s">
        <v>1347</v>
      </c>
      <c r="D20" s="177" t="s">
        <v>447</v>
      </c>
      <c r="E20" s="35"/>
      <c r="F20" s="24"/>
      <c r="G20" s="21"/>
      <c r="H20" s="21"/>
      <c r="I20" s="21"/>
      <c r="J20" s="301"/>
      <c r="K20" s="304"/>
      <c r="L20" s="304"/>
      <c r="M20" s="304"/>
      <c r="N20" s="240">
        <f t="shared" ref="N20:N29" si="2">IF($D20="MWh/yr (LHV)",$E20,$J20*$E20*(1-$L20)/Conversion_kWh_to_MJ)</f>
        <v>0</v>
      </c>
      <c r="O20" s="12"/>
      <c r="P20" s="12"/>
      <c r="S20" s="298" t="str">
        <f t="shared" ref="S20:S29" si="3">IF(B20="", "", IF(D20="MWh/yr (LHV)", "Use column to right", "Enter data here"))</f>
        <v>Use column to right</v>
      </c>
      <c r="T20" s="298" t="e">
        <f>IF(B20="", "", IF(D20="MWh/yr (LHV)", Initial_questions!$E$43*1/Conversion_kWh_to_MJ, "Use column to left"))</f>
        <v>#VALUE!</v>
      </c>
      <c r="U20" s="298" t="s">
        <v>1110</v>
      </c>
      <c r="V20" s="262" t="str">
        <f t="shared" ref="V20:V29" si="4">IFERROR(IF(D20="tonnes/yr", $S20*$E20/($N$9*3.6), $T20*$E20*3.6/($N$9*3.6)), "Unfilled fields to left")</f>
        <v>Unfilled fields to left</v>
      </c>
      <c r="X20" s="21"/>
      <c r="Y20" s="12"/>
    </row>
    <row r="21" spans="2:29" s="14" customFormat="1">
      <c r="B21" s="184" t="s">
        <v>1069</v>
      </c>
      <c r="C21" s="182" t="s">
        <v>1087</v>
      </c>
      <c r="D21" s="177" t="s">
        <v>447</v>
      </c>
      <c r="E21" s="35"/>
      <c r="F21" s="24"/>
      <c r="G21" s="21"/>
      <c r="H21" s="63"/>
      <c r="I21" s="63"/>
      <c r="J21" s="302"/>
      <c r="K21" s="304"/>
      <c r="L21" s="304"/>
      <c r="M21" s="304"/>
      <c r="N21" s="240">
        <f t="shared" si="2"/>
        <v>0</v>
      </c>
      <c r="O21" s="19"/>
      <c r="P21" s="19"/>
      <c r="Q21" s="19"/>
      <c r="R21" s="19"/>
      <c r="S21" s="298" t="str">
        <f t="shared" si="3"/>
        <v>Use column to right</v>
      </c>
      <c r="T21" s="298" t="str">
        <f t="shared" ref="T21:T29" si="5">IF(B21="", "", IF(D21="MWh/yr (LHV)", "Enter data here", "Use column to left"))</f>
        <v>Enter data here</v>
      </c>
      <c r="U21" s="35" t="s">
        <v>1088</v>
      </c>
      <c r="V21" s="371" t="str">
        <f t="shared" si="4"/>
        <v>Unfilled fields to left</v>
      </c>
      <c r="X21" s="21"/>
    </row>
    <row r="22" spans="2:29" s="14" customFormat="1">
      <c r="B22" s="184" t="s">
        <v>1069</v>
      </c>
      <c r="C22" s="182" t="s">
        <v>1089</v>
      </c>
      <c r="D22" s="177" t="s">
        <v>447</v>
      </c>
      <c r="E22" s="35"/>
      <c r="F22" s="24"/>
      <c r="G22" s="21"/>
      <c r="H22" s="63"/>
      <c r="I22" s="63"/>
      <c r="J22" s="302"/>
      <c r="K22" s="304"/>
      <c r="L22" s="304"/>
      <c r="M22" s="304"/>
      <c r="N22" s="240">
        <f t="shared" si="2"/>
        <v>0</v>
      </c>
      <c r="O22" s="19"/>
      <c r="P22" s="19"/>
      <c r="Q22" s="19"/>
      <c r="R22" s="19"/>
      <c r="S22" s="298" t="str">
        <f t="shared" si="3"/>
        <v>Use column to right</v>
      </c>
      <c r="T22" s="298" t="str">
        <f t="shared" si="5"/>
        <v>Enter data here</v>
      </c>
      <c r="U22" s="35" t="s">
        <v>1088</v>
      </c>
      <c r="V22" s="371" t="str">
        <f t="shared" si="4"/>
        <v>Unfilled fields to left</v>
      </c>
      <c r="X22" s="65"/>
    </row>
    <row r="23" spans="2:29">
      <c r="B23" s="184" t="s">
        <v>1090</v>
      </c>
      <c r="C23" s="182" t="s">
        <v>1091</v>
      </c>
      <c r="D23" s="177" t="s">
        <v>425</v>
      </c>
      <c r="E23" s="35"/>
      <c r="F23" s="82"/>
      <c r="G23" s="21"/>
      <c r="H23" s="20"/>
      <c r="I23" s="36"/>
      <c r="J23" s="298"/>
      <c r="K23" s="300"/>
      <c r="L23" s="300"/>
      <c r="M23" s="300"/>
      <c r="N23" s="240">
        <f t="shared" si="2"/>
        <v>0</v>
      </c>
      <c r="O23" s="12"/>
      <c r="P23" s="12"/>
      <c r="S23" s="298" t="str">
        <f t="shared" si="3"/>
        <v>Enter data here</v>
      </c>
      <c r="T23" s="298" t="str">
        <f t="shared" si="5"/>
        <v>Use column to left</v>
      </c>
      <c r="U23" s="35" t="s">
        <v>1092</v>
      </c>
      <c r="V23" s="371" t="str">
        <f t="shared" si="4"/>
        <v>Unfilled fields to left</v>
      </c>
      <c r="X23" s="25"/>
      <c r="Y23" s="12"/>
    </row>
    <row r="24" spans="2:29">
      <c r="B24" s="184" t="s">
        <v>1090</v>
      </c>
      <c r="C24" s="182" t="s">
        <v>1093</v>
      </c>
      <c r="D24" s="177" t="s">
        <v>425</v>
      </c>
      <c r="E24" s="35"/>
      <c r="F24" s="21"/>
      <c r="G24" s="21"/>
      <c r="H24" s="20"/>
      <c r="I24" s="36"/>
      <c r="J24" s="298"/>
      <c r="K24" s="300"/>
      <c r="L24" s="300"/>
      <c r="M24" s="300"/>
      <c r="N24" s="240">
        <f t="shared" si="2"/>
        <v>0</v>
      </c>
      <c r="O24" s="12"/>
      <c r="P24" s="12"/>
      <c r="S24" s="298" t="str">
        <f t="shared" si="3"/>
        <v>Enter data here</v>
      </c>
      <c r="T24" s="298" t="str">
        <f t="shared" si="5"/>
        <v>Use column to left</v>
      </c>
      <c r="U24" s="35" t="s">
        <v>1092</v>
      </c>
      <c r="V24" s="371" t="str">
        <f t="shared" si="4"/>
        <v>Unfilled fields to left</v>
      </c>
      <c r="X24" s="25"/>
      <c r="Y24" s="12"/>
    </row>
    <row r="25" spans="2:29">
      <c r="B25" s="184" t="s">
        <v>1090</v>
      </c>
      <c r="C25" s="182" t="s">
        <v>1094</v>
      </c>
      <c r="D25" s="177" t="s">
        <v>425</v>
      </c>
      <c r="E25" s="35"/>
      <c r="F25" s="21"/>
      <c r="G25" s="21"/>
      <c r="H25" s="20"/>
      <c r="I25" s="36"/>
      <c r="J25" s="298"/>
      <c r="K25" s="300"/>
      <c r="L25" s="300"/>
      <c r="M25" s="300"/>
      <c r="N25" s="240">
        <f t="shared" si="2"/>
        <v>0</v>
      </c>
      <c r="O25" s="19"/>
      <c r="P25" s="19"/>
      <c r="Q25" s="19"/>
      <c r="R25" s="19"/>
      <c r="S25" s="298" t="str">
        <f t="shared" si="3"/>
        <v>Enter data here</v>
      </c>
      <c r="T25" s="298" t="str">
        <f t="shared" si="5"/>
        <v>Use column to left</v>
      </c>
      <c r="U25" s="35" t="s">
        <v>1092</v>
      </c>
      <c r="V25" s="371" t="str">
        <f t="shared" si="4"/>
        <v>Unfilled fields to left</v>
      </c>
      <c r="W25" s="19"/>
      <c r="X25" s="25"/>
      <c r="Y25" s="19"/>
      <c r="Z25" s="19"/>
      <c r="AA25" s="19"/>
      <c r="AB25" s="19"/>
      <c r="AC25" s="19"/>
    </row>
    <row r="26" spans="2:29">
      <c r="B26" s="16"/>
      <c r="C26" s="15"/>
      <c r="D26" s="177"/>
      <c r="E26" s="35"/>
      <c r="F26" s="21"/>
      <c r="G26" s="21"/>
      <c r="H26" s="20"/>
      <c r="I26" s="36"/>
      <c r="J26" s="298"/>
      <c r="K26" s="300"/>
      <c r="L26" s="300"/>
      <c r="M26" s="300"/>
      <c r="N26" s="240">
        <f t="shared" si="2"/>
        <v>0</v>
      </c>
      <c r="O26" s="19"/>
      <c r="P26" s="19"/>
      <c r="Q26" s="19"/>
      <c r="R26" s="19"/>
      <c r="S26" s="298" t="str">
        <f t="shared" si="3"/>
        <v/>
      </c>
      <c r="T26" s="298" t="str">
        <f t="shared" si="5"/>
        <v/>
      </c>
      <c r="U26" s="300"/>
      <c r="V26" s="371" t="str">
        <f t="shared" si="4"/>
        <v>Unfilled fields to left</v>
      </c>
      <c r="W26" s="19"/>
      <c r="X26" s="25"/>
      <c r="Y26" s="19"/>
      <c r="Z26" s="19"/>
      <c r="AA26" s="19"/>
      <c r="AB26" s="19"/>
      <c r="AC26" s="19"/>
    </row>
    <row r="27" spans="2:29">
      <c r="B27" s="16"/>
      <c r="C27" s="15"/>
      <c r="D27" s="177"/>
      <c r="E27" s="35"/>
      <c r="F27" s="21"/>
      <c r="G27" s="21"/>
      <c r="H27" s="20"/>
      <c r="I27" s="36"/>
      <c r="J27" s="298"/>
      <c r="K27" s="300"/>
      <c r="L27" s="300"/>
      <c r="M27" s="300"/>
      <c r="N27" s="240">
        <f t="shared" si="2"/>
        <v>0</v>
      </c>
      <c r="O27" s="19"/>
      <c r="P27" s="19"/>
      <c r="Q27" s="19"/>
      <c r="R27" s="19"/>
      <c r="S27" s="298" t="str">
        <f t="shared" si="3"/>
        <v/>
      </c>
      <c r="T27" s="298" t="str">
        <f t="shared" si="5"/>
        <v/>
      </c>
      <c r="U27" s="300"/>
      <c r="V27" s="371" t="str">
        <f t="shared" si="4"/>
        <v>Unfilled fields to left</v>
      </c>
      <c r="W27" s="19"/>
      <c r="X27" s="25"/>
      <c r="Y27" s="19"/>
      <c r="Z27" s="19"/>
      <c r="AA27" s="19"/>
      <c r="AB27" s="19"/>
      <c r="AC27" s="19"/>
    </row>
    <row r="28" spans="2:29">
      <c r="B28" s="16"/>
      <c r="C28" s="15"/>
      <c r="D28" s="177"/>
      <c r="E28" s="35"/>
      <c r="F28" s="21"/>
      <c r="G28" s="21"/>
      <c r="H28" s="20"/>
      <c r="I28" s="36"/>
      <c r="J28" s="298"/>
      <c r="K28" s="300"/>
      <c r="L28" s="300"/>
      <c r="M28" s="300"/>
      <c r="N28" s="240">
        <f t="shared" si="2"/>
        <v>0</v>
      </c>
      <c r="O28" s="19"/>
      <c r="P28" s="19"/>
      <c r="Q28" s="19"/>
      <c r="R28" s="19"/>
      <c r="S28" s="298" t="str">
        <f t="shared" si="3"/>
        <v/>
      </c>
      <c r="T28" s="298" t="str">
        <f t="shared" si="5"/>
        <v/>
      </c>
      <c r="U28" s="300"/>
      <c r="V28" s="371" t="str">
        <f t="shared" si="4"/>
        <v>Unfilled fields to left</v>
      </c>
      <c r="W28" s="19"/>
      <c r="X28" s="25"/>
      <c r="Y28" s="19"/>
      <c r="Z28" s="19"/>
      <c r="AA28" s="19"/>
      <c r="AB28" s="19"/>
      <c r="AC28" s="19"/>
    </row>
    <row r="29" spans="2:29">
      <c r="B29" s="16"/>
      <c r="C29" s="15"/>
      <c r="D29" s="177"/>
      <c r="E29" s="35"/>
      <c r="F29" s="21"/>
      <c r="G29" s="21"/>
      <c r="H29" s="20"/>
      <c r="I29" s="36"/>
      <c r="J29" s="298"/>
      <c r="K29" s="300"/>
      <c r="L29" s="300"/>
      <c r="M29" s="300"/>
      <c r="N29" s="240">
        <f t="shared" si="2"/>
        <v>0</v>
      </c>
      <c r="O29" s="19"/>
      <c r="P29" s="19"/>
      <c r="Q29" s="19"/>
      <c r="R29" s="19"/>
      <c r="S29" s="298" t="str">
        <f t="shared" si="3"/>
        <v/>
      </c>
      <c r="T29" s="298" t="str">
        <f t="shared" si="5"/>
        <v/>
      </c>
      <c r="U29" s="300"/>
      <c r="V29" s="371" t="str">
        <f t="shared" si="4"/>
        <v>Unfilled fields to left</v>
      </c>
      <c r="W29" s="19"/>
      <c r="X29" s="25"/>
      <c r="Y29" s="19"/>
      <c r="Z29" s="19"/>
      <c r="AA29" s="19"/>
      <c r="AB29" s="19"/>
      <c r="AC29" s="19"/>
    </row>
    <row r="30" spans="2:29">
      <c r="B30" s="68"/>
      <c r="C30" s="69"/>
      <c r="D30" s="69"/>
      <c r="E30" s="500"/>
      <c r="F30" s="70"/>
      <c r="G30" s="70"/>
      <c r="H30" s="71"/>
      <c r="I30" s="72"/>
      <c r="J30" s="75"/>
      <c r="K30" s="73"/>
      <c r="L30" s="73"/>
      <c r="M30" s="73"/>
      <c r="N30" s="73"/>
      <c r="O30" s="12"/>
      <c r="P30" s="12"/>
      <c r="S30" s="75"/>
      <c r="T30" s="73"/>
      <c r="U30" s="73"/>
      <c r="V30" s="141"/>
      <c r="X30" s="74"/>
      <c r="Y30" s="12"/>
    </row>
    <row r="31" spans="2:29" ht="16.5">
      <c r="B31" s="144" t="s">
        <v>1175</v>
      </c>
      <c r="C31" s="153"/>
      <c r="D31" s="153"/>
      <c r="E31" s="501"/>
      <c r="F31" s="154"/>
      <c r="G31" s="154"/>
      <c r="H31" s="155"/>
      <c r="I31" s="156"/>
      <c r="J31" s="303"/>
      <c r="K31" s="472"/>
      <c r="L31" s="472"/>
      <c r="M31" s="472"/>
      <c r="N31" s="472"/>
      <c r="O31" s="157"/>
      <c r="P31" s="157"/>
      <c r="Q31" s="157"/>
      <c r="R31" s="157"/>
      <c r="S31" s="488"/>
      <c r="T31" s="488"/>
      <c r="U31" s="472"/>
      <c r="V31" s="169">
        <f>SUM(V32:V41)</f>
        <v>0</v>
      </c>
      <c r="X31" s="74"/>
      <c r="Y31" s="12"/>
    </row>
    <row r="32" spans="2:29">
      <c r="B32" s="184" t="s">
        <v>1096</v>
      </c>
      <c r="C32" s="182" t="s">
        <v>1176</v>
      </c>
      <c r="D32" s="177" t="s">
        <v>425</v>
      </c>
      <c r="E32" s="35"/>
      <c r="F32" s="21"/>
      <c r="G32" s="21"/>
      <c r="H32" s="21"/>
      <c r="I32" s="21"/>
      <c r="J32" s="304"/>
      <c r="K32" s="304"/>
      <c r="L32" s="304"/>
      <c r="M32" s="304"/>
      <c r="N32" s="240">
        <f t="shared" ref="N32:N41" si="6">IF($D32="MWh/yr (LHV)",$E32,$J32*$E32*(1-$L32)/Conversion_kWh_to_MJ)</f>
        <v>0</v>
      </c>
      <c r="O32" s="12"/>
      <c r="P32" s="12"/>
      <c r="S32" s="298" t="str">
        <f t="shared" ref="S32:S41" si="7">IF(B32="", "", IF(D32="MWh/yr (LHV)", "Use column to right", "Enter data here"))</f>
        <v>Enter data here</v>
      </c>
      <c r="T32" s="298" t="str">
        <f t="shared" ref="T32:T41" si="8">IF(B32="", "", IF(D32="MWh/yr (LHV)", "Enter data here", "Use column to left"))</f>
        <v>Use column to left</v>
      </c>
      <c r="U32" s="35" t="s">
        <v>1098</v>
      </c>
      <c r="V32" s="261" t="str">
        <f t="shared" ref="V32:V41" si="9">IFERROR(IF(D32="tonnes/yr", $S32*$E32/($N$9*3.6), $T32*$E32*3.6/($N$9*3.6)), "Unfilled fields to left")</f>
        <v>Unfilled fields to left</v>
      </c>
      <c r="X32" s="21"/>
      <c r="Y32" s="12"/>
    </row>
    <row r="33" spans="2:25">
      <c r="B33" s="184" t="s">
        <v>1099</v>
      </c>
      <c r="C33" s="182" t="s">
        <v>1348</v>
      </c>
      <c r="D33" s="177" t="s">
        <v>425</v>
      </c>
      <c r="E33" s="35"/>
      <c r="F33" s="24"/>
      <c r="G33" s="21"/>
      <c r="H33" s="20"/>
      <c r="I33" s="36"/>
      <c r="J33" s="298"/>
      <c r="K33" s="300"/>
      <c r="L33" s="300"/>
      <c r="M33" s="300"/>
      <c r="N33" s="240">
        <f t="shared" si="6"/>
        <v>0</v>
      </c>
      <c r="O33" s="12"/>
      <c r="P33" s="12"/>
      <c r="S33" s="298" t="str">
        <f t="shared" si="7"/>
        <v>Enter data here</v>
      </c>
      <c r="T33" s="298" t="str">
        <f t="shared" si="8"/>
        <v>Use column to left</v>
      </c>
      <c r="U33" s="35" t="s">
        <v>1098</v>
      </c>
      <c r="V33" s="261" t="str">
        <f t="shared" si="9"/>
        <v>Unfilled fields to left</v>
      </c>
      <c r="X33" s="25"/>
      <c r="Y33" s="12"/>
    </row>
    <row r="34" spans="2:25">
      <c r="B34" s="184" t="s">
        <v>1099</v>
      </c>
      <c r="C34" s="182" t="s">
        <v>1058</v>
      </c>
      <c r="D34" s="177" t="s">
        <v>425</v>
      </c>
      <c r="E34" s="35"/>
      <c r="F34" s="21"/>
      <c r="G34" s="21"/>
      <c r="H34" s="20"/>
      <c r="I34" s="36"/>
      <c r="J34" s="298"/>
      <c r="K34" s="300"/>
      <c r="L34" s="300"/>
      <c r="M34" s="300"/>
      <c r="N34" s="240">
        <f t="shared" si="6"/>
        <v>0</v>
      </c>
      <c r="O34" s="12"/>
      <c r="P34" s="12"/>
      <c r="S34" s="298" t="str">
        <f t="shared" si="7"/>
        <v>Enter data here</v>
      </c>
      <c r="T34" s="298" t="str">
        <f t="shared" si="8"/>
        <v>Use column to left</v>
      </c>
      <c r="U34" s="35" t="s">
        <v>1098</v>
      </c>
      <c r="V34" s="261" t="str">
        <f t="shared" si="9"/>
        <v>Unfilled fields to left</v>
      </c>
      <c r="X34" s="25"/>
      <c r="Y34" s="12"/>
    </row>
    <row r="35" spans="2:25">
      <c r="B35" s="184" t="s">
        <v>1099</v>
      </c>
      <c r="C35" s="182" t="s">
        <v>1101</v>
      </c>
      <c r="D35" s="177" t="s">
        <v>425</v>
      </c>
      <c r="E35" s="35"/>
      <c r="F35" s="21"/>
      <c r="G35" s="21"/>
      <c r="H35" s="20"/>
      <c r="I35" s="36"/>
      <c r="J35" s="298"/>
      <c r="K35" s="300"/>
      <c r="L35" s="300"/>
      <c r="M35" s="300"/>
      <c r="N35" s="240">
        <f t="shared" si="6"/>
        <v>0</v>
      </c>
      <c r="O35" s="12"/>
      <c r="P35" s="12"/>
      <c r="S35" s="298" t="str">
        <f t="shared" si="7"/>
        <v>Enter data here</v>
      </c>
      <c r="T35" s="298" t="str">
        <f t="shared" si="8"/>
        <v>Use column to left</v>
      </c>
      <c r="U35" s="35" t="s">
        <v>1098</v>
      </c>
      <c r="V35" s="261" t="str">
        <f t="shared" si="9"/>
        <v>Unfilled fields to left</v>
      </c>
      <c r="X35" s="25"/>
      <c r="Y35" s="12"/>
    </row>
    <row r="36" spans="2:25">
      <c r="B36" s="184" t="s">
        <v>1225</v>
      </c>
      <c r="C36" s="182" t="s">
        <v>1103</v>
      </c>
      <c r="D36" s="177" t="s">
        <v>425</v>
      </c>
      <c r="E36" s="35"/>
      <c r="F36" s="21"/>
      <c r="G36" s="21"/>
      <c r="H36" s="20"/>
      <c r="I36" s="36"/>
      <c r="J36" s="298"/>
      <c r="K36" s="300"/>
      <c r="L36" s="300"/>
      <c r="M36" s="300"/>
      <c r="N36" s="240">
        <f t="shared" si="6"/>
        <v>0</v>
      </c>
      <c r="O36" s="12"/>
      <c r="P36" s="12"/>
      <c r="S36" s="298" t="str">
        <f t="shared" si="7"/>
        <v>Enter data here</v>
      </c>
      <c r="T36" s="298" t="str">
        <f t="shared" si="8"/>
        <v>Use column to left</v>
      </c>
      <c r="U36" s="35" t="s">
        <v>1098</v>
      </c>
      <c r="V36" s="261" t="str">
        <f t="shared" si="9"/>
        <v>Unfilled fields to left</v>
      </c>
      <c r="X36" s="25"/>
      <c r="Y36" s="12"/>
    </row>
    <row r="37" spans="2:25">
      <c r="B37" s="184" t="s">
        <v>1225</v>
      </c>
      <c r="C37" s="182"/>
      <c r="D37" s="177"/>
      <c r="E37" s="35"/>
      <c r="F37" s="21"/>
      <c r="G37" s="21"/>
      <c r="H37" s="20"/>
      <c r="I37" s="36"/>
      <c r="J37" s="298"/>
      <c r="K37" s="300"/>
      <c r="L37" s="300"/>
      <c r="M37" s="300"/>
      <c r="N37" s="240">
        <f t="shared" si="6"/>
        <v>0</v>
      </c>
      <c r="O37" s="12"/>
      <c r="P37" s="12"/>
      <c r="S37" s="298" t="str">
        <f t="shared" si="7"/>
        <v>Enter data here</v>
      </c>
      <c r="T37" s="298" t="str">
        <f t="shared" si="8"/>
        <v>Use column to left</v>
      </c>
      <c r="U37" s="35" t="s">
        <v>1098</v>
      </c>
      <c r="V37" s="261" t="str">
        <f t="shared" si="9"/>
        <v>Unfilled fields to left</v>
      </c>
      <c r="X37" s="25"/>
      <c r="Y37" s="12"/>
    </row>
    <row r="38" spans="2:25">
      <c r="B38" s="16"/>
      <c r="C38" s="15"/>
      <c r="D38" s="177"/>
      <c r="E38" s="35"/>
      <c r="F38" s="54"/>
      <c r="G38" s="21"/>
      <c r="H38" s="20"/>
      <c r="I38" s="36"/>
      <c r="J38" s="298"/>
      <c r="K38" s="300"/>
      <c r="L38" s="300"/>
      <c r="M38" s="300"/>
      <c r="N38" s="240">
        <f t="shared" si="6"/>
        <v>0</v>
      </c>
      <c r="O38" s="12"/>
      <c r="P38" s="12"/>
      <c r="S38" s="298" t="str">
        <f t="shared" si="7"/>
        <v/>
      </c>
      <c r="T38" s="298" t="str">
        <f t="shared" si="8"/>
        <v/>
      </c>
      <c r="U38" s="300"/>
      <c r="V38" s="261" t="str">
        <f t="shared" si="9"/>
        <v>Unfilled fields to left</v>
      </c>
      <c r="X38" s="25"/>
      <c r="Y38" s="12"/>
    </row>
    <row r="39" spans="2:25">
      <c r="B39" s="16"/>
      <c r="C39" s="15"/>
      <c r="D39" s="177"/>
      <c r="E39" s="35"/>
      <c r="F39" s="54"/>
      <c r="G39" s="21"/>
      <c r="H39" s="20"/>
      <c r="I39" s="36"/>
      <c r="J39" s="298"/>
      <c r="K39" s="300"/>
      <c r="L39" s="300"/>
      <c r="M39" s="300"/>
      <c r="N39" s="240">
        <f t="shared" si="6"/>
        <v>0</v>
      </c>
      <c r="O39" s="12"/>
      <c r="P39" s="12"/>
      <c r="S39" s="298" t="str">
        <f t="shared" si="7"/>
        <v/>
      </c>
      <c r="T39" s="298" t="str">
        <f t="shared" si="8"/>
        <v/>
      </c>
      <c r="U39" s="300"/>
      <c r="V39" s="261" t="str">
        <f t="shared" si="9"/>
        <v>Unfilled fields to left</v>
      </c>
      <c r="X39" s="25"/>
      <c r="Y39" s="12"/>
    </row>
    <row r="40" spans="2:25">
      <c r="B40" s="16"/>
      <c r="C40" s="15"/>
      <c r="D40" s="177"/>
      <c r="E40" s="35"/>
      <c r="F40" s="54"/>
      <c r="G40" s="21"/>
      <c r="H40" s="20"/>
      <c r="I40" s="36"/>
      <c r="J40" s="298"/>
      <c r="K40" s="300"/>
      <c r="L40" s="300"/>
      <c r="M40" s="300"/>
      <c r="N40" s="240">
        <f t="shared" si="6"/>
        <v>0</v>
      </c>
      <c r="O40" s="12"/>
      <c r="P40" s="12"/>
      <c r="S40" s="298" t="str">
        <f t="shared" si="7"/>
        <v/>
      </c>
      <c r="T40" s="298" t="str">
        <f t="shared" si="8"/>
        <v/>
      </c>
      <c r="U40" s="300"/>
      <c r="V40" s="261" t="str">
        <f t="shared" si="9"/>
        <v>Unfilled fields to left</v>
      </c>
      <c r="X40" s="25"/>
      <c r="Y40" s="12"/>
    </row>
    <row r="41" spans="2:25">
      <c r="B41" s="16"/>
      <c r="C41" s="15"/>
      <c r="D41" s="177"/>
      <c r="E41" s="35"/>
      <c r="F41" s="21"/>
      <c r="G41" s="21"/>
      <c r="H41" s="20"/>
      <c r="I41" s="36"/>
      <c r="J41" s="298"/>
      <c r="K41" s="300"/>
      <c r="L41" s="300"/>
      <c r="M41" s="300"/>
      <c r="N41" s="240">
        <f t="shared" si="6"/>
        <v>0</v>
      </c>
      <c r="O41" s="12"/>
      <c r="P41" s="12"/>
      <c r="S41" s="298" t="str">
        <f t="shared" si="7"/>
        <v/>
      </c>
      <c r="T41" s="298" t="str">
        <f t="shared" si="8"/>
        <v/>
      </c>
      <c r="U41" s="300"/>
      <c r="V41" s="261" t="str">
        <f t="shared" si="9"/>
        <v>Unfilled fields to left</v>
      </c>
      <c r="X41" s="25"/>
      <c r="Y41" s="12"/>
    </row>
    <row r="42" spans="2:25">
      <c r="B42" s="14"/>
      <c r="C42" s="83"/>
      <c r="D42" s="83"/>
      <c r="E42" s="494"/>
      <c r="F42" s="84"/>
      <c r="G42" s="85"/>
      <c r="H42" s="86"/>
      <c r="I42" s="86"/>
      <c r="J42" s="87"/>
      <c r="K42" s="87"/>
      <c r="L42" s="87"/>
      <c r="M42" s="87"/>
      <c r="N42" s="87"/>
      <c r="O42" s="28"/>
      <c r="P42" s="28"/>
      <c r="Q42" s="14"/>
      <c r="R42" s="14"/>
      <c r="S42" s="87"/>
      <c r="T42" s="87"/>
      <c r="U42" s="87"/>
      <c r="V42" s="142"/>
      <c r="X42" s="27"/>
      <c r="Y42" s="12"/>
    </row>
    <row r="43" spans="2:25" s="14" customFormat="1">
      <c r="B43" s="144" t="s">
        <v>1349</v>
      </c>
      <c r="C43" s="158"/>
      <c r="D43" s="158"/>
      <c r="E43" s="495"/>
      <c r="F43" s="159"/>
      <c r="G43" s="160"/>
      <c r="H43" s="159"/>
      <c r="I43" s="159"/>
      <c r="J43" s="305"/>
      <c r="K43" s="305"/>
      <c r="L43" s="305"/>
      <c r="M43" s="305"/>
      <c r="N43" s="305"/>
      <c r="O43" s="161"/>
      <c r="P43" s="161"/>
      <c r="Q43" s="162"/>
      <c r="R43" s="151"/>
      <c r="S43" s="305"/>
      <c r="T43" s="305"/>
      <c r="U43" s="305"/>
      <c r="V43" s="169">
        <f>SUM(V44:V47)</f>
        <v>0</v>
      </c>
      <c r="X43" s="70"/>
    </row>
    <row r="44" spans="2:25" s="14" customFormat="1">
      <c r="B44" s="184" t="s">
        <v>1105</v>
      </c>
      <c r="C44" s="182" t="s">
        <v>1350</v>
      </c>
      <c r="D44" s="177" t="s">
        <v>425</v>
      </c>
      <c r="E44" s="35"/>
      <c r="F44" s="24"/>
      <c r="G44" s="21"/>
      <c r="H44" s="21"/>
      <c r="I44" s="21"/>
      <c r="J44" s="304"/>
      <c r="K44" s="304"/>
      <c r="L44" s="304"/>
      <c r="M44" s="304"/>
      <c r="N44" s="44">
        <f t="shared" ref="N44:N47" si="10">IF($D44="MWh/yr (LHV)",$E44,$J44*$E44*(1-$L44)/Conversion_kWh_to_MJ)</f>
        <v>0</v>
      </c>
      <c r="O44" s="12"/>
      <c r="P44" s="12"/>
      <c r="Q44" s="12"/>
      <c r="R44" s="12"/>
      <c r="S44" s="298">
        <v>0</v>
      </c>
      <c r="T44" s="473"/>
      <c r="U44" s="35" t="s">
        <v>1248</v>
      </c>
      <c r="V44" s="261" t="str">
        <f t="shared" ref="V44:V47" si="11">IFERROR(IF(D44="tonnes/yr", $S44*$E44/($N$9*3.6), $T44*$E44*3.6/($N$9*3.6)), "Unfilled fields to left")</f>
        <v>Unfilled fields to left</v>
      </c>
      <c r="X44" s="21"/>
    </row>
    <row r="45" spans="2:25" s="14" customFormat="1">
      <c r="B45" s="184" t="s">
        <v>1105</v>
      </c>
      <c r="C45" s="182" t="s">
        <v>1351</v>
      </c>
      <c r="D45" s="177" t="s">
        <v>425</v>
      </c>
      <c r="E45" s="35"/>
      <c r="F45" s="63"/>
      <c r="G45" s="63"/>
      <c r="H45" s="63"/>
      <c r="I45" s="63"/>
      <c r="J45" s="302"/>
      <c r="K45" s="304"/>
      <c r="L45" s="304"/>
      <c r="M45" s="304"/>
      <c r="N45" s="44">
        <f t="shared" si="10"/>
        <v>0</v>
      </c>
      <c r="O45" s="12"/>
      <c r="P45" s="12"/>
      <c r="Q45" s="12"/>
      <c r="R45" s="12"/>
      <c r="S45" s="35">
        <v>1000</v>
      </c>
      <c r="T45" s="514"/>
      <c r="U45" s="35" t="s">
        <v>1158</v>
      </c>
      <c r="V45" s="261" t="str">
        <f t="shared" si="11"/>
        <v>Unfilled fields to left</v>
      </c>
      <c r="X45" s="21"/>
    </row>
    <row r="46" spans="2:25" s="14" customFormat="1">
      <c r="B46" s="184" t="s">
        <v>1105</v>
      </c>
      <c r="C46" s="182" t="s">
        <v>1322</v>
      </c>
      <c r="D46" s="177" t="s">
        <v>425</v>
      </c>
      <c r="E46" s="35"/>
      <c r="F46" s="21"/>
      <c r="G46" s="21"/>
      <c r="H46" s="63"/>
      <c r="I46" s="63"/>
      <c r="J46" s="302"/>
      <c r="K46" s="304"/>
      <c r="L46" s="304"/>
      <c r="M46" s="304"/>
      <c r="N46" s="44">
        <f t="shared" si="10"/>
        <v>0</v>
      </c>
      <c r="O46" s="19"/>
      <c r="P46" s="19"/>
      <c r="Q46" s="19"/>
      <c r="R46" s="19"/>
      <c r="S46" s="479">
        <v>0</v>
      </c>
      <c r="T46" s="514"/>
      <c r="U46" s="35" t="s">
        <v>1248</v>
      </c>
      <c r="V46" s="261" t="str">
        <f t="shared" si="11"/>
        <v>Unfilled fields to left</v>
      </c>
      <c r="X46" s="65"/>
    </row>
    <row r="47" spans="2:25" s="14" customFormat="1">
      <c r="B47" s="184" t="s">
        <v>1105</v>
      </c>
      <c r="C47" s="182" t="s">
        <v>1259</v>
      </c>
      <c r="D47" s="177" t="s">
        <v>425</v>
      </c>
      <c r="E47" s="35"/>
      <c r="F47" s="21"/>
      <c r="G47" s="21"/>
      <c r="H47" s="21"/>
      <c r="I47" s="21"/>
      <c r="J47" s="304"/>
      <c r="K47" s="304"/>
      <c r="L47" s="304"/>
      <c r="M47" s="304"/>
      <c r="N47" s="44">
        <f t="shared" si="10"/>
        <v>0</v>
      </c>
      <c r="O47" s="19"/>
      <c r="P47" s="19"/>
      <c r="Q47" s="19"/>
      <c r="R47" s="19"/>
      <c r="S47" s="479">
        <v>1000</v>
      </c>
      <c r="T47" s="514"/>
      <c r="U47" s="35" t="s">
        <v>1158</v>
      </c>
      <c r="V47" s="261" t="str">
        <f t="shared" si="11"/>
        <v>Unfilled fields to left</v>
      </c>
      <c r="X47" s="65"/>
    </row>
    <row r="48" spans="2:25" s="14" customFormat="1">
      <c r="B48" s="68"/>
      <c r="C48" s="69"/>
      <c r="D48" s="69"/>
      <c r="E48" s="500"/>
      <c r="F48" s="70"/>
      <c r="G48" s="70"/>
      <c r="H48" s="70"/>
      <c r="I48" s="70"/>
      <c r="J48" s="141"/>
      <c r="K48" s="141"/>
      <c r="L48" s="141"/>
      <c r="M48" s="141"/>
      <c r="N48" s="73"/>
      <c r="O48" s="19"/>
      <c r="P48" s="19"/>
      <c r="Q48" s="19"/>
      <c r="R48" s="19"/>
      <c r="S48" s="73"/>
      <c r="T48" s="73"/>
      <c r="U48" s="73"/>
      <c r="V48" s="141"/>
      <c r="X48" s="70"/>
    </row>
    <row r="49" spans="2:25" s="14" customFormat="1" ht="16.5">
      <c r="B49" s="144" t="s">
        <v>1108</v>
      </c>
      <c r="C49" s="158"/>
      <c r="D49" s="158"/>
      <c r="E49" s="495"/>
      <c r="F49" s="159"/>
      <c r="G49" s="160"/>
      <c r="H49" s="159"/>
      <c r="I49" s="159"/>
      <c r="J49" s="305"/>
      <c r="K49" s="305"/>
      <c r="L49" s="305"/>
      <c r="M49" s="305"/>
      <c r="N49" s="305"/>
      <c r="O49" s="161"/>
      <c r="P49" s="161"/>
      <c r="Q49" s="162"/>
      <c r="R49" s="151"/>
      <c r="S49" s="305"/>
      <c r="T49" s="305"/>
      <c r="U49" s="305"/>
      <c r="V49" s="169">
        <f>SUM(V50:V55)</f>
        <v>0</v>
      </c>
      <c r="X49" s="70"/>
    </row>
    <row r="50" spans="2:25">
      <c r="B50" s="184" t="s">
        <v>1069</v>
      </c>
      <c r="C50" s="182" t="s">
        <v>1111</v>
      </c>
      <c r="D50" s="177" t="s">
        <v>447</v>
      </c>
      <c r="E50" s="35"/>
      <c r="F50" s="24"/>
      <c r="G50" s="21"/>
      <c r="H50" s="20"/>
      <c r="I50" s="36"/>
      <c r="J50" s="301"/>
      <c r="K50" s="300"/>
      <c r="L50" s="300"/>
      <c r="M50" s="300"/>
      <c r="N50" s="44">
        <f t="shared" ref="N50:N55" si="12">IF($D50="MWh/yr (LHV)",$E50,$J50*$E50*(1-$L50)/Conversion_kWh_to_MJ)</f>
        <v>0</v>
      </c>
      <c r="O50" s="12"/>
      <c r="P50" s="12"/>
      <c r="S50" s="298" t="str">
        <f t="shared" ref="S50:S55" si="13">IF(B50="", "", IF(D50="MWh/yr (LHV)", "Use column to right", "Enter data here"))</f>
        <v>Use column to right</v>
      </c>
      <c r="T50" s="298" t="e">
        <f>IF(B50="", "", IF(D50="MWh/yr (LHV)", Initial_questions!$E$43*1/Conversion_kWh_to_MJ, "Use column to left"))</f>
        <v>#VALUE!</v>
      </c>
      <c r="U50" s="298" t="s">
        <v>1110</v>
      </c>
      <c r="V50" s="262" t="str">
        <f t="shared" ref="V50:V55" si="14">IFERROR(IF(D50="tonnes/yr", $S50*$E50/($N$9*3.6), $T50*$E50*3.6/($N$9*3.6)), "Unfilled fields to left")</f>
        <v>Unfilled fields to left</v>
      </c>
      <c r="X50" s="25"/>
      <c r="Y50" s="12"/>
    </row>
    <row r="51" spans="2:25">
      <c r="B51" s="184" t="s">
        <v>1069</v>
      </c>
      <c r="C51" s="182" t="s">
        <v>1109</v>
      </c>
      <c r="D51" s="177" t="s">
        <v>447</v>
      </c>
      <c r="E51" s="35"/>
      <c r="F51" s="24"/>
      <c r="G51" s="21"/>
      <c r="H51" s="20"/>
      <c r="I51" s="36"/>
      <c r="J51" s="298"/>
      <c r="K51" s="300"/>
      <c r="L51" s="300"/>
      <c r="M51" s="300"/>
      <c r="N51" s="44">
        <f t="shared" si="12"/>
        <v>0</v>
      </c>
      <c r="O51" s="55"/>
      <c r="P51" s="55"/>
      <c r="S51" s="298" t="str">
        <f t="shared" si="13"/>
        <v>Use column to right</v>
      </c>
      <c r="T51" s="35" t="e">
        <f>INDEX(Proj_grid_intensity_kWh,MATCH(Operations_year,Proj_grid_year,0))/Conversion_kWh_to_MJ</f>
        <v>#N/A</v>
      </c>
      <c r="U51" s="35" t="s">
        <v>1112</v>
      </c>
      <c r="V51" s="371" t="str">
        <f t="shared" si="14"/>
        <v>Unfilled fields to left</v>
      </c>
      <c r="X51" s="25"/>
      <c r="Y51" s="12"/>
    </row>
    <row r="52" spans="2:25">
      <c r="B52" s="184" t="s">
        <v>1069</v>
      </c>
      <c r="C52" s="182" t="s">
        <v>1113</v>
      </c>
      <c r="D52" s="177" t="s">
        <v>425</v>
      </c>
      <c r="E52" s="35"/>
      <c r="F52" s="24"/>
      <c r="G52" s="21"/>
      <c r="H52" s="20"/>
      <c r="I52" s="36"/>
      <c r="J52" s="298"/>
      <c r="K52" s="300"/>
      <c r="L52" s="300"/>
      <c r="M52" s="300"/>
      <c r="N52" s="44">
        <f t="shared" si="12"/>
        <v>0</v>
      </c>
      <c r="O52" s="55"/>
      <c r="P52" s="55"/>
      <c r="S52" s="298" t="str">
        <f t="shared" si="13"/>
        <v>Enter data here</v>
      </c>
      <c r="T52" s="35" t="str">
        <f>IF(B52="", "", IF(D52="MWh/yr (LHV)", "Enter data here", "Use column to left"))</f>
        <v>Use column to left</v>
      </c>
      <c r="U52" s="35" t="s">
        <v>1114</v>
      </c>
      <c r="V52" s="371" t="str">
        <f t="shared" si="14"/>
        <v>Unfilled fields to left</v>
      </c>
      <c r="X52" s="25"/>
      <c r="Y52" s="12"/>
    </row>
    <row r="53" spans="2:25" s="14" customFormat="1">
      <c r="B53" s="184" t="s">
        <v>1069</v>
      </c>
      <c r="C53" s="182" t="s">
        <v>1115</v>
      </c>
      <c r="D53" s="177" t="s">
        <v>425</v>
      </c>
      <c r="E53" s="35"/>
      <c r="F53" s="24"/>
      <c r="G53" s="21"/>
      <c r="H53" s="21"/>
      <c r="I53" s="21"/>
      <c r="J53" s="304"/>
      <c r="K53" s="304"/>
      <c r="L53" s="304"/>
      <c r="M53" s="304"/>
      <c r="N53" s="44">
        <f t="shared" si="12"/>
        <v>0</v>
      </c>
      <c r="O53" s="12"/>
      <c r="P53" s="12"/>
      <c r="Q53" s="12"/>
      <c r="R53" s="12"/>
      <c r="S53" s="298" t="str">
        <f t="shared" si="13"/>
        <v>Enter data here</v>
      </c>
      <c r="T53" s="35" t="str">
        <f>IF(B53="", "", IF(D53="MWh/yr (LHV)", "Enter data here", "Use column to left"))</f>
        <v>Use column to left</v>
      </c>
      <c r="U53" s="35" t="s">
        <v>1114</v>
      </c>
      <c r="V53" s="371" t="str">
        <f t="shared" si="14"/>
        <v>Unfilled fields to left</v>
      </c>
      <c r="X53" s="21"/>
    </row>
    <row r="54" spans="2:25" s="14" customFormat="1">
      <c r="B54" s="184" t="s">
        <v>1069</v>
      </c>
      <c r="C54" s="182" t="s">
        <v>1116</v>
      </c>
      <c r="D54" s="177" t="s">
        <v>447</v>
      </c>
      <c r="E54" s="35"/>
      <c r="F54" s="24"/>
      <c r="G54" s="21"/>
      <c r="H54" s="21"/>
      <c r="I54" s="21"/>
      <c r="J54" s="304"/>
      <c r="K54" s="304"/>
      <c r="L54" s="304"/>
      <c r="M54" s="304"/>
      <c r="N54" s="44">
        <f t="shared" si="12"/>
        <v>0</v>
      </c>
      <c r="O54" s="12"/>
      <c r="P54" s="12"/>
      <c r="Q54" s="12"/>
      <c r="R54" s="12"/>
      <c r="S54" s="298" t="str">
        <f t="shared" si="13"/>
        <v>Use column to right</v>
      </c>
      <c r="T54" s="35" t="e">
        <f>INDEX(Proj_grid_intensity_kWh,MATCH(Operations_year,Proj_grid_year,0))/Conversion_kWh_to_MJ</f>
        <v>#N/A</v>
      </c>
      <c r="U54" s="35" t="s">
        <v>1112</v>
      </c>
      <c r="V54" s="371" t="str">
        <f t="shared" si="14"/>
        <v>Unfilled fields to left</v>
      </c>
      <c r="X54" s="21"/>
    </row>
    <row r="55" spans="2:25" s="14" customFormat="1">
      <c r="B55" s="16"/>
      <c r="C55" s="15"/>
      <c r="D55" s="177"/>
      <c r="E55" s="35"/>
      <c r="F55" s="24"/>
      <c r="G55" s="21"/>
      <c r="H55" s="21"/>
      <c r="I55" s="21"/>
      <c r="J55" s="304"/>
      <c r="K55" s="304"/>
      <c r="L55" s="304"/>
      <c r="M55" s="304"/>
      <c r="N55" s="44">
        <f t="shared" si="12"/>
        <v>0</v>
      </c>
      <c r="O55" s="12"/>
      <c r="P55" s="12"/>
      <c r="Q55" s="12"/>
      <c r="R55" s="12"/>
      <c r="S55" s="298" t="str">
        <f t="shared" si="13"/>
        <v/>
      </c>
      <c r="T55" s="300" t="str">
        <f>IF(B55="", "", IF(D55="MWh/yr (LHV)", "Enter data here", "Use column to left"))</f>
        <v/>
      </c>
      <c r="U55" s="300"/>
      <c r="V55" s="371" t="str">
        <f t="shared" si="14"/>
        <v>Unfilled fields to left</v>
      </c>
      <c r="X55" s="21"/>
    </row>
    <row r="56" spans="2:25" s="14" customFormat="1">
      <c r="B56" s="68"/>
      <c r="C56" s="69"/>
      <c r="D56" s="69"/>
      <c r="E56" s="141"/>
      <c r="F56" s="70"/>
      <c r="G56" s="70"/>
      <c r="H56" s="71"/>
      <c r="I56" s="71"/>
      <c r="J56" s="73"/>
      <c r="K56" s="73"/>
      <c r="L56" s="73"/>
      <c r="M56" s="73"/>
      <c r="N56" s="73"/>
      <c r="O56" s="12"/>
      <c r="P56" s="12"/>
      <c r="Q56" s="12"/>
      <c r="R56" s="12"/>
      <c r="S56" s="73"/>
      <c r="T56" s="73"/>
      <c r="U56" s="73"/>
      <c r="V56" s="141"/>
      <c r="X56" s="70"/>
    </row>
    <row r="57" spans="2:25" s="14" customFormat="1">
      <c r="B57" s="144" t="s">
        <v>1188</v>
      </c>
      <c r="C57" s="158"/>
      <c r="D57" s="158"/>
      <c r="E57" s="495"/>
      <c r="F57" s="159"/>
      <c r="G57" s="160"/>
      <c r="H57" s="159"/>
      <c r="I57" s="159"/>
      <c r="J57" s="305"/>
      <c r="K57" s="305"/>
      <c r="L57" s="305"/>
      <c r="M57" s="305"/>
      <c r="N57" s="305"/>
      <c r="O57" s="161"/>
      <c r="P57" s="161"/>
      <c r="Q57" s="162"/>
      <c r="R57" s="151"/>
      <c r="S57" s="305"/>
      <c r="T57" s="305"/>
      <c r="U57" s="305"/>
      <c r="V57" s="169">
        <f>SUM(V58:V65)</f>
        <v>0</v>
      </c>
      <c r="X57" s="70"/>
    </row>
    <row r="58" spans="2:25">
      <c r="B58" s="184" t="s">
        <v>1069</v>
      </c>
      <c r="C58" s="182" t="s">
        <v>1189</v>
      </c>
      <c r="D58" s="177" t="s">
        <v>447</v>
      </c>
      <c r="E58" s="35"/>
      <c r="F58" s="24"/>
      <c r="G58" s="21"/>
      <c r="H58" s="20"/>
      <c r="I58" s="36"/>
      <c r="J58" s="301"/>
      <c r="K58" s="300"/>
      <c r="L58" s="300"/>
      <c r="M58" s="300"/>
      <c r="N58" s="44">
        <f t="shared" ref="N58:N65" si="15">IF($D58="MWh/yr (LHV)",$E58,$J58*$E58*(1-$L58)/Conversion_kWh_to_MJ)</f>
        <v>0</v>
      </c>
      <c r="O58" s="12"/>
      <c r="P58" s="12"/>
      <c r="S58" s="298" t="str">
        <f t="shared" ref="S58:S65" si="16">IF(B58="", "", IF(D58="MWh/yr (LHV)", "Use column to right", "Enter data here"))</f>
        <v>Use column to right</v>
      </c>
      <c r="T58" s="298" t="e">
        <f>IF(B58="", "", IF(D58="MWh/yr (LHV)", Initial_questions!$E$43*1/Conversion_kWh_to_MJ, "Use column to left"))</f>
        <v>#VALUE!</v>
      </c>
      <c r="U58" s="298" t="s">
        <v>1110</v>
      </c>
      <c r="V58" s="262" t="str">
        <f t="shared" ref="V58:V65" si="17">IFERROR(IF(D58="tonnes/yr", $S58*$E58/($N$9*3.6), $T58*$E58*3.6/($N$9*3.6)), "Unfilled fields to left")</f>
        <v>Unfilled fields to left</v>
      </c>
      <c r="X58" s="25"/>
      <c r="Y58" s="12"/>
    </row>
    <row r="59" spans="2:25">
      <c r="B59" s="184" t="s">
        <v>1069</v>
      </c>
      <c r="C59" s="182" t="s">
        <v>1190</v>
      </c>
      <c r="D59" s="177" t="s">
        <v>447</v>
      </c>
      <c r="E59" s="35"/>
      <c r="F59" s="24"/>
      <c r="G59" s="21"/>
      <c r="H59" s="20"/>
      <c r="I59" s="36"/>
      <c r="J59" s="298"/>
      <c r="K59" s="300"/>
      <c r="L59" s="300"/>
      <c r="M59" s="300"/>
      <c r="N59" s="44">
        <f t="shared" si="15"/>
        <v>0</v>
      </c>
      <c r="O59" s="55"/>
      <c r="P59" s="55"/>
      <c r="S59" s="298" t="str">
        <f t="shared" si="16"/>
        <v>Use column to right</v>
      </c>
      <c r="T59" s="35" t="e">
        <f>INDEX(Proj_grid_intensity_kWh,MATCH(Operations_year,Proj_grid_year,0))/Conversion_kWh_to_MJ</f>
        <v>#N/A</v>
      </c>
      <c r="U59" s="35" t="s">
        <v>1112</v>
      </c>
      <c r="V59" s="371" t="str">
        <f t="shared" si="17"/>
        <v>Unfilled fields to left</v>
      </c>
      <c r="X59" s="25"/>
      <c r="Y59" s="12"/>
    </row>
    <row r="60" spans="2:25">
      <c r="B60" s="184" t="s">
        <v>1069</v>
      </c>
      <c r="C60" s="182" t="s">
        <v>1191</v>
      </c>
      <c r="D60" s="177" t="s">
        <v>425</v>
      </c>
      <c r="E60" s="35"/>
      <c r="F60" s="24"/>
      <c r="G60" s="21"/>
      <c r="H60" s="20"/>
      <c r="I60" s="36"/>
      <c r="J60" s="298"/>
      <c r="K60" s="300"/>
      <c r="L60" s="300"/>
      <c r="M60" s="300"/>
      <c r="N60" s="44">
        <f t="shared" si="15"/>
        <v>0</v>
      </c>
      <c r="O60" s="55"/>
      <c r="P60" s="55"/>
      <c r="S60" s="298" t="str">
        <f t="shared" si="16"/>
        <v>Enter data here</v>
      </c>
      <c r="T60" s="35" t="str">
        <f>IF(B60="", "", IF(D60="MWh/yr (LHV)", "Enter data here", "Use column to left"))</f>
        <v>Use column to left</v>
      </c>
      <c r="U60" s="35" t="s">
        <v>1114</v>
      </c>
      <c r="V60" s="371" t="str">
        <f t="shared" si="17"/>
        <v>Unfilled fields to left</v>
      </c>
      <c r="X60" s="25"/>
      <c r="Y60" s="12"/>
    </row>
    <row r="61" spans="2:25">
      <c r="B61" s="184" t="s">
        <v>1069</v>
      </c>
      <c r="C61" s="182" t="s">
        <v>1192</v>
      </c>
      <c r="D61" s="177" t="s">
        <v>425</v>
      </c>
      <c r="E61" s="35"/>
      <c r="F61" s="24"/>
      <c r="G61" s="21"/>
      <c r="H61" s="20"/>
      <c r="I61" s="36"/>
      <c r="J61" s="298"/>
      <c r="K61" s="300"/>
      <c r="L61" s="300"/>
      <c r="M61" s="300"/>
      <c r="N61" s="44">
        <f t="shared" si="15"/>
        <v>0</v>
      </c>
      <c r="O61" s="55"/>
      <c r="P61" s="55"/>
      <c r="S61" s="298" t="str">
        <f t="shared" si="16"/>
        <v>Enter data here</v>
      </c>
      <c r="T61" s="35" t="str">
        <f t="shared" ref="T61:T64" si="18">IF(B61="", "", IF(D61="MWh/yr (LHV)", "Enter data here", "Use column to left"))</f>
        <v>Use column to left</v>
      </c>
      <c r="U61" s="35" t="s">
        <v>1114</v>
      </c>
      <c r="V61" s="371" t="str">
        <f t="shared" si="17"/>
        <v>Unfilled fields to left</v>
      </c>
      <c r="X61" s="25"/>
      <c r="Y61" s="12"/>
    </row>
    <row r="62" spans="2:25">
      <c r="B62" s="184" t="s">
        <v>1069</v>
      </c>
      <c r="C62" s="182" t="s">
        <v>1193</v>
      </c>
      <c r="D62" s="177" t="s">
        <v>447</v>
      </c>
      <c r="E62" s="35"/>
      <c r="F62" s="24"/>
      <c r="G62" s="21"/>
      <c r="H62" s="20"/>
      <c r="I62" s="36"/>
      <c r="J62" s="298"/>
      <c r="K62" s="300"/>
      <c r="L62" s="300"/>
      <c r="M62" s="300"/>
      <c r="N62" s="44">
        <f t="shared" si="15"/>
        <v>0</v>
      </c>
      <c r="O62" s="55"/>
      <c r="P62" s="55"/>
      <c r="S62" s="298" t="str">
        <f t="shared" si="16"/>
        <v>Use column to right</v>
      </c>
      <c r="T62" s="35" t="str">
        <f t="shared" si="18"/>
        <v>Enter data here</v>
      </c>
      <c r="U62" s="35" t="s">
        <v>1112</v>
      </c>
      <c r="V62" s="371" t="str">
        <f t="shared" si="17"/>
        <v>Unfilled fields to left</v>
      </c>
      <c r="X62" s="25"/>
      <c r="Y62" s="12"/>
    </row>
    <row r="63" spans="2:25">
      <c r="B63" s="184" t="s">
        <v>1069</v>
      </c>
      <c r="C63" s="182" t="s">
        <v>1194</v>
      </c>
      <c r="D63" s="177" t="s">
        <v>447</v>
      </c>
      <c r="E63" s="35"/>
      <c r="F63" s="24"/>
      <c r="G63" s="21"/>
      <c r="H63" s="20"/>
      <c r="I63" s="36"/>
      <c r="J63" s="298"/>
      <c r="K63" s="300"/>
      <c r="L63" s="300"/>
      <c r="M63" s="300"/>
      <c r="N63" s="44">
        <f t="shared" si="15"/>
        <v>0</v>
      </c>
      <c r="O63" s="55"/>
      <c r="P63" s="55"/>
      <c r="S63" s="298" t="str">
        <f t="shared" ref="S63" si="19">IF(B63="", "", IF(D63="MWh/yr (LHV)", "Use column to right", "Enter data here"))</f>
        <v>Use column to right</v>
      </c>
      <c r="T63" s="35" t="str">
        <f t="shared" ref="T63" si="20">IF(B63="", "", IF(D63="MWh/yr (LHV)", "Enter data here", "Use column to left"))</f>
        <v>Enter data here</v>
      </c>
      <c r="U63" s="35" t="s">
        <v>1112</v>
      </c>
      <c r="V63" s="371" t="str">
        <f t="shared" ref="V63" si="21">IFERROR(IF(D63="tonnes/yr", $S63*$E63/($N$9*3.6), $T63*$E63*3.6/($N$9*3.6)), "Unfilled fields to left")</f>
        <v>Unfilled fields to left</v>
      </c>
      <c r="X63" s="25"/>
      <c r="Y63" s="12"/>
    </row>
    <row r="64" spans="2:25">
      <c r="B64" s="184" t="s">
        <v>1069</v>
      </c>
      <c r="C64" s="182" t="s">
        <v>1195</v>
      </c>
      <c r="D64" s="177" t="s">
        <v>447</v>
      </c>
      <c r="E64" s="35"/>
      <c r="F64" s="24"/>
      <c r="G64" s="21"/>
      <c r="H64" s="20"/>
      <c r="I64" s="36"/>
      <c r="J64" s="298"/>
      <c r="K64" s="300"/>
      <c r="L64" s="300"/>
      <c r="M64" s="300"/>
      <c r="N64" s="44">
        <f t="shared" si="15"/>
        <v>0</v>
      </c>
      <c r="O64" s="55"/>
      <c r="P64" s="55"/>
      <c r="S64" s="298" t="str">
        <f t="shared" si="16"/>
        <v>Use column to right</v>
      </c>
      <c r="T64" s="35" t="str">
        <f t="shared" si="18"/>
        <v>Enter data here</v>
      </c>
      <c r="U64" s="35" t="s">
        <v>1112</v>
      </c>
      <c r="V64" s="371" t="str">
        <f t="shared" si="17"/>
        <v>Unfilled fields to left</v>
      </c>
      <c r="X64" s="25"/>
      <c r="Y64" s="12"/>
    </row>
    <row r="65" spans="2:24" s="14" customFormat="1">
      <c r="B65" s="184"/>
      <c r="C65" s="182"/>
      <c r="D65" s="177"/>
      <c r="E65" s="35"/>
      <c r="F65" s="24"/>
      <c r="G65" s="21"/>
      <c r="H65" s="21"/>
      <c r="I65" s="21"/>
      <c r="J65" s="304"/>
      <c r="K65" s="304"/>
      <c r="L65" s="304"/>
      <c r="M65" s="304"/>
      <c r="N65" s="44">
        <f t="shared" si="15"/>
        <v>0</v>
      </c>
      <c r="O65" s="12"/>
      <c r="P65" s="12"/>
      <c r="Q65" s="12"/>
      <c r="R65" s="12"/>
      <c r="S65" s="298" t="str">
        <f t="shared" si="16"/>
        <v/>
      </c>
      <c r="T65" s="35" t="str">
        <f>IF(B65="", "", IF(D65="MWh/yr (LHV)", "Enter data here", "Use column to left"))</f>
        <v/>
      </c>
      <c r="U65" s="35"/>
      <c r="V65" s="371" t="str">
        <f t="shared" si="17"/>
        <v>Unfilled fields to left</v>
      </c>
      <c r="X65" s="21"/>
    </row>
    <row r="66" spans="2:24" s="14" customFormat="1">
      <c r="B66" s="68"/>
      <c r="C66" s="69"/>
      <c r="D66" s="69"/>
      <c r="E66" s="141"/>
      <c r="F66" s="70"/>
      <c r="G66" s="70"/>
      <c r="H66" s="71"/>
      <c r="I66" s="71"/>
      <c r="J66" s="73"/>
      <c r="K66" s="73"/>
      <c r="L66" s="73"/>
      <c r="M66" s="73"/>
      <c r="N66" s="73"/>
      <c r="O66" s="12"/>
      <c r="P66" s="12"/>
      <c r="Q66" s="12"/>
      <c r="R66" s="12"/>
      <c r="S66" s="73"/>
      <c r="T66" s="73"/>
      <c r="U66" s="73"/>
      <c r="V66" s="141"/>
      <c r="X66" s="70"/>
    </row>
    <row r="67" spans="2:24" s="14" customFormat="1" ht="16.5">
      <c r="B67" s="144" t="s">
        <v>1352</v>
      </c>
      <c r="C67" s="158"/>
      <c r="D67" s="158"/>
      <c r="E67" s="495"/>
      <c r="F67" s="159"/>
      <c r="G67" s="160"/>
      <c r="H67" s="159"/>
      <c r="I67" s="159"/>
      <c r="J67" s="305"/>
      <c r="K67" s="305"/>
      <c r="L67" s="305"/>
      <c r="M67" s="305"/>
      <c r="N67" s="305"/>
      <c r="O67" s="161"/>
      <c r="P67" s="161"/>
      <c r="Q67" s="162"/>
      <c r="R67" s="151"/>
      <c r="S67" s="305"/>
      <c r="T67" s="305"/>
      <c r="U67" s="305"/>
      <c r="V67" s="169">
        <f>SUM(V68:V71)</f>
        <v>0</v>
      </c>
      <c r="X67" s="70"/>
    </row>
    <row r="68" spans="2:24" s="14" customFormat="1">
      <c r="B68" s="184" t="s">
        <v>1118</v>
      </c>
      <c r="C68" s="182" t="s">
        <v>1353</v>
      </c>
      <c r="D68" s="177" t="s">
        <v>425</v>
      </c>
      <c r="E68" s="35">
        <f>(E44+E46)*$E$93</f>
        <v>0</v>
      </c>
      <c r="F68" s="63"/>
      <c r="G68" s="63"/>
      <c r="H68" s="63"/>
      <c r="I68" s="63"/>
      <c r="J68" s="302"/>
      <c r="K68" s="304"/>
      <c r="L68" s="304"/>
      <c r="M68" s="304"/>
      <c r="N68" s="44">
        <f t="shared" ref="N68:N78" si="22">IF($D68="MWh/yr (LHV)",$E68,$J68*$E68*(1-$L68)/Conversion_kWh_to_MJ)</f>
        <v>0</v>
      </c>
      <c r="O68" s="12"/>
      <c r="P68" s="12"/>
      <c r="Q68" s="12"/>
      <c r="R68" s="12"/>
      <c r="S68" s="301">
        <v>-1000</v>
      </c>
      <c r="T68" s="473"/>
      <c r="U68" s="35" t="s">
        <v>1251</v>
      </c>
      <c r="V68" s="261" t="str">
        <f>IFERROR(IF(D68="tonnes/yr", $S68*$E68/($N$9*3.6), $T68*$E68*3.6/($N$9*3.6)), "Unfilled fields to left")</f>
        <v>Unfilled fields to left</v>
      </c>
      <c r="X68" s="21"/>
    </row>
    <row r="69" spans="2:24" s="14" customFormat="1">
      <c r="B69" s="184" t="s">
        <v>1118</v>
      </c>
      <c r="C69" s="182" t="s">
        <v>1119</v>
      </c>
      <c r="D69" s="177" t="s">
        <v>425</v>
      </c>
      <c r="E69" s="35">
        <f>(E45+E47)*$E$93</f>
        <v>0</v>
      </c>
      <c r="F69" s="21"/>
      <c r="G69" s="21"/>
      <c r="H69" s="63"/>
      <c r="I69" s="63"/>
      <c r="J69" s="302"/>
      <c r="K69" s="304"/>
      <c r="L69" s="304"/>
      <c r="M69" s="304"/>
      <c r="N69" s="44">
        <f t="shared" si="22"/>
        <v>0</v>
      </c>
      <c r="O69" s="19"/>
      <c r="P69" s="19"/>
      <c r="Q69" s="19"/>
      <c r="R69" s="19"/>
      <c r="S69" s="35">
        <v>-1000</v>
      </c>
      <c r="T69" s="514"/>
      <c r="U69" s="35" t="s">
        <v>1182</v>
      </c>
      <c r="V69" s="261" t="str">
        <f>IFERROR(IF(D69="tonnes/yr", $S69*$E69/($N$9*3.6), $T69*$E69*3.6/($N$9*3.6)), "Unfilled fields to left")</f>
        <v>Unfilled fields to left</v>
      </c>
      <c r="X69" s="65"/>
    </row>
    <row r="70" spans="2:24" s="14" customFormat="1">
      <c r="B70" s="185"/>
      <c r="C70" s="182"/>
      <c r="D70" s="177"/>
      <c r="E70" s="35"/>
      <c r="F70" s="21"/>
      <c r="G70" s="21"/>
      <c r="H70" s="63"/>
      <c r="I70" s="63"/>
      <c r="J70" s="302"/>
      <c r="K70" s="304"/>
      <c r="L70" s="304"/>
      <c r="M70" s="304"/>
      <c r="N70" s="44"/>
      <c r="O70" s="19"/>
      <c r="P70" s="19"/>
      <c r="Q70" s="19"/>
      <c r="R70" s="19"/>
      <c r="S70" s="479"/>
      <c r="T70" s="514"/>
      <c r="U70" s="35"/>
      <c r="V70" s="261"/>
      <c r="X70" s="65"/>
    </row>
    <row r="71" spans="2:24" s="14" customFormat="1">
      <c r="B71" s="185"/>
      <c r="C71" s="182"/>
      <c r="D71" s="177"/>
      <c r="E71" s="35"/>
      <c r="F71" s="21"/>
      <c r="G71" s="21"/>
      <c r="H71" s="63"/>
      <c r="I71" s="63"/>
      <c r="J71" s="302"/>
      <c r="K71" s="304"/>
      <c r="L71" s="304"/>
      <c r="M71" s="304"/>
      <c r="N71" s="44"/>
      <c r="O71" s="19"/>
      <c r="P71" s="19"/>
      <c r="Q71" s="19"/>
      <c r="R71" s="19"/>
      <c r="S71" s="479"/>
      <c r="T71" s="514"/>
      <c r="U71" s="35"/>
      <c r="V71" s="261"/>
      <c r="X71" s="65"/>
    </row>
    <row r="72" spans="2:24" s="14" customFormat="1"/>
    <row r="73" spans="2:24" s="14" customFormat="1">
      <c r="B73" s="144" t="s">
        <v>995</v>
      </c>
      <c r="C73" s="158"/>
      <c r="D73" s="158"/>
      <c r="E73" s="495"/>
      <c r="F73" s="159"/>
      <c r="G73" s="160"/>
      <c r="H73" s="159"/>
      <c r="I73" s="159"/>
      <c r="J73" s="305"/>
      <c r="K73" s="305"/>
      <c r="L73" s="305"/>
      <c r="M73" s="305"/>
      <c r="N73" s="305"/>
      <c r="O73" s="161"/>
      <c r="P73" s="161"/>
      <c r="Q73" s="162"/>
      <c r="R73" s="151"/>
      <c r="S73" s="305"/>
      <c r="T73" s="305"/>
      <c r="U73" s="305"/>
      <c r="V73" s="169">
        <f>SUM(V74:V78)</f>
        <v>0</v>
      </c>
      <c r="X73" s="70"/>
    </row>
    <row r="74" spans="2:24" s="14" customFormat="1">
      <c r="B74" s="185" t="s">
        <v>1196</v>
      </c>
      <c r="C74" s="182" t="s">
        <v>1197</v>
      </c>
      <c r="D74" s="177" t="s">
        <v>425</v>
      </c>
      <c r="E74" s="35"/>
      <c r="F74" s="21"/>
      <c r="G74" s="21"/>
      <c r="H74" s="21"/>
      <c r="I74" s="21"/>
      <c r="J74" s="304"/>
      <c r="K74" s="304"/>
      <c r="L74" s="304"/>
      <c r="M74" s="304"/>
      <c r="N74" s="44">
        <f t="shared" si="22"/>
        <v>0</v>
      </c>
      <c r="O74" s="19"/>
      <c r="P74" s="19"/>
      <c r="Q74" s="19"/>
      <c r="R74" s="19"/>
      <c r="S74" s="513">
        <v>0</v>
      </c>
      <c r="T74" s="473"/>
      <c r="U74" s="35" t="s">
        <v>1198</v>
      </c>
      <c r="V74" s="261" t="str">
        <f>IFERROR(IF(D74="tonnes/yr", $S74*$E74/($N$9*3.6), $T74*$E74*3.6/($N$9*3.6)), "Unfilled fields to left")</f>
        <v>Unfilled fields to left</v>
      </c>
      <c r="X74" s="65"/>
    </row>
    <row r="75" spans="2:24" s="14" customFormat="1">
      <c r="B75" s="185" t="s">
        <v>1196</v>
      </c>
      <c r="C75" s="182" t="s">
        <v>1354</v>
      </c>
      <c r="D75" s="177" t="s">
        <v>425</v>
      </c>
      <c r="E75" s="35"/>
      <c r="F75" s="21"/>
      <c r="G75" s="21"/>
      <c r="H75" s="21"/>
      <c r="I75" s="21"/>
      <c r="J75" s="304"/>
      <c r="K75" s="304"/>
      <c r="L75" s="304"/>
      <c r="M75" s="304"/>
      <c r="N75" s="44">
        <f t="shared" si="22"/>
        <v>0</v>
      </c>
      <c r="O75" s="19"/>
      <c r="P75" s="19"/>
      <c r="Q75" s="19"/>
      <c r="R75" s="19"/>
      <c r="S75" s="513">
        <v>0</v>
      </c>
      <c r="T75" s="473"/>
      <c r="U75" s="35" t="s">
        <v>1198</v>
      </c>
      <c r="V75" s="261" t="str">
        <f t="shared" ref="V75:V76" si="23">IFERROR(IF(D75="tonnes/yr", $S75*$E75/($N$9*3.6), $T75*$E75*3.6/($N$9*3.6)), "Unfilled fields to left")</f>
        <v>Unfilled fields to left</v>
      </c>
      <c r="X75" s="65"/>
    </row>
    <row r="76" spans="2:24" s="14" customFormat="1">
      <c r="B76" s="185" t="s">
        <v>1196</v>
      </c>
      <c r="C76" s="182" t="s">
        <v>1355</v>
      </c>
      <c r="D76" s="177" t="s">
        <v>425</v>
      </c>
      <c r="E76" s="35"/>
      <c r="F76" s="21"/>
      <c r="G76" s="21"/>
      <c r="H76" s="21"/>
      <c r="I76" s="21"/>
      <c r="J76" s="304"/>
      <c r="K76" s="304"/>
      <c r="L76" s="304"/>
      <c r="M76" s="304"/>
      <c r="N76" s="44">
        <f t="shared" si="22"/>
        <v>0</v>
      </c>
      <c r="O76" s="19"/>
      <c r="P76" s="19"/>
      <c r="Q76" s="19"/>
      <c r="R76" s="19"/>
      <c r="S76" s="513">
        <v>-3664</v>
      </c>
      <c r="T76" s="473"/>
      <c r="U76" s="35" t="s">
        <v>1356</v>
      </c>
      <c r="V76" s="261" t="str">
        <f t="shared" si="23"/>
        <v>Unfilled fields to left</v>
      </c>
      <c r="X76" s="65"/>
    </row>
    <row r="77" spans="2:24" s="14" customFormat="1">
      <c r="B77" s="185" t="s">
        <v>1196</v>
      </c>
      <c r="C77" s="182" t="s">
        <v>1357</v>
      </c>
      <c r="D77" s="177" t="s">
        <v>425</v>
      </c>
      <c r="E77" s="35"/>
      <c r="F77" s="21"/>
      <c r="G77" s="21"/>
      <c r="H77" s="21"/>
      <c r="I77" s="21"/>
      <c r="J77" s="304"/>
      <c r="K77" s="304"/>
      <c r="L77" s="304"/>
      <c r="M77" s="304"/>
      <c r="N77" s="44">
        <f t="shared" si="22"/>
        <v>0</v>
      </c>
      <c r="O77" s="19"/>
      <c r="P77" s="19"/>
      <c r="Q77" s="19"/>
      <c r="R77" s="19"/>
      <c r="S77" s="513">
        <v>-3664</v>
      </c>
      <c r="T77" s="473"/>
      <c r="U77" s="35" t="s">
        <v>1356</v>
      </c>
      <c r="V77" s="261" t="str">
        <f>IFERROR(IF(D77="tonnes/yr", $S77*$E77/($N$9*3.6), $T77*$E77*3.6/($N$9*3.6)), "Unfilled fields to left")</f>
        <v>Unfilled fields to left</v>
      </c>
      <c r="X77" s="65"/>
    </row>
    <row r="78" spans="2:24" s="14" customFormat="1">
      <c r="B78" s="185"/>
      <c r="C78" s="182"/>
      <c r="D78" s="177"/>
      <c r="E78" s="35"/>
      <c r="F78" s="21"/>
      <c r="G78" s="21"/>
      <c r="H78" s="21"/>
      <c r="I78" s="21"/>
      <c r="J78" s="304"/>
      <c r="K78" s="304"/>
      <c r="L78" s="304"/>
      <c r="M78" s="304"/>
      <c r="N78" s="44">
        <f t="shared" si="22"/>
        <v>0</v>
      </c>
      <c r="O78" s="19"/>
      <c r="P78" s="19"/>
      <c r="Q78" s="19"/>
      <c r="R78" s="19"/>
      <c r="S78" s="513"/>
      <c r="T78" s="473"/>
      <c r="U78" s="298"/>
      <c r="V78" s="261" t="str">
        <f>IFERROR(IF(D78="tonnes/yr", $S78*$E78/($N$9*3.6), $T78*$E78*3.6/($N$9*3.6)), "Unfilled fields to left")</f>
        <v>Unfilled fields to left</v>
      </c>
      <c r="X78" s="65"/>
    </row>
    <row r="79" spans="2:24" s="14" customFormat="1">
      <c r="B79" s="68"/>
      <c r="C79" s="69"/>
      <c r="D79" s="69"/>
      <c r="E79" s="141"/>
      <c r="F79" s="70"/>
      <c r="G79" s="70"/>
      <c r="H79" s="71"/>
      <c r="I79" s="71"/>
      <c r="J79" s="73"/>
      <c r="K79" s="73"/>
      <c r="L79" s="73"/>
      <c r="M79" s="73"/>
      <c r="N79" s="73"/>
      <c r="O79" s="12"/>
      <c r="P79" s="12"/>
      <c r="Q79" s="12"/>
      <c r="R79" s="12"/>
      <c r="S79" s="73"/>
      <c r="T79" s="73"/>
      <c r="U79" s="73"/>
      <c r="V79" s="141"/>
      <c r="X79" s="70"/>
    </row>
    <row r="80" spans="2:24" s="14" customFormat="1" ht="16.5">
      <c r="B80" s="144" t="s">
        <v>132</v>
      </c>
      <c r="C80" s="158"/>
      <c r="D80" s="158"/>
      <c r="E80" s="495"/>
      <c r="F80" s="159"/>
      <c r="G80" s="160"/>
      <c r="H80" s="159"/>
      <c r="I80" s="159"/>
      <c r="J80" s="305"/>
      <c r="K80" s="305"/>
      <c r="L80" s="305"/>
      <c r="M80" s="305"/>
      <c r="N80" s="305"/>
      <c r="O80" s="161"/>
      <c r="P80" s="161"/>
      <c r="Q80" s="162"/>
      <c r="R80" s="151"/>
      <c r="S80" s="305"/>
      <c r="T80" s="305"/>
      <c r="U80" s="305"/>
      <c r="V80" s="169">
        <f>SUM(V81:V88)</f>
        <v>0</v>
      </c>
      <c r="X80" s="70"/>
    </row>
    <row r="81" spans="2:25" s="14" customFormat="1">
      <c r="B81" s="184" t="s">
        <v>1120</v>
      </c>
      <c r="C81" s="182" t="s">
        <v>1121</v>
      </c>
      <c r="D81" s="177" t="s">
        <v>425</v>
      </c>
      <c r="E81" s="35"/>
      <c r="F81" s="21"/>
      <c r="G81" s="21"/>
      <c r="H81" s="21"/>
      <c r="I81" s="21"/>
      <c r="J81" s="304"/>
      <c r="K81" s="304"/>
      <c r="L81" s="304"/>
      <c r="M81" s="304"/>
      <c r="N81" s="44">
        <f t="shared" ref="N81:N88" si="24">IF($D81="MWh/yr (LHV)",$E81,$J81*$E81*(1-$L81)/Conversion_kWh_to_MJ)</f>
        <v>0</v>
      </c>
      <c r="O81" s="12"/>
      <c r="P81" s="12"/>
      <c r="Q81" s="12"/>
      <c r="R81" s="12"/>
      <c r="S81" s="35">
        <v>28000</v>
      </c>
      <c r="T81" s="514"/>
      <c r="U81" s="35" t="s">
        <v>1107</v>
      </c>
      <c r="V81" s="261" t="str">
        <f t="shared" ref="V81:V88" si="25">IFERROR(IF(D81="tonnes/yr", $S81*$E81/($N$9*3.6), $T81*$E81*3.6/($N$9*3.6)), "Unfilled fields to left")</f>
        <v>Unfilled fields to left</v>
      </c>
      <c r="X81" s="21"/>
    </row>
    <row r="82" spans="2:25" s="14" customFormat="1">
      <c r="B82" s="185" t="s">
        <v>1122</v>
      </c>
      <c r="C82" s="182" t="s">
        <v>1123</v>
      </c>
      <c r="D82" s="177" t="s">
        <v>425</v>
      </c>
      <c r="E82" s="35"/>
      <c r="F82" s="65"/>
      <c r="G82" s="65"/>
      <c r="H82" s="66"/>
      <c r="I82" s="66"/>
      <c r="J82" s="306"/>
      <c r="K82" s="306"/>
      <c r="L82" s="306"/>
      <c r="M82" s="306"/>
      <c r="N82" s="44">
        <f t="shared" si="24"/>
        <v>0</v>
      </c>
      <c r="O82" s="19"/>
      <c r="P82" s="19"/>
      <c r="Q82" s="19"/>
      <c r="R82" s="19"/>
      <c r="S82" s="35">
        <v>265000</v>
      </c>
      <c r="T82" s="514"/>
      <c r="U82" s="479" t="s">
        <v>1107</v>
      </c>
      <c r="V82" s="261" t="str">
        <f t="shared" si="25"/>
        <v>Unfilled fields to left</v>
      </c>
      <c r="X82" s="65"/>
    </row>
    <row r="83" spans="2:25" s="14" customFormat="1">
      <c r="B83" s="185" t="s">
        <v>1124</v>
      </c>
      <c r="C83" s="182" t="s">
        <v>1125</v>
      </c>
      <c r="D83" s="177" t="s">
        <v>425</v>
      </c>
      <c r="E83" s="35"/>
      <c r="F83" s="65"/>
      <c r="G83" s="65"/>
      <c r="H83" s="66"/>
      <c r="I83" s="66"/>
      <c r="J83" s="306"/>
      <c r="K83" s="306"/>
      <c r="L83" s="306"/>
      <c r="M83" s="306"/>
      <c r="N83" s="44">
        <f t="shared" si="24"/>
        <v>0</v>
      </c>
      <c r="O83" s="19"/>
      <c r="P83" s="19"/>
      <c r="Q83" s="19"/>
      <c r="R83" s="19"/>
      <c r="S83" s="35">
        <v>23500000</v>
      </c>
      <c r="T83" s="514"/>
      <c r="U83" s="479" t="s">
        <v>1107</v>
      </c>
      <c r="V83" s="261" t="str">
        <f t="shared" si="25"/>
        <v>Unfilled fields to left</v>
      </c>
      <c r="X83" s="65"/>
    </row>
    <row r="84" spans="2:25" s="14" customFormat="1">
      <c r="B84" s="185" t="s">
        <v>1126</v>
      </c>
      <c r="C84" s="182" t="s">
        <v>1127</v>
      </c>
      <c r="D84" s="177" t="s">
        <v>425</v>
      </c>
      <c r="E84" s="35"/>
      <c r="F84" s="65"/>
      <c r="G84" s="65"/>
      <c r="H84" s="66"/>
      <c r="I84" s="66"/>
      <c r="J84" s="306"/>
      <c r="K84" s="306"/>
      <c r="L84" s="306"/>
      <c r="M84" s="306"/>
      <c r="N84" s="44">
        <f t="shared" si="24"/>
        <v>0</v>
      </c>
      <c r="O84" s="19"/>
      <c r="P84" s="19"/>
      <c r="Q84" s="19"/>
      <c r="R84" s="19"/>
      <c r="S84" s="515" t="s">
        <v>1128</v>
      </c>
      <c r="T84" s="514"/>
      <c r="U84" s="479"/>
      <c r="V84" s="261" t="str">
        <f t="shared" si="25"/>
        <v>Unfilled fields to left</v>
      </c>
      <c r="X84" s="65"/>
    </row>
    <row r="85" spans="2:25" s="14" customFormat="1">
      <c r="B85" s="185" t="s">
        <v>1126</v>
      </c>
      <c r="C85" s="182" t="s">
        <v>1127</v>
      </c>
      <c r="D85" s="177" t="s">
        <v>425</v>
      </c>
      <c r="E85" s="35"/>
      <c r="F85" s="65"/>
      <c r="G85" s="65"/>
      <c r="H85" s="66"/>
      <c r="I85" s="66"/>
      <c r="J85" s="306"/>
      <c r="K85" s="306"/>
      <c r="L85" s="306"/>
      <c r="M85" s="306"/>
      <c r="N85" s="44">
        <f t="shared" si="24"/>
        <v>0</v>
      </c>
      <c r="O85" s="19"/>
      <c r="P85" s="19"/>
      <c r="Q85" s="19"/>
      <c r="R85" s="19"/>
      <c r="S85" s="515" t="s">
        <v>1128</v>
      </c>
      <c r="T85" s="514"/>
      <c r="U85" s="479"/>
      <c r="V85" s="261" t="str">
        <f t="shared" si="25"/>
        <v>Unfilled fields to left</v>
      </c>
      <c r="X85" s="65"/>
    </row>
    <row r="86" spans="2:25" s="14" customFormat="1">
      <c r="B86" s="185" t="s">
        <v>1126</v>
      </c>
      <c r="C86" s="182" t="s">
        <v>1127</v>
      </c>
      <c r="D86" s="177" t="s">
        <v>425</v>
      </c>
      <c r="E86" s="35"/>
      <c r="F86" s="65"/>
      <c r="G86" s="65"/>
      <c r="H86" s="66"/>
      <c r="I86" s="66"/>
      <c r="J86" s="306"/>
      <c r="K86" s="306"/>
      <c r="L86" s="306"/>
      <c r="M86" s="306"/>
      <c r="N86" s="44">
        <f t="shared" si="24"/>
        <v>0</v>
      </c>
      <c r="O86" s="19"/>
      <c r="P86" s="19"/>
      <c r="Q86" s="19"/>
      <c r="R86" s="19"/>
      <c r="S86" s="515" t="s">
        <v>1128</v>
      </c>
      <c r="T86" s="514"/>
      <c r="U86" s="479"/>
      <c r="V86" s="261" t="str">
        <f t="shared" si="25"/>
        <v>Unfilled fields to left</v>
      </c>
      <c r="X86" s="65"/>
    </row>
    <row r="87" spans="2:25" s="14" customFormat="1">
      <c r="B87" s="64"/>
      <c r="C87" s="15"/>
      <c r="D87" s="178"/>
      <c r="E87" s="496"/>
      <c r="F87" s="65"/>
      <c r="G87" s="65"/>
      <c r="H87" s="66"/>
      <c r="I87" s="66"/>
      <c r="J87" s="306"/>
      <c r="K87" s="306"/>
      <c r="L87" s="306"/>
      <c r="M87" s="306"/>
      <c r="N87" s="44">
        <f t="shared" si="24"/>
        <v>0</v>
      </c>
      <c r="O87" s="19"/>
      <c r="P87" s="19"/>
      <c r="Q87" s="19"/>
      <c r="R87" s="19"/>
      <c r="S87" s="300"/>
      <c r="T87" s="473"/>
      <c r="U87" s="306"/>
      <c r="V87" s="261" t="str">
        <f t="shared" si="25"/>
        <v>Unfilled fields to left</v>
      </c>
      <c r="X87" s="65"/>
    </row>
    <row r="88" spans="2:25" s="14" customFormat="1">
      <c r="B88" s="64"/>
      <c r="C88" s="15"/>
      <c r="D88" s="178"/>
      <c r="E88" s="496"/>
      <c r="F88" s="65"/>
      <c r="G88" s="65"/>
      <c r="H88" s="66"/>
      <c r="I88" s="66"/>
      <c r="J88" s="306"/>
      <c r="K88" s="306"/>
      <c r="L88" s="306"/>
      <c r="M88" s="306"/>
      <c r="N88" s="44">
        <f t="shared" si="24"/>
        <v>0</v>
      </c>
      <c r="O88" s="19"/>
      <c r="P88" s="19"/>
      <c r="Q88" s="19"/>
      <c r="R88" s="19"/>
      <c r="S88" s="300"/>
      <c r="T88" s="473"/>
      <c r="U88" s="306"/>
      <c r="V88" s="261" t="str">
        <f t="shared" si="25"/>
        <v>Unfilled fields to left</v>
      </c>
      <c r="X88" s="65"/>
    </row>
    <row r="89" spans="2:25">
      <c r="C89" s="17"/>
      <c r="D89" s="17"/>
      <c r="E89" s="139"/>
      <c r="F89" s="17"/>
      <c r="H89" s="18"/>
      <c r="I89" s="18"/>
      <c r="J89" s="40"/>
      <c r="K89" s="40"/>
      <c r="L89" s="40"/>
      <c r="M89" s="40"/>
      <c r="N89" s="40"/>
      <c r="O89" s="12"/>
      <c r="P89" s="12"/>
      <c r="S89" s="40"/>
      <c r="T89" s="40"/>
      <c r="U89" s="40"/>
      <c r="V89" s="139"/>
      <c r="Y89" s="12"/>
    </row>
    <row r="90" spans="2:25">
      <c r="E90" s="113"/>
      <c r="I90" s="12"/>
      <c r="J90" s="107"/>
      <c r="K90" s="107"/>
      <c r="L90" s="107"/>
      <c r="M90" s="107"/>
      <c r="N90" s="107"/>
      <c r="O90" s="12"/>
      <c r="P90" s="12"/>
      <c r="S90" s="39"/>
      <c r="T90" s="39"/>
      <c r="U90" s="38" t="s">
        <v>1162</v>
      </c>
      <c r="V90" s="169">
        <f>SUM(V19,V31,V43,V49,V57,V67,V73,V80)</f>
        <v>0</v>
      </c>
      <c r="Y90" s="12"/>
    </row>
    <row r="91" spans="2:25">
      <c r="B91" s="144" t="s">
        <v>133</v>
      </c>
      <c r="C91" s="158"/>
      <c r="D91" s="158"/>
      <c r="E91" s="495"/>
      <c r="I91" s="12"/>
      <c r="J91" s="107"/>
      <c r="K91" s="107"/>
      <c r="L91" s="107"/>
      <c r="M91" s="107"/>
      <c r="N91" s="107"/>
      <c r="O91" s="12"/>
      <c r="P91" s="12"/>
      <c r="S91" s="107"/>
      <c r="T91" s="107"/>
      <c r="U91" s="107"/>
      <c r="V91" s="12"/>
      <c r="Y91" s="12"/>
    </row>
    <row r="92" spans="2:25">
      <c r="B92" s="16" t="s">
        <v>1134</v>
      </c>
      <c r="C92" s="15" t="s">
        <v>1135</v>
      </c>
      <c r="D92" s="15" t="s">
        <v>1136</v>
      </c>
      <c r="E92" s="497"/>
      <c r="G92" s="19"/>
      <c r="H92" s="12"/>
      <c r="I92" s="12"/>
      <c r="J92" s="107"/>
      <c r="K92" s="107"/>
      <c r="L92" s="107"/>
      <c r="M92" s="107"/>
      <c r="N92" s="107"/>
      <c r="O92" s="12"/>
      <c r="P92" s="12"/>
      <c r="S92" s="107"/>
      <c r="T92" s="107"/>
      <c r="U92" s="107"/>
      <c r="V92" s="12"/>
      <c r="X92" s="25"/>
      <c r="Y92" s="12"/>
    </row>
    <row r="93" spans="2:25">
      <c r="B93" s="16" t="s">
        <v>1139</v>
      </c>
      <c r="C93" s="15" t="s">
        <v>1184</v>
      </c>
      <c r="D93" s="15" t="s">
        <v>897</v>
      </c>
      <c r="E93" s="507">
        <f>Initial_questions!$E$93</f>
        <v>0</v>
      </c>
      <c r="I93" s="12"/>
      <c r="J93" s="107"/>
      <c r="K93" s="107"/>
      <c r="L93" s="107"/>
      <c r="M93" s="107"/>
      <c r="N93" s="107"/>
      <c r="O93" s="12"/>
      <c r="P93" s="12"/>
      <c r="S93" s="107"/>
      <c r="T93" s="107"/>
      <c r="U93" s="107"/>
      <c r="V93" s="12"/>
      <c r="X93" s="25"/>
      <c r="Y93" s="12"/>
    </row>
    <row r="94" spans="2:25">
      <c r="B94" s="16" t="s">
        <v>1139</v>
      </c>
      <c r="C94" s="15" t="s">
        <v>1200</v>
      </c>
      <c r="D94" s="15" t="s">
        <v>897</v>
      </c>
      <c r="E94" s="507">
        <f>Initial_questions!$E$102</f>
        <v>0</v>
      </c>
      <c r="I94" s="12"/>
      <c r="J94" s="107"/>
      <c r="K94" s="107"/>
      <c r="L94" s="107"/>
      <c r="M94" s="107"/>
      <c r="N94" s="107"/>
      <c r="O94" s="12"/>
      <c r="P94" s="12"/>
      <c r="S94" s="107"/>
      <c r="T94" s="107"/>
      <c r="U94" s="107"/>
      <c r="V94" s="12"/>
      <c r="X94" s="25"/>
      <c r="Y94" s="12"/>
    </row>
    <row r="95" spans="2:25">
      <c r="B95" s="16"/>
      <c r="C95" s="15"/>
      <c r="D95" s="15"/>
      <c r="E95" s="497"/>
      <c r="H95" s="12"/>
      <c r="I95" s="12"/>
      <c r="J95" s="107"/>
      <c r="K95" s="107"/>
      <c r="L95" s="107"/>
      <c r="M95" s="107"/>
      <c r="N95" s="107"/>
      <c r="O95" s="12"/>
      <c r="P95" s="12"/>
      <c r="S95" s="39"/>
      <c r="T95" s="39"/>
      <c r="U95" s="39"/>
      <c r="X95" s="25"/>
    </row>
    <row r="96" spans="2:25">
      <c r="E96" s="113"/>
      <c r="H96" s="12"/>
      <c r="I96" s="12"/>
      <c r="J96" s="107"/>
      <c r="K96" s="107"/>
      <c r="L96" s="107"/>
      <c r="M96" s="107"/>
      <c r="N96" s="107"/>
      <c r="O96" s="12"/>
      <c r="P96" s="12"/>
      <c r="S96" s="39"/>
      <c r="T96" s="39"/>
      <c r="U96" s="39"/>
    </row>
    <row r="97" spans="5:21">
      <c r="E97" s="113"/>
      <c r="J97" s="39"/>
      <c r="K97" s="39"/>
      <c r="L97" s="39"/>
      <c r="M97" s="39"/>
      <c r="S97" s="39"/>
      <c r="T97" s="39"/>
      <c r="U97" s="39"/>
    </row>
    <row r="98" spans="5:21">
      <c r="E98" s="113"/>
      <c r="J98" s="39"/>
      <c r="K98" s="39"/>
      <c r="L98" s="39"/>
      <c r="M98" s="39"/>
      <c r="S98" s="39"/>
      <c r="T98" s="39"/>
      <c r="U98" s="39"/>
    </row>
    <row r="99" spans="5:21">
      <c r="E99" s="113"/>
      <c r="J99" s="39"/>
      <c r="K99" s="39"/>
      <c r="L99" s="39"/>
      <c r="M99" s="39"/>
      <c r="S99" s="39"/>
      <c r="T99" s="39"/>
      <c r="U99" s="39"/>
    </row>
    <row r="100" spans="5:21">
      <c r="E100" s="113"/>
      <c r="J100" s="39"/>
      <c r="K100" s="39"/>
      <c r="L100" s="39"/>
      <c r="M100" s="39"/>
      <c r="S100" s="39"/>
      <c r="T100" s="39"/>
      <c r="U100" s="39"/>
    </row>
    <row r="101" spans="5:21">
      <c r="E101" s="113"/>
      <c r="J101" s="39"/>
      <c r="K101" s="39"/>
      <c r="L101" s="39"/>
      <c r="M101" s="39"/>
      <c r="S101" s="39"/>
      <c r="T101" s="39"/>
      <c r="U101" s="39"/>
    </row>
    <row r="102" spans="5:21">
      <c r="E102" s="113"/>
      <c r="J102" s="39"/>
      <c r="K102" s="39"/>
      <c r="L102" s="39"/>
      <c r="M102" s="39"/>
      <c r="S102" s="39"/>
      <c r="T102" s="39"/>
      <c r="U102" s="39"/>
    </row>
    <row r="103" spans="5:21">
      <c r="E103" s="113"/>
      <c r="J103" s="39"/>
      <c r="K103" s="39"/>
      <c r="L103" s="39"/>
      <c r="M103" s="39"/>
      <c r="S103" s="39"/>
      <c r="T103" s="39"/>
      <c r="U103" s="39"/>
    </row>
    <row r="104" spans="5:21">
      <c r="E104" s="113"/>
      <c r="J104" s="39"/>
      <c r="K104" s="39"/>
      <c r="L104" s="39"/>
      <c r="M104" s="39"/>
      <c r="S104" s="39"/>
      <c r="T104" s="39"/>
      <c r="U104" s="39"/>
    </row>
    <row r="105" spans="5:21">
      <c r="E105" s="113"/>
      <c r="J105" s="39"/>
      <c r="K105" s="39"/>
      <c r="L105" s="39"/>
      <c r="M105" s="39"/>
      <c r="S105" s="39"/>
      <c r="T105" s="39"/>
      <c r="U105" s="39"/>
    </row>
    <row r="106" spans="5:21">
      <c r="E106" s="113"/>
      <c r="J106" s="39"/>
      <c r="K106" s="39"/>
      <c r="L106" s="39"/>
      <c r="M106" s="39"/>
      <c r="S106" s="39"/>
      <c r="T106" s="39"/>
      <c r="U106" s="39"/>
    </row>
    <row r="107" spans="5:21">
      <c r="E107" s="113"/>
      <c r="J107" s="39"/>
      <c r="K107" s="39"/>
      <c r="L107" s="39"/>
      <c r="M107" s="39"/>
      <c r="S107" s="39"/>
      <c r="T107" s="39"/>
      <c r="U107" s="39"/>
    </row>
    <row r="108" spans="5:21">
      <c r="E108" s="113"/>
      <c r="J108" s="39"/>
      <c r="K108" s="39"/>
      <c r="L108" s="39"/>
      <c r="M108" s="39"/>
      <c r="S108" s="39"/>
      <c r="T108" s="39"/>
      <c r="U108" s="39"/>
    </row>
    <row r="109" spans="5:21">
      <c r="E109" s="113"/>
      <c r="J109" s="39"/>
      <c r="K109" s="39"/>
      <c r="L109" s="39"/>
      <c r="M109" s="39"/>
      <c r="S109" s="39"/>
      <c r="T109" s="39"/>
      <c r="U109" s="39"/>
    </row>
    <row r="110" spans="5:21">
      <c r="E110" s="113"/>
      <c r="J110" s="39"/>
      <c r="K110" s="39"/>
      <c r="L110" s="39"/>
      <c r="M110" s="39"/>
      <c r="S110" s="39"/>
      <c r="T110" s="39"/>
      <c r="U110" s="39"/>
    </row>
    <row r="111" spans="5:21">
      <c r="E111" s="113"/>
      <c r="J111" s="39"/>
      <c r="K111" s="39"/>
      <c r="L111" s="39"/>
      <c r="M111" s="39"/>
      <c r="S111" s="39"/>
      <c r="T111" s="39"/>
      <c r="U111" s="39"/>
    </row>
    <row r="112" spans="5:21">
      <c r="E112" s="113"/>
      <c r="J112" s="39"/>
      <c r="K112" s="39"/>
      <c r="L112" s="39"/>
      <c r="M112" s="39"/>
      <c r="S112" s="39"/>
      <c r="T112" s="39"/>
      <c r="U112" s="39"/>
    </row>
    <row r="113" spans="5:21">
      <c r="E113" s="113"/>
      <c r="J113" s="39"/>
      <c r="K113" s="39"/>
      <c r="L113" s="39"/>
      <c r="M113" s="39"/>
      <c r="S113" s="39"/>
      <c r="T113" s="39"/>
      <c r="U113" s="39"/>
    </row>
    <row r="114" spans="5:21">
      <c r="E114" s="113"/>
      <c r="J114" s="39"/>
      <c r="K114" s="39"/>
      <c r="L114" s="39"/>
      <c r="M114" s="39"/>
      <c r="S114" s="39"/>
      <c r="T114" s="39"/>
      <c r="U114" s="39"/>
    </row>
    <row r="115" spans="5:21">
      <c r="E115" s="113"/>
      <c r="J115" s="39"/>
      <c r="K115" s="39"/>
      <c r="L115" s="39"/>
      <c r="M115" s="39"/>
      <c r="S115" s="39"/>
      <c r="T115" s="39"/>
      <c r="U115" s="39"/>
    </row>
    <row r="116" spans="5:21">
      <c r="E116" s="113"/>
      <c r="J116" s="39"/>
      <c r="K116" s="39"/>
      <c r="L116" s="39"/>
      <c r="M116" s="39"/>
      <c r="S116" s="39"/>
      <c r="T116" s="39"/>
      <c r="U116" s="39"/>
    </row>
    <row r="117" spans="5:21">
      <c r="E117" s="113"/>
      <c r="J117" s="39"/>
      <c r="K117" s="39"/>
      <c r="L117" s="39"/>
      <c r="M117" s="39"/>
      <c r="S117" s="39"/>
      <c r="T117" s="39"/>
      <c r="U117" s="39"/>
    </row>
    <row r="118" spans="5:21">
      <c r="E118" s="113"/>
      <c r="J118" s="39"/>
      <c r="K118" s="39"/>
      <c r="L118" s="39"/>
      <c r="M118" s="39"/>
      <c r="S118" s="39"/>
      <c r="T118" s="39"/>
      <c r="U118" s="39"/>
    </row>
    <row r="119" spans="5:21">
      <c r="E119" s="113"/>
      <c r="J119" s="39"/>
      <c r="K119" s="39"/>
      <c r="L119" s="39"/>
      <c r="M119" s="39"/>
      <c r="S119" s="39"/>
      <c r="T119" s="39"/>
      <c r="U119" s="39"/>
    </row>
    <row r="120" spans="5:21">
      <c r="E120" s="113"/>
      <c r="J120" s="39"/>
      <c r="K120" s="39"/>
      <c r="L120" s="39"/>
      <c r="M120" s="39"/>
      <c r="S120" s="39"/>
      <c r="T120" s="39"/>
      <c r="U120" s="39"/>
    </row>
    <row r="121" spans="5:21">
      <c r="E121" s="113"/>
      <c r="J121" s="39"/>
      <c r="K121" s="39"/>
      <c r="L121" s="39"/>
      <c r="M121" s="39"/>
      <c r="S121" s="39"/>
      <c r="T121" s="39"/>
      <c r="U121" s="39"/>
    </row>
    <row r="122" spans="5:21">
      <c r="E122" s="113"/>
      <c r="J122" s="39"/>
      <c r="K122" s="39"/>
      <c r="L122" s="39"/>
      <c r="M122" s="39"/>
      <c r="S122" s="39"/>
      <c r="T122" s="39"/>
      <c r="U122" s="39"/>
    </row>
    <row r="123" spans="5:21">
      <c r="E123" s="113"/>
      <c r="J123" s="39"/>
      <c r="K123" s="39"/>
      <c r="L123" s="39"/>
      <c r="M123" s="39"/>
      <c r="S123" s="39"/>
      <c r="T123" s="39"/>
      <c r="U123" s="39"/>
    </row>
    <row r="124" spans="5:21">
      <c r="E124" s="113"/>
      <c r="J124" s="39"/>
      <c r="K124" s="39"/>
      <c r="L124" s="39"/>
      <c r="M124" s="39"/>
      <c r="S124" s="39"/>
      <c r="T124" s="39"/>
      <c r="U124" s="39"/>
    </row>
    <row r="125" spans="5:21">
      <c r="E125" s="113"/>
      <c r="J125" s="39"/>
      <c r="K125" s="39"/>
      <c r="L125" s="39"/>
      <c r="M125" s="39"/>
      <c r="S125" s="39"/>
      <c r="T125" s="39"/>
      <c r="U125" s="39"/>
    </row>
    <row r="126" spans="5:21">
      <c r="E126" s="113"/>
      <c r="J126" s="39"/>
      <c r="K126" s="39"/>
      <c r="L126" s="39"/>
      <c r="M126" s="39"/>
      <c r="S126" s="39"/>
      <c r="T126" s="39"/>
      <c r="U126" s="39"/>
    </row>
    <row r="127" spans="5:21">
      <c r="E127" s="113"/>
      <c r="J127" s="39"/>
      <c r="K127" s="39"/>
      <c r="L127" s="39"/>
      <c r="M127" s="39"/>
      <c r="S127" s="39"/>
      <c r="T127" s="39"/>
      <c r="U127" s="39"/>
    </row>
    <row r="128" spans="5:21">
      <c r="E128" s="113"/>
      <c r="J128" s="39"/>
      <c r="K128" s="39"/>
      <c r="L128" s="39"/>
      <c r="M128" s="39"/>
      <c r="S128" s="39"/>
      <c r="T128" s="39"/>
      <c r="U128" s="39"/>
    </row>
    <row r="129" spans="5:21">
      <c r="E129" s="113"/>
      <c r="J129" s="39"/>
      <c r="K129" s="39"/>
      <c r="L129" s="39"/>
      <c r="M129" s="39"/>
      <c r="S129" s="39"/>
      <c r="T129" s="39"/>
      <c r="U129" s="39"/>
    </row>
    <row r="130" spans="5:21">
      <c r="E130" s="113"/>
      <c r="J130" s="39"/>
      <c r="K130" s="39"/>
      <c r="L130" s="39"/>
      <c r="M130" s="39"/>
      <c r="S130" s="39"/>
      <c r="T130" s="39"/>
      <c r="U130" s="39"/>
    </row>
    <row r="131" spans="5:21">
      <c r="E131" s="113"/>
      <c r="J131" s="39"/>
      <c r="K131" s="39"/>
      <c r="L131" s="39"/>
      <c r="M131" s="39"/>
      <c r="S131" s="39"/>
      <c r="T131" s="39"/>
      <c r="U131" s="39"/>
    </row>
    <row r="132" spans="5:21">
      <c r="E132" s="113"/>
      <c r="J132" s="39"/>
      <c r="K132" s="39"/>
      <c r="L132" s="39"/>
      <c r="M132" s="39"/>
      <c r="S132" s="39"/>
      <c r="T132" s="39"/>
      <c r="U132" s="39"/>
    </row>
    <row r="133" spans="5:21">
      <c r="E133" s="113"/>
      <c r="J133" s="39"/>
      <c r="K133" s="39"/>
      <c r="L133" s="39"/>
      <c r="M133" s="39"/>
      <c r="S133" s="39"/>
      <c r="T133" s="39"/>
      <c r="U133" s="39"/>
    </row>
    <row r="134" spans="5:21">
      <c r="E134" s="113"/>
      <c r="J134" s="39"/>
      <c r="K134" s="39"/>
      <c r="L134" s="39"/>
      <c r="M134" s="39"/>
      <c r="S134" s="39"/>
      <c r="T134" s="39"/>
      <c r="U134" s="39"/>
    </row>
    <row r="135" spans="5:21">
      <c r="E135" s="113"/>
      <c r="J135" s="39"/>
      <c r="K135" s="39"/>
      <c r="L135" s="39"/>
      <c r="M135" s="39"/>
      <c r="S135" s="39"/>
      <c r="T135" s="39"/>
      <c r="U135" s="39"/>
    </row>
    <row r="136" spans="5:21">
      <c r="E136" s="113"/>
      <c r="J136" s="39"/>
      <c r="K136" s="39"/>
      <c r="L136" s="39"/>
      <c r="M136" s="39"/>
      <c r="S136" s="39"/>
      <c r="T136" s="39"/>
      <c r="U136" s="39"/>
    </row>
    <row r="137" spans="5:21">
      <c r="E137" s="113"/>
      <c r="J137" s="39"/>
      <c r="K137" s="39"/>
      <c r="L137" s="39"/>
      <c r="M137" s="39"/>
      <c r="S137" s="39"/>
      <c r="T137" s="39"/>
      <c r="U137" s="39"/>
    </row>
    <row r="138" spans="5:21">
      <c r="E138" s="113"/>
      <c r="S138" s="39"/>
      <c r="T138" s="39"/>
      <c r="U138" s="39"/>
    </row>
    <row r="139" spans="5:21">
      <c r="E139" s="113"/>
      <c r="S139" s="39"/>
      <c r="T139" s="39"/>
      <c r="U139" s="39"/>
    </row>
    <row r="140" spans="5:21">
      <c r="E140" s="113"/>
      <c r="S140" s="39"/>
      <c r="T140" s="39"/>
      <c r="U140" s="39"/>
    </row>
    <row r="141" spans="5:21">
      <c r="E141" s="113"/>
      <c r="S141" s="39"/>
      <c r="T141" s="39"/>
      <c r="U141" s="39"/>
    </row>
    <row r="142" spans="5:21">
      <c r="E142" s="113"/>
      <c r="S142" s="39"/>
      <c r="T142" s="39"/>
      <c r="U142" s="39"/>
    </row>
    <row r="143" spans="5:21">
      <c r="E143" s="113"/>
      <c r="S143" s="39"/>
      <c r="T143" s="39"/>
      <c r="U143" s="39"/>
    </row>
    <row r="144" spans="5:21">
      <c r="E144" s="113"/>
      <c r="S144" s="39"/>
      <c r="T144" s="39"/>
      <c r="U144" s="39"/>
    </row>
    <row r="145" spans="5:21">
      <c r="E145" s="113"/>
      <c r="S145" s="39"/>
      <c r="T145" s="39"/>
      <c r="U145" s="39"/>
    </row>
    <row r="146" spans="5:21">
      <c r="E146" s="113"/>
      <c r="S146" s="39"/>
      <c r="T146" s="39"/>
      <c r="U146" s="39"/>
    </row>
    <row r="147" spans="5:21">
      <c r="E147" s="113"/>
      <c r="S147" s="39"/>
      <c r="T147" s="39"/>
      <c r="U147" s="39"/>
    </row>
    <row r="148" spans="5:21">
      <c r="E148" s="113"/>
      <c r="S148" s="39"/>
      <c r="T148" s="39"/>
      <c r="U148" s="39"/>
    </row>
    <row r="149" spans="5:21">
      <c r="E149" s="113"/>
      <c r="S149" s="39"/>
      <c r="T149" s="39"/>
      <c r="U149" s="39"/>
    </row>
    <row r="150" spans="5:21">
      <c r="E150" s="113"/>
      <c r="S150" s="39"/>
      <c r="T150" s="39"/>
      <c r="U150" s="39"/>
    </row>
    <row r="151" spans="5:21">
      <c r="E151" s="113"/>
      <c r="S151" s="39"/>
      <c r="T151" s="39"/>
      <c r="U151" s="39"/>
    </row>
    <row r="152" spans="5:21">
      <c r="E152" s="113"/>
      <c r="S152" s="39"/>
      <c r="T152" s="39"/>
      <c r="U152" s="39"/>
    </row>
    <row r="153" spans="5:21">
      <c r="E153" s="113"/>
      <c r="S153" s="39"/>
      <c r="T153" s="39"/>
      <c r="U153" s="39"/>
    </row>
    <row r="154" spans="5:21">
      <c r="E154" s="113"/>
      <c r="S154" s="39"/>
      <c r="T154" s="39"/>
      <c r="U154" s="39"/>
    </row>
    <row r="155" spans="5:21">
      <c r="E155" s="113"/>
      <c r="S155" s="39"/>
      <c r="T155" s="39"/>
      <c r="U155" s="39"/>
    </row>
    <row r="156" spans="5:21">
      <c r="E156" s="113"/>
      <c r="S156" s="39"/>
      <c r="T156" s="39"/>
      <c r="U156" s="39"/>
    </row>
    <row r="157" spans="5:21">
      <c r="E157" s="113"/>
      <c r="S157" s="39"/>
      <c r="T157" s="39"/>
      <c r="U157" s="39"/>
    </row>
    <row r="158" spans="5:21">
      <c r="E158" s="113"/>
      <c r="S158" s="39"/>
      <c r="T158" s="39"/>
      <c r="U158" s="39"/>
    </row>
    <row r="159" spans="5:21">
      <c r="E159" s="113"/>
      <c r="S159" s="39"/>
      <c r="T159" s="39"/>
      <c r="U159" s="39"/>
    </row>
    <row r="160" spans="5:21">
      <c r="E160" s="113"/>
      <c r="S160" s="39"/>
      <c r="T160" s="39"/>
      <c r="U160" s="39"/>
    </row>
    <row r="161" spans="5:21">
      <c r="E161" s="113"/>
      <c r="S161" s="39"/>
      <c r="T161" s="39"/>
      <c r="U161" s="39"/>
    </row>
    <row r="162" spans="5:21">
      <c r="E162" s="113"/>
      <c r="S162" s="39"/>
      <c r="T162" s="39"/>
      <c r="U162" s="39"/>
    </row>
    <row r="163" spans="5:21">
      <c r="E163" s="254"/>
      <c r="S163" s="39"/>
      <c r="T163" s="39"/>
      <c r="U163" s="39"/>
    </row>
    <row r="164" spans="5:21">
      <c r="E164" s="254"/>
      <c r="S164" s="39"/>
      <c r="T164" s="39"/>
      <c r="U164" s="39"/>
    </row>
    <row r="165" spans="5:21">
      <c r="E165" s="254"/>
      <c r="S165" s="39"/>
      <c r="T165" s="39"/>
      <c r="U165" s="39"/>
    </row>
    <row r="166" spans="5:21">
      <c r="E166" s="254"/>
      <c r="S166" s="39"/>
      <c r="T166" s="39"/>
      <c r="U166" s="39"/>
    </row>
    <row r="167" spans="5:21">
      <c r="E167" s="254"/>
      <c r="S167" s="39"/>
      <c r="T167" s="39"/>
      <c r="U167" s="39"/>
    </row>
    <row r="168" spans="5:21">
      <c r="E168" s="254"/>
      <c r="S168" s="39"/>
      <c r="T168" s="39"/>
      <c r="U168" s="39"/>
    </row>
    <row r="169" spans="5:21">
      <c r="E169" s="254"/>
      <c r="S169" s="39"/>
      <c r="T169" s="39"/>
      <c r="U169" s="39"/>
    </row>
    <row r="170" spans="5:21">
      <c r="E170" s="254"/>
      <c r="S170" s="39"/>
      <c r="T170" s="39"/>
      <c r="U170" s="39"/>
    </row>
    <row r="171" spans="5:21">
      <c r="E171" s="254"/>
      <c r="S171" s="39"/>
      <c r="T171" s="39"/>
      <c r="U171" s="39"/>
    </row>
    <row r="172" spans="5:21">
      <c r="E172" s="254"/>
      <c r="S172" s="39"/>
      <c r="T172" s="39"/>
      <c r="U172" s="39"/>
    </row>
    <row r="173" spans="5:21">
      <c r="E173" s="254"/>
      <c r="S173" s="39"/>
      <c r="T173" s="39"/>
      <c r="U173" s="39"/>
    </row>
    <row r="174" spans="5:21">
      <c r="E174" s="254"/>
      <c r="S174" s="39"/>
      <c r="T174" s="39"/>
      <c r="U174" s="39"/>
    </row>
    <row r="175" spans="5:21">
      <c r="E175" s="254"/>
      <c r="S175" s="39"/>
      <c r="T175" s="39"/>
      <c r="U175" s="39"/>
    </row>
    <row r="176" spans="5:21">
      <c r="E176" s="254"/>
      <c r="S176" s="39"/>
      <c r="T176" s="39"/>
      <c r="U176" s="39"/>
    </row>
    <row r="177" spans="5:21">
      <c r="E177" s="254"/>
      <c r="S177" s="39"/>
      <c r="T177" s="39"/>
      <c r="U177" s="39"/>
    </row>
    <row r="178" spans="5:21">
      <c r="E178" s="254"/>
      <c r="S178" s="39"/>
      <c r="T178" s="39"/>
      <c r="U178" s="39"/>
    </row>
    <row r="179" spans="5:21">
      <c r="E179" s="254"/>
      <c r="S179" s="39"/>
      <c r="T179" s="39"/>
      <c r="U179" s="39"/>
    </row>
    <row r="180" spans="5:21">
      <c r="E180" s="254"/>
      <c r="S180" s="39"/>
      <c r="T180" s="39"/>
      <c r="U180" s="39"/>
    </row>
    <row r="181" spans="5:21">
      <c r="E181" s="254"/>
      <c r="S181" s="39"/>
      <c r="T181" s="39"/>
      <c r="U181" s="39"/>
    </row>
    <row r="182" spans="5:21">
      <c r="E182" s="254"/>
      <c r="S182" s="39"/>
      <c r="T182" s="39"/>
      <c r="U182" s="39"/>
    </row>
    <row r="183" spans="5:21">
      <c r="E183" s="254"/>
      <c r="S183" s="39"/>
      <c r="T183" s="39"/>
      <c r="U183" s="39"/>
    </row>
    <row r="184" spans="5:21">
      <c r="E184" s="254"/>
      <c r="S184" s="39"/>
      <c r="T184" s="39"/>
      <c r="U184" s="39"/>
    </row>
    <row r="185" spans="5:21">
      <c r="E185" s="254"/>
      <c r="S185" s="39"/>
      <c r="T185" s="39"/>
      <c r="U185" s="39"/>
    </row>
    <row r="186" spans="5:21">
      <c r="E186" s="254"/>
      <c r="S186" s="39"/>
      <c r="T186" s="39"/>
      <c r="U186" s="39"/>
    </row>
    <row r="187" spans="5:21">
      <c r="E187" s="254"/>
      <c r="S187" s="39"/>
      <c r="T187" s="39"/>
      <c r="U187" s="39"/>
    </row>
    <row r="188" spans="5:21">
      <c r="E188" s="254"/>
      <c r="S188" s="39"/>
      <c r="T188" s="39"/>
      <c r="U188" s="39"/>
    </row>
    <row r="189" spans="5:21">
      <c r="E189" s="254"/>
      <c r="S189" s="39"/>
      <c r="T189" s="39"/>
      <c r="U189" s="39"/>
    </row>
    <row r="190" spans="5:21">
      <c r="E190" s="254"/>
      <c r="S190" s="39"/>
      <c r="T190" s="39"/>
      <c r="U190" s="39"/>
    </row>
    <row r="191" spans="5:21">
      <c r="E191" s="254"/>
      <c r="S191" s="39"/>
      <c r="T191" s="39"/>
      <c r="U191" s="39"/>
    </row>
    <row r="192" spans="5:21">
      <c r="E192" s="254"/>
      <c r="S192" s="39"/>
      <c r="T192" s="39"/>
      <c r="U192" s="39"/>
    </row>
    <row r="193" spans="5:21">
      <c r="E193" s="254"/>
      <c r="S193" s="39"/>
      <c r="T193" s="39"/>
      <c r="U193" s="39"/>
    </row>
    <row r="194" spans="5:21">
      <c r="E194" s="254"/>
      <c r="S194" s="39"/>
      <c r="T194" s="39"/>
      <c r="U194" s="39"/>
    </row>
    <row r="195" spans="5:21">
      <c r="E195" s="254"/>
      <c r="S195" s="39"/>
      <c r="T195" s="39"/>
      <c r="U195" s="39"/>
    </row>
    <row r="196" spans="5:21">
      <c r="E196" s="254"/>
      <c r="S196" s="39"/>
      <c r="T196" s="39"/>
      <c r="U196" s="39"/>
    </row>
    <row r="197" spans="5:21">
      <c r="E197" s="254"/>
      <c r="S197" s="39"/>
      <c r="T197" s="39"/>
      <c r="U197" s="39"/>
    </row>
    <row r="198" spans="5:21">
      <c r="E198" s="254"/>
      <c r="S198" s="39"/>
      <c r="T198" s="39"/>
      <c r="U198" s="39"/>
    </row>
    <row r="199" spans="5:21">
      <c r="E199" s="254"/>
      <c r="S199" s="39"/>
      <c r="T199" s="39"/>
      <c r="U199" s="39"/>
    </row>
    <row r="200" spans="5:21">
      <c r="E200" s="254"/>
      <c r="S200" s="39"/>
      <c r="T200" s="39"/>
      <c r="U200" s="39"/>
    </row>
    <row r="201" spans="5:21">
      <c r="E201" s="254"/>
      <c r="S201" s="39"/>
      <c r="T201" s="39"/>
      <c r="U201" s="39"/>
    </row>
    <row r="202" spans="5:21">
      <c r="E202" s="254"/>
      <c r="S202" s="39"/>
      <c r="T202" s="39"/>
      <c r="U202" s="39"/>
    </row>
    <row r="203" spans="5:21">
      <c r="E203" s="254"/>
      <c r="S203" s="39"/>
      <c r="T203" s="39"/>
      <c r="U203" s="39"/>
    </row>
    <row r="204" spans="5:21">
      <c r="E204" s="254"/>
      <c r="S204" s="39"/>
      <c r="T204" s="39"/>
      <c r="U204" s="39"/>
    </row>
    <row r="205" spans="5:21">
      <c r="E205" s="254"/>
    </row>
    <row r="206" spans="5:21">
      <c r="E206" s="254"/>
    </row>
    <row r="207" spans="5:21">
      <c r="E207" s="254"/>
    </row>
    <row r="208" spans="5:21">
      <c r="E208" s="254"/>
    </row>
    <row r="209" spans="5:5">
      <c r="E209" s="254"/>
    </row>
    <row r="210" spans="5:5">
      <c r="E210" s="254"/>
    </row>
    <row r="211" spans="5:5">
      <c r="E211" s="254"/>
    </row>
    <row r="212" spans="5:5">
      <c r="E212" s="254"/>
    </row>
    <row r="213" spans="5:5">
      <c r="E213" s="254"/>
    </row>
    <row r="214" spans="5:5">
      <c r="E214" s="254"/>
    </row>
    <row r="215" spans="5:5">
      <c r="E215" s="254"/>
    </row>
    <row r="216" spans="5:5">
      <c r="E216" s="254"/>
    </row>
    <row r="217" spans="5:5">
      <c r="E217" s="254"/>
    </row>
    <row r="218" spans="5:5">
      <c r="E218" s="254"/>
    </row>
    <row r="219" spans="5:5">
      <c r="E219" s="254"/>
    </row>
    <row r="220" spans="5:5">
      <c r="E220" s="254"/>
    </row>
    <row r="221" spans="5:5">
      <c r="E221" s="254"/>
    </row>
    <row r="222" spans="5:5">
      <c r="E222" s="254"/>
    </row>
    <row r="223" spans="5:5">
      <c r="E223" s="254"/>
    </row>
    <row r="224" spans="5:5">
      <c r="E224" s="254"/>
    </row>
    <row r="225" spans="5:5">
      <c r="E225" s="254"/>
    </row>
    <row r="226" spans="5:5">
      <c r="E226" s="254"/>
    </row>
    <row r="227" spans="5:5">
      <c r="E227" s="254"/>
    </row>
    <row r="228" spans="5:5">
      <c r="E228" s="254"/>
    </row>
    <row r="229" spans="5:5">
      <c r="E229" s="254"/>
    </row>
    <row r="230" spans="5:5">
      <c r="E230" s="254"/>
    </row>
    <row r="231" spans="5:5">
      <c r="E231" s="254"/>
    </row>
    <row r="232" spans="5:5">
      <c r="E232" s="254"/>
    </row>
    <row r="233" spans="5:5">
      <c r="E233" s="254"/>
    </row>
    <row r="234" spans="5:5">
      <c r="E234" s="254"/>
    </row>
    <row r="235" spans="5:5">
      <c r="E235" s="254"/>
    </row>
    <row r="236" spans="5:5">
      <c r="E236" s="254"/>
    </row>
    <row r="237" spans="5:5">
      <c r="E237" s="254"/>
    </row>
    <row r="238" spans="5:5">
      <c r="E238" s="254"/>
    </row>
    <row r="239" spans="5:5">
      <c r="E239" s="254"/>
    </row>
    <row r="240" spans="5:5">
      <c r="E240" s="254"/>
    </row>
    <row r="241" spans="5:5">
      <c r="E241" s="254"/>
    </row>
    <row r="242" spans="5:5">
      <c r="E242" s="254"/>
    </row>
    <row r="243" spans="5:5">
      <c r="E243" s="254"/>
    </row>
    <row r="244" spans="5:5">
      <c r="E244" s="254"/>
    </row>
    <row r="245" spans="5:5">
      <c r="E245" s="254"/>
    </row>
    <row r="246" spans="5:5">
      <c r="E246" s="254"/>
    </row>
    <row r="247" spans="5:5">
      <c r="E247" s="254"/>
    </row>
    <row r="248" spans="5:5">
      <c r="E248" s="254"/>
    </row>
    <row r="249" spans="5:5">
      <c r="E249" s="254"/>
    </row>
    <row r="250" spans="5:5">
      <c r="E250" s="254"/>
    </row>
    <row r="251" spans="5:5">
      <c r="E251" s="254"/>
    </row>
    <row r="252" spans="5:5">
      <c r="E252" s="254"/>
    </row>
    <row r="253" spans="5:5">
      <c r="E253" s="254"/>
    </row>
    <row r="254" spans="5:5">
      <c r="E254" s="254"/>
    </row>
    <row r="255" spans="5:5">
      <c r="E255" s="254"/>
    </row>
    <row r="256" spans="5:5">
      <c r="E256" s="254"/>
    </row>
    <row r="257" spans="5:5">
      <c r="E257" s="254"/>
    </row>
    <row r="258" spans="5:5">
      <c r="E258" s="254"/>
    </row>
    <row r="259" spans="5:5">
      <c r="E259" s="254"/>
    </row>
  </sheetData>
  <customSheetViews>
    <customSheetView guid="{F03309BC-D3FA-4CF2-833B-D6D9A95FE1FB}" showGridLines="0">
      <pane xSplit="3" ySplit="5" topLeftCell="M6" activePane="bottomRight" state="frozen"/>
      <selection pane="bottomRight" activeCell="D2" sqref="D2"/>
      <pageMargins left="0" right="0" top="0" bottom="0" header="0" footer="0"/>
    </customSheetView>
    <customSheetView guid="{EECBF9DF-6D77-4263-85DA-71E40216BADD}" showGridLines="0" state="hidden">
      <pane xSplit="3" ySplit="5" topLeftCell="D6" activePane="bottomRight" state="frozen"/>
      <selection pane="bottomRight" activeCell="D1" sqref="D1"/>
      <pageMargins left="0" right="0" top="0" bottom="0" header="0" footer="0"/>
    </customSheetView>
    <customSheetView guid="{1C16EB38-F785-4168-9938-104594734038}" showGridLines="0" state="hidden">
      <pane xSplit="3" ySplit="5" topLeftCell="D6" activePane="bottomRight" state="frozen"/>
      <selection pane="bottomRight" activeCell="D1" sqref="D1"/>
      <pageMargins left="0" right="0" top="0" bottom="0" header="0" footer="0"/>
    </customSheetView>
    <customSheetView guid="{0E935136-9A80-44B6-88D5-61E64D742049}" showGridLines="0" state="hidden">
      <pane xSplit="3" ySplit="5" topLeftCell="D6" activePane="bottomRight" state="frozen"/>
      <selection pane="bottomRight" activeCell="D1" sqref="D1"/>
      <pageMargins left="0" right="0" top="0" bottom="0" header="0" footer="0"/>
    </customSheetView>
    <customSheetView guid="{E6EFD927-84B2-4D06-BB59-59D9DF522DA2}" showGridLines="0" state="hidden">
      <pane xSplit="3" ySplit="5" topLeftCell="D6" activePane="bottomRight" state="frozen"/>
      <selection pane="bottomRight" activeCell="D1" sqref="D1"/>
      <pageMargins left="0" right="0" top="0" bottom="0" header="0" footer="0"/>
    </customSheetView>
    <customSheetView guid="{3F0A4FBA-5323-448F-A023-B3E14C54064C}" showGridLines="0" state="hidden">
      <pane xSplit="3" ySplit="5" topLeftCell="M6" activePane="bottomRight" state="frozen"/>
      <selection pane="bottomRight" activeCell="D2" sqref="D2"/>
      <pageMargins left="0" right="0" top="0" bottom="0" header="0" footer="0"/>
    </customSheetView>
    <customSheetView guid="{D97B1299-69D0-4EE0-B673-CCF74742F96B}" state="hidden">
      <selection activeCell="I2" sqref="I2:K2"/>
      <pageMargins left="0" right="0" top="0" bottom="0" header="0" footer="0"/>
    </customSheetView>
    <customSheetView guid="{F468A2FD-7987-4A9D-8BAE-1AACE523607F}" showGridLines="0" state="hidden">
      <pane xSplit="3" ySplit="5" topLeftCell="D6" activePane="bottomRight" state="frozen"/>
      <selection pane="bottomRight" activeCell="D1" sqref="D1"/>
      <pageMargins left="0" right="0" top="0" bottom="0" header="0" footer="0"/>
    </customSheetView>
    <customSheetView guid="{2D920366-22B2-4182-A65D-0EDBE614FB37}" showGridLines="0">
      <pane xSplit="3" ySplit="5" topLeftCell="D6" activePane="bottomRight" state="frozen"/>
      <selection pane="bottomRight"/>
      <pageMargins left="0" right="0" top="0" bottom="0" header="0" footer="0"/>
    </customSheetView>
  </customSheetViews>
  <mergeCells count="1">
    <mergeCell ref="I2:K2"/>
  </mergeCells>
  <dataValidations count="5">
    <dataValidation type="list" allowBlank="1" showInputMessage="1" showErrorMessage="1" sqref="D81:D88 D32:D41 D10:D17 D50:D55 D19:D29 D8 D44:D48 D68:D71 D74:D78 D58:D65" xr:uid="{924EE212-ABFC-4376-9EB3-095A8E037FA6}">
      <formula1>Flow_units</formula1>
    </dataValidation>
    <dataValidation type="custom" allowBlank="1" showInputMessage="1" showErrorMessage="1" error="Please do not change this formula" prompt="Please do not change this formula" sqref="W4 O6:P9 O18:P18 Q1:R4 V1:V4 N1:N4 S5:V5 R6:R8 O4:P4 N73:N1048576 Q73:R1048576 V73:V1048576 V6:V71 R14:R71 Q6:Q71 N6:N71" xr:uid="{997A9450-4DEB-4754-B16E-0F1F868588C1}">
      <formula1>"Please do not change this formula"</formula1>
    </dataValidation>
    <dataValidation type="custom" allowBlank="1" showInputMessage="1" showErrorMessage="1" error="Please do not change" sqref="R9:R13" xr:uid="{140F11B4-2B3F-42BD-B024-B7AE8053CBA4}">
      <formula1>"Please do not change"</formula1>
    </dataValidation>
    <dataValidation type="custom" allowBlank="1" showInputMessage="1" showErrorMessage="1" error="Please do not change this formula" sqref="O5:R5" xr:uid="{979B5C62-F473-4A0D-A48B-586466C5B29C}">
      <formula1>"Please do not change this formula"</formula1>
    </dataValidation>
    <dataValidation type="decimal" operator="greaterThan" allowBlank="1" showInputMessage="1" showErrorMessage="1" errorTitle="Negative intensity reported" error="GHG emissions intensities for inputs must be reported as non-negative, i.e. negative intensity inputs should report zero" sqref="S81:T89 S8:T66" xr:uid="{B331A143-E3C5-430B-9C57-B03F4C2D54AF}">
      <formula1>0</formula1>
    </dataValidation>
  </dataValidations>
  <hyperlinks>
    <hyperlink ref="I2:J2" location="GHG_GENERIC_OTHER!A1" display="Go to the summary tab of this pathway" xr:uid="{7AE5737C-D835-4426-AB23-BBF192C05E97}"/>
  </hyperlinks>
  <pageMargins left="0" right="0" top="0" bottom="0" header="0" footer="0"/>
  <headerFooter>
    <oddHeader>&amp;C&amp;"Aptos"&amp;10&amp;K000000 OFFICIAL&amp;1#_x000D_</oddHeader>
    <oddFooter>&amp;C_x000D_&amp;1#&amp;"Aptos"&amp;10&amp;K000000 OFFICIAL</oddFooter>
  </headerFooter>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2" id="{172122C1-C7C8-42B1-9E04-B676B6B1344D}">
            <xm:f>AND(Path&lt;&gt;Units!$B$103,Master_Switch="On")</xm:f>
            <x14:dxf>
              <font>
                <color theme="0"/>
              </font>
              <fill>
                <patternFill>
                  <bgColor theme="0"/>
                </patternFill>
              </fill>
              <border>
                <left/>
                <right/>
                <top/>
                <bottom/>
                <vertical/>
                <horizontal/>
              </border>
            </x14:dxf>
          </x14:cfRule>
          <xm:sqref>A2:XFD217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3B74437-FA78-4C79-B6EE-94A25E3BEB3A}">
          <x14:formula1>
            <xm:f>Units!$Z$84</xm:f>
          </x14:formula1>
          <xm:sqref>D9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4FC67E-A63C-4B32-ADEE-FE21D2D1D829}">
  <sheetPr codeName="Sheet2">
    <tabColor theme="1"/>
    <pageSetUpPr autoPageBreaks="0"/>
  </sheetPr>
  <dimension ref="A2:K141"/>
  <sheetViews>
    <sheetView showGridLines="0" zoomScaleNormal="100" workbookViewId="0"/>
  </sheetViews>
  <sheetFormatPr defaultColWidth="8.85546875" defaultRowHeight="14.45"/>
  <cols>
    <col min="1" max="1" width="5" style="53" customWidth="1"/>
    <col min="2" max="2" width="18" customWidth="1"/>
    <col min="3" max="3" width="7.85546875" customWidth="1"/>
    <col min="4" max="4" width="152" customWidth="1"/>
    <col min="5" max="5" width="52.42578125" style="344" customWidth="1"/>
    <col min="6" max="6" width="31" customWidth="1"/>
    <col min="7" max="7" width="13.140625" customWidth="1"/>
    <col min="8" max="8" width="44.7109375" customWidth="1"/>
    <col min="9" max="9" width="41.85546875" style="307" customWidth="1"/>
    <col min="10" max="10" width="40.42578125" style="307" customWidth="1"/>
    <col min="11" max="11" width="39.140625" style="307" customWidth="1"/>
  </cols>
  <sheetData>
    <row r="2" spans="2:11">
      <c r="B2" s="188"/>
      <c r="C2" s="188"/>
      <c r="D2" s="188"/>
      <c r="E2" s="334"/>
      <c r="F2" s="188"/>
      <c r="G2" s="188"/>
    </row>
    <row r="3" spans="2:11">
      <c r="B3" s="188"/>
      <c r="C3" s="188"/>
      <c r="D3" s="188"/>
      <c r="E3" s="334"/>
      <c r="F3" s="188"/>
      <c r="G3" s="188"/>
    </row>
    <row r="4" spans="2:11">
      <c r="B4" s="188"/>
      <c r="C4" s="188"/>
      <c r="D4" s="188"/>
      <c r="E4" s="334"/>
      <c r="F4" s="188"/>
      <c r="G4" s="188"/>
    </row>
    <row r="5" spans="2:11">
      <c r="B5" s="188"/>
      <c r="C5" s="188"/>
      <c r="D5" s="188"/>
      <c r="E5" s="334"/>
      <c r="F5" s="188"/>
      <c r="G5" s="188"/>
    </row>
    <row r="6" spans="2:11">
      <c r="B6" s="188"/>
      <c r="C6" s="188"/>
      <c r="D6" s="188"/>
      <c r="E6" s="334"/>
      <c r="F6" s="188"/>
      <c r="G6" s="188"/>
    </row>
    <row r="7" spans="2:11">
      <c r="B7" s="188"/>
      <c r="C7" s="188"/>
      <c r="D7" s="188"/>
      <c r="E7" s="334"/>
      <c r="F7" s="188"/>
      <c r="G7" s="188"/>
    </row>
    <row r="8" spans="2:11">
      <c r="B8" s="188"/>
      <c r="C8" s="188"/>
      <c r="D8" s="188"/>
      <c r="E8" s="334"/>
      <c r="F8" s="188"/>
      <c r="G8" s="188"/>
    </row>
    <row r="9" spans="2:11">
      <c r="B9" s="188"/>
      <c r="C9" s="188"/>
      <c r="D9" s="188"/>
      <c r="E9" s="334"/>
      <c r="F9" s="188"/>
      <c r="G9" s="188"/>
    </row>
    <row r="10" spans="2:11">
      <c r="B10" s="188"/>
      <c r="C10" s="188"/>
      <c r="D10" s="188"/>
      <c r="E10" s="334"/>
      <c r="F10" s="188"/>
      <c r="G10" s="188"/>
    </row>
    <row r="11" spans="2:11" ht="28.5">
      <c r="B11" s="188"/>
      <c r="C11" s="189" t="s">
        <v>159</v>
      </c>
      <c r="D11" s="190"/>
      <c r="E11" s="335"/>
      <c r="F11" s="191"/>
      <c r="G11" s="188"/>
    </row>
    <row r="12" spans="2:11">
      <c r="B12" s="188"/>
      <c r="C12" s="192"/>
      <c r="D12" s="192"/>
      <c r="E12" s="336"/>
      <c r="F12" s="193"/>
      <c r="G12" s="188"/>
    </row>
    <row r="13" spans="2:11" ht="15.6">
      <c r="B13" s="188"/>
      <c r="C13" s="194" t="s">
        <v>160</v>
      </c>
      <c r="D13" s="195"/>
      <c r="E13" s="337"/>
      <c r="F13" s="196"/>
      <c r="G13" s="188"/>
    </row>
    <row r="14" spans="2:11">
      <c r="B14" s="188"/>
      <c r="C14" s="665" t="s">
        <v>161</v>
      </c>
      <c r="D14" s="665"/>
      <c r="E14" s="133"/>
      <c r="F14" s="197"/>
      <c r="G14" s="188"/>
    </row>
    <row r="15" spans="2:11">
      <c r="B15" s="188"/>
      <c r="C15" s="665" t="s">
        <v>162</v>
      </c>
      <c r="D15" s="665"/>
      <c r="E15" s="133"/>
      <c r="F15" s="197"/>
      <c r="G15" s="188"/>
      <c r="I15" s="308"/>
      <c r="J15" s="308"/>
      <c r="K15" s="310"/>
    </row>
    <row r="16" spans="2:11">
      <c r="B16" s="188"/>
      <c r="C16" s="665" t="s">
        <v>163</v>
      </c>
      <c r="D16" s="665"/>
      <c r="E16" s="133"/>
      <c r="F16" s="197"/>
      <c r="G16" s="188"/>
    </row>
    <row r="17" spans="2:8">
      <c r="B17" s="188"/>
      <c r="C17" s="228" t="s">
        <v>164</v>
      </c>
      <c r="D17" s="314"/>
      <c r="E17" s="143"/>
      <c r="F17" s="197"/>
      <c r="G17" s="188"/>
    </row>
    <row r="18" spans="2:8">
      <c r="B18" s="188"/>
      <c r="C18" s="667" t="s">
        <v>165</v>
      </c>
      <c r="D18" s="667"/>
      <c r="E18" s="133"/>
      <c r="F18" s="198"/>
      <c r="G18" s="188"/>
    </row>
    <row r="19" spans="2:8">
      <c r="B19" s="188"/>
      <c r="C19" s="668"/>
      <c r="D19" s="668"/>
      <c r="E19" s="199"/>
      <c r="F19" s="200"/>
      <c r="G19" s="188"/>
    </row>
    <row r="20" spans="2:8" ht="15.6">
      <c r="B20" s="188"/>
      <c r="C20" s="201" t="s">
        <v>166</v>
      </c>
      <c r="D20" s="202"/>
      <c r="E20" s="229"/>
      <c r="F20" s="203"/>
      <c r="G20" s="188"/>
    </row>
    <row r="21" spans="2:8">
      <c r="B21" s="188"/>
      <c r="C21" s="665" t="s">
        <v>167</v>
      </c>
      <c r="D21" s="665"/>
      <c r="E21" s="143"/>
      <c r="F21" s="197"/>
      <c r="G21" s="188"/>
      <c r="H21" s="544"/>
    </row>
    <row r="22" spans="2:8" ht="29.1" customHeight="1">
      <c r="B22" s="188"/>
      <c r="C22" s="217"/>
      <c r="D22" s="363" t="str">
        <f>IF(Path="Other","If Other is selected, please describe the hydrogen production pathway","Not applicable, as 'Other' pathway not selected, please move on to the next question")</f>
        <v>Not applicable, as 'Other' pathway not selected, please move on to the next question</v>
      </c>
      <c r="E22" s="133"/>
      <c r="F22" s="197"/>
      <c r="G22" s="188"/>
    </row>
    <row r="23" spans="2:8">
      <c r="B23" s="188"/>
      <c r="C23" s="665" t="s">
        <v>168</v>
      </c>
      <c r="D23" s="665"/>
      <c r="E23" s="143"/>
      <c r="F23" s="197"/>
      <c r="G23" s="188"/>
    </row>
    <row r="24" spans="2:8">
      <c r="B24" s="188"/>
      <c r="C24" s="667" t="s">
        <v>169</v>
      </c>
      <c r="D24" s="667"/>
      <c r="E24" s="143"/>
      <c r="F24" s="198"/>
      <c r="G24" s="188"/>
    </row>
    <row r="25" spans="2:8">
      <c r="B25" s="188"/>
      <c r="C25" s="669" t="str">
        <f>IF(Path="Other","As you have selected the 'Other' pathway, remember to select or enter 'Not applicable' in the boxes below if you believe a question is irrelevant to your project","")</f>
        <v/>
      </c>
      <c r="D25" s="669"/>
      <c r="E25" s="204"/>
      <c r="F25" s="200"/>
      <c r="G25" s="188"/>
    </row>
    <row r="26" spans="2:8" ht="15.6">
      <c r="B26" s="188"/>
      <c r="C26" s="201" t="str" cm="1">
        <f t="array" ref="C26">IF(OR(Path=Units!$B$84:$B$89),"Main input energy origins","Feedstock origins")</f>
        <v>Feedstock origins</v>
      </c>
      <c r="D26" s="202"/>
      <c r="E26" s="229"/>
      <c r="F26" s="203"/>
      <c r="G26" s="188"/>
    </row>
    <row r="27" spans="2:8">
      <c r="B27" s="188"/>
      <c r="C27" s="665" t="str" cm="1">
        <f t="array" ref="C27">IF(OR(Path=Units!$B$84:$B$89), "What is the main input energy source at the start of your hydrogen production pathway?", "What is the feedstock at the start of your hydrogen production pathway?")</f>
        <v>What is the feedstock at the start of your hydrogen production pathway?</v>
      </c>
      <c r="D27" s="665"/>
      <c r="E27" s="143"/>
      <c r="F27" s="197"/>
      <c r="G27" s="188"/>
    </row>
    <row r="28" spans="2:8" ht="59.25" customHeight="1">
      <c r="B28" s="188"/>
      <c r="C28" s="660" t="str" cm="1">
        <f t="array" ref="C28">IF(OR(Path=Units!$B$84:$B$89),
"Please state the exact energy sources used and any intermediate energy sources along the supply chain."&amp;" If using multiple or mixed energy sources, please indicate the breakdown of the energy souces used (by the % splits of hydrogen produced from each energ source, and if different, also by the split of energy sources on a LHV basis)."&amp;" If using multiple 'other' electricity sources, please complete separate Hydrogen Emission Calculator workbooks, one for each consignment (and give the results for each consignment in the Dashboard worksheet)",
"Please state the exact feedstocks used and any intermediate feedstocks that are created along the supply chain."&amp;" If using multiple or mixed feedstocks, please indicate the breakdown of the feedstocks used (by the % splits of hydrogen produced from each feedstock, and if different, also by the split of feedstock energy on a LHV basis)."&amp;" If using multiple feedstocks that form multiple hydrogen consignments, please complete separate Hydrogen Emission Calculator workbooks, one for each consignment (and give the results for each consignment in the Dashboard worksheet)")</f>
        <v>Please state the exact feedstocks used and any intermediate feedstocks that are created along the supply chain. If using multiple or mixed feedstocks, please indicate the breakdown of the feedstocks used (by the % splits of hydrogen produced from each feedstock, and if different, also by the split of feedstock energy on a LHV basis). If using multiple feedstocks that form multiple hydrogen consignments, please complete separate Hydrogen Emission Calculator workbooks, one for each consignment (and give the results for each consignment in the Dashboard worksheet)</v>
      </c>
      <c r="D28" s="660"/>
      <c r="E28" s="431"/>
      <c r="F28" s="197"/>
      <c r="G28" s="188"/>
    </row>
    <row r="29" spans="2:8">
      <c r="B29" s="188"/>
      <c r="C29" s="665" t="str" cm="1">
        <f t="array" ref="C29">IF(OR(Path=Units!$B$84:$B$89), "What location does the energy input(s) originate from?", "What location does the feedstock(s) originate from?")</f>
        <v>What location does the feedstock(s) originate from?</v>
      </c>
      <c r="D29" s="665"/>
      <c r="E29" s="143"/>
      <c r="F29" s="197"/>
      <c r="G29" s="188"/>
    </row>
    <row r="30" spans="2:8" ht="42.6" customHeight="1">
      <c r="B30" s="188"/>
      <c r="C30" s="666" t="str" cm="1">
        <f t="array" ref="C30">IF(OR(Path=Units!$B$84:$B$89),"Please give further details on the origins of the energy input(s) used", "Please give further details on the origins of the feedstock(s) used")</f>
        <v>Please give further details on the origins of the feedstock(s) used</v>
      </c>
      <c r="D30" s="666"/>
      <c r="E30" s="133"/>
      <c r="F30" s="569"/>
      <c r="G30" s="188"/>
    </row>
    <row r="31" spans="2:8">
      <c r="B31" s="188"/>
      <c r="C31" s="670"/>
      <c r="D31" s="670"/>
      <c r="E31" s="206"/>
      <c r="F31" s="190"/>
      <c r="G31" s="188"/>
    </row>
    <row r="32" spans="2:8" ht="15.6">
      <c r="B32" s="188"/>
      <c r="C32" s="207" t="s">
        <v>170</v>
      </c>
      <c r="D32" s="212"/>
      <c r="E32" s="213"/>
      <c r="F32" s="209"/>
      <c r="G32" s="188"/>
    </row>
    <row r="33" spans="2:10" ht="32.25" customHeight="1">
      <c r="B33" s="188"/>
      <c r="C33" s="660" t="s">
        <v>171</v>
      </c>
      <c r="D33" s="671"/>
      <c r="E33" s="334"/>
      <c r="F33" s="591"/>
      <c r="G33" s="188"/>
    </row>
    <row r="34" spans="2:10" ht="16.5">
      <c r="B34" s="188"/>
      <c r="C34" s="330"/>
      <c r="D34" s="319" t="s">
        <v>172</v>
      </c>
      <c r="E34" s="535" t="str" cm="1">
        <f t="array" ref="E34">IF(OR(Path=Units!$B$85:$B$88), 0, "Enter annual usage")</f>
        <v>Enter annual usage</v>
      </c>
      <c r="F34" s="592" t="s">
        <v>173</v>
      </c>
      <c r="G34" s="188"/>
    </row>
    <row r="35" spans="2:10" ht="16.5">
      <c r="B35" s="188"/>
      <c r="C35" s="330"/>
      <c r="D35" s="319" t="s">
        <v>174</v>
      </c>
      <c r="E35" s="535" t="str" cm="1">
        <f t="array" ref="E35">IF(OR(Path=Units!$B$86:$B$88, Path=Units!$B$84), 0, "Enter annual usage")</f>
        <v>Enter annual usage</v>
      </c>
      <c r="F35" s="592" t="s">
        <v>173</v>
      </c>
      <c r="G35" s="188"/>
    </row>
    <row r="36" spans="2:10" ht="16.5">
      <c r="B36" s="188"/>
      <c r="C36" s="330"/>
      <c r="D36" s="319" t="s">
        <v>175</v>
      </c>
      <c r="E36" s="535" t="str" cm="1">
        <f t="array" ref="E36">IF(OR(Path=Units!$B$87:$B$88, Path=Units!$B$84:$B$85), 0, "Enter annual usage")</f>
        <v>Enter annual usage</v>
      </c>
      <c r="F36" s="592" t="s">
        <v>173</v>
      </c>
      <c r="G36" s="188"/>
    </row>
    <row r="37" spans="2:10" ht="16.5">
      <c r="B37" s="188"/>
      <c r="C37" s="330"/>
      <c r="D37" s="319" t="s">
        <v>176</v>
      </c>
      <c r="E37" s="535" t="str" cm="1">
        <f t="array" ref="E37">IF(OR(Path=Units!$B$88, Path=Units!$B$84:$B$86), 0, "Enter annual usage")</f>
        <v>Enter annual usage</v>
      </c>
      <c r="F37" s="592" t="s">
        <v>173</v>
      </c>
      <c r="G37" s="188"/>
    </row>
    <row r="38" spans="2:10" ht="16.5">
      <c r="B38" s="188"/>
      <c r="C38" s="330"/>
      <c r="D38" s="319" t="s">
        <v>177</v>
      </c>
      <c r="E38" s="535" t="str" cm="1">
        <f t="array" ref="E38">IF(OR(Path=Units!$B$84:$B$87), 0, "Enter annual usage")</f>
        <v>Enter annual usage</v>
      </c>
      <c r="F38" s="592" t="s">
        <v>173</v>
      </c>
      <c r="G38" s="188"/>
    </row>
    <row r="39" spans="2:10" ht="16.5">
      <c r="B39" s="188"/>
      <c r="C39" s="330"/>
      <c r="D39" s="319" t="str">
        <f>IF(E35&gt;0,"What is the annual average GHG emissions intensity of the nuclear electricity source, including any applicable T&amp;D losses?","Not applicable, as 'nuclear electricity' not selected, please enter 0 and move on to the next question")</f>
        <v>What is the annual average GHG emissions intensity of the nuclear electricity source, including any applicable T&amp;D losses?</v>
      </c>
      <c r="E39" s="338" t="str">
        <f>IF(E35&gt;0,"Enter nuclear generation intensity / (1-T&amp;D losses)","Not applicable, as 'nuclear electricity' not selected, please enter 0 and move on to the next question")</f>
        <v>Enter nuclear generation intensity / (1-T&amp;D losses)</v>
      </c>
      <c r="F39" s="592" t="s">
        <v>178</v>
      </c>
      <c r="G39" s="188"/>
    </row>
    <row r="40" spans="2:10" ht="16.5">
      <c r="B40" s="188"/>
      <c r="C40" s="330"/>
      <c r="D40" s="319" t="str">
        <f>IF(E37&gt;0,"What is the annual average GHG emissions intensity of the stored electricity source, including any applicable T&amp;D losses?","Not applicable, as 'stored electricity' not selected, please enter 0 and move on to the next question")</f>
        <v>What is the annual average GHG emissions intensity of the stored electricity source, including any applicable T&amp;D losses?</v>
      </c>
      <c r="E40" s="338" t="str">
        <f>IF(E37&gt;0,"Enter average storage discharge intensity / (1-T&amp;D losses)","Not applicable, as 'stored electricity' not selected, please enter 0 and move on to the next question")</f>
        <v>Enter average storage discharge intensity / (1-T&amp;D losses)</v>
      </c>
      <c r="F40" s="592" t="s">
        <v>178</v>
      </c>
      <c r="G40" s="188"/>
    </row>
    <row r="41" spans="2:10" ht="16.5">
      <c r="B41" s="188"/>
      <c r="C41" s="330"/>
      <c r="D41" s="319" t="str">
        <f>IF(E38&gt;0,"What is the annual average GHG emissions intensity of the other electricity source(s), including any applicable T&amp;D losses?","Not applicable, as 'other electricity sources' not selected, please enter 0 and move on to the next question")</f>
        <v>What is the annual average GHG emissions intensity of the other electricity source(s), including any applicable T&amp;D losses?</v>
      </c>
      <c r="E41" s="338" t="str">
        <f>IF(E38&gt;0,"Enter electricity generation intensity / (1-T&amp;D losses)","Not applicable, as 'other electricity sources' not selected, please enter 0 and move on to the next question")</f>
        <v>Enter electricity generation intensity / (1-T&amp;D losses)</v>
      </c>
      <c r="F41" s="592" t="s">
        <v>178</v>
      </c>
      <c r="G41" s="188"/>
    </row>
    <row r="42" spans="2:10" ht="36.6" customHeight="1">
      <c r="B42" s="188"/>
      <c r="C42" s="317"/>
      <c r="D42" s="596" t="str">
        <f>IF(OR(E37,E38&gt;0),"Please reference documents evidencing the calculation of the GHG emissions intensity of the stored electricity and/or other electricity source, and any T&amp;D losses applied to the generation intensities above","Not applicable, as 'stored electricity' and 'other electricity sources' not selected, please move on to the next question")</f>
        <v>Please reference documents evidencing the calculation of the GHG emissions intensity of the stored electricity and/or other electricity source, and any T&amp;D losses applied to the generation intensities above</v>
      </c>
      <c r="E42" s="338"/>
      <c r="F42" s="593"/>
      <c r="G42" s="188"/>
    </row>
    <row r="43" spans="2:10" ht="16.5">
      <c r="B43" s="188"/>
      <c r="C43" s="317"/>
      <c r="D43" s="319" t="s">
        <v>179</v>
      </c>
      <c r="E43" s="354" t="str">
        <f>IFERROR((E34*AVERAGE('Typical data'!$C$136:$C$138)+E35*E39+E36*INDEX(Proj_grid_intensity_kWh,MATCH(Operations_year,Proj_grid_year,0))+E37*E40+E38*E41)/SUM(E34:E38),"Please fill in the breakdown of electricity sources and year")</f>
        <v>Please fill in the breakdown of electricity sources and year</v>
      </c>
      <c r="F43" s="592" t="s">
        <v>178</v>
      </c>
      <c r="G43" s="188"/>
      <c r="I43" s="369"/>
      <c r="J43" s="370"/>
    </row>
    <row r="44" spans="2:10">
      <c r="B44" s="188"/>
      <c r="C44" s="317"/>
      <c r="D44" s="319" t="s">
        <v>180</v>
      </c>
      <c r="E44" s="235">
        <v>0</v>
      </c>
      <c r="F44" s="592"/>
      <c r="G44" s="188"/>
      <c r="I44" s="369"/>
      <c r="J44" s="370"/>
    </row>
    <row r="45" spans="2:10">
      <c r="B45" s="188"/>
      <c r="C45" s="317"/>
      <c r="D45" s="319" t="s">
        <v>181</v>
      </c>
      <c r="E45" s="235">
        <v>0</v>
      </c>
      <c r="F45" s="592"/>
      <c r="G45" s="188"/>
      <c r="I45" s="369"/>
      <c r="J45" s="370"/>
    </row>
    <row r="46" spans="2:10">
      <c r="B46" s="188"/>
      <c r="C46" s="317"/>
      <c r="D46" s="319" t="s">
        <v>182</v>
      </c>
      <c r="E46" s="235">
        <v>0</v>
      </c>
      <c r="F46" s="592"/>
      <c r="G46" s="188"/>
      <c r="I46" s="369"/>
      <c r="J46" s="370"/>
    </row>
    <row r="47" spans="2:10" ht="30" customHeight="1">
      <c r="B47" s="188"/>
      <c r="C47" s="594"/>
      <c r="D47" s="373" t="s">
        <v>183</v>
      </c>
      <c r="E47" s="443" t="str">
        <f>IFERROR((E34+E35)/SUM(E34:E38),"Please fill in the breakdown of electricity sources")</f>
        <v>Please fill in the breakdown of electricity sources</v>
      </c>
      <c r="F47" s="215"/>
      <c r="G47" s="188"/>
      <c r="I47" s="369"/>
      <c r="J47" s="370"/>
    </row>
    <row r="48" spans="2:10" ht="34.35" customHeight="1">
      <c r="B48" s="188"/>
      <c r="C48" s="660" t="s">
        <v>184</v>
      </c>
      <c r="D48" s="660"/>
      <c r="E48" s="133"/>
      <c r="F48" s="197"/>
      <c r="G48" s="216"/>
      <c r="I48" s="369"/>
    </row>
    <row r="49" spans="2:9">
      <c r="B49" s="188"/>
      <c r="C49" s="665" t="s">
        <v>185</v>
      </c>
      <c r="D49" s="665"/>
      <c r="E49" s="339"/>
      <c r="F49" s="197"/>
      <c r="G49" s="211"/>
      <c r="H49" s="188"/>
    </row>
    <row r="50" spans="2:9">
      <c r="B50" s="188"/>
      <c r="C50" s="217"/>
      <c r="D50" s="218" t="s">
        <v>186</v>
      </c>
      <c r="E50" s="235">
        <v>0</v>
      </c>
      <c r="F50" s="197"/>
      <c r="G50" s="659"/>
      <c r="H50" s="659"/>
      <c r="I50" s="309"/>
    </row>
    <row r="51" spans="2:9">
      <c r="B51" s="188"/>
      <c r="C51" s="217"/>
      <c r="D51" s="218" t="s">
        <v>187</v>
      </c>
      <c r="E51" s="235">
        <v>0</v>
      </c>
      <c r="F51" s="197"/>
      <c r="G51" s="533"/>
      <c r="H51" s="533"/>
      <c r="I51" s="309"/>
    </row>
    <row r="52" spans="2:9">
      <c r="B52" s="188"/>
      <c r="C52" s="217"/>
      <c r="D52" s="218" t="s">
        <v>188</v>
      </c>
      <c r="E52" s="235">
        <v>0</v>
      </c>
      <c r="F52" s="197"/>
      <c r="G52" s="533"/>
      <c r="H52" s="533"/>
      <c r="I52" s="309"/>
    </row>
    <row r="53" spans="2:9">
      <c r="B53" s="188"/>
      <c r="C53" s="217"/>
      <c r="D53" s="218" t="s">
        <v>189</v>
      </c>
      <c r="E53" s="235">
        <v>0</v>
      </c>
      <c r="F53" s="197"/>
      <c r="G53" s="659"/>
      <c r="H53" s="659"/>
    </row>
    <row r="54" spans="2:9">
      <c r="B54" s="188"/>
      <c r="C54" s="217"/>
      <c r="D54" s="218" t="s">
        <v>190</v>
      </c>
      <c r="E54" s="235">
        <v>0</v>
      </c>
      <c r="F54" s="197"/>
      <c r="G54" s="211"/>
      <c r="H54" s="216"/>
    </row>
    <row r="55" spans="2:9">
      <c r="B55" s="188"/>
      <c r="C55" s="217"/>
      <c r="D55" s="218" t="s">
        <v>191</v>
      </c>
      <c r="E55" s="235">
        <v>0</v>
      </c>
      <c r="F55" s="197"/>
      <c r="G55" s="211"/>
      <c r="H55" s="216"/>
    </row>
    <row r="56" spans="2:9">
      <c r="B56" s="188"/>
      <c r="C56" s="217"/>
      <c r="D56" s="218" t="s">
        <v>192</v>
      </c>
      <c r="E56" s="235">
        <v>0</v>
      </c>
      <c r="F56" s="197"/>
      <c r="G56" s="211"/>
      <c r="H56" s="216"/>
    </row>
    <row r="57" spans="2:9">
      <c r="B57" s="188"/>
      <c r="C57" s="217"/>
      <c r="D57" s="218" t="s">
        <v>193</v>
      </c>
      <c r="E57" s="235">
        <v>0</v>
      </c>
      <c r="F57" s="197"/>
      <c r="G57" s="211"/>
      <c r="H57" s="216"/>
    </row>
    <row r="58" spans="2:9">
      <c r="B58" s="188"/>
      <c r="C58" s="217"/>
      <c r="D58" s="218" t="s">
        <v>194</v>
      </c>
      <c r="E58" s="235">
        <v>0</v>
      </c>
      <c r="F58" s="197"/>
      <c r="G58" s="211"/>
      <c r="H58" s="216"/>
    </row>
    <row r="59" spans="2:9">
      <c r="B59" s="188"/>
      <c r="C59" s="217"/>
      <c r="D59" s="218" t="s">
        <v>195</v>
      </c>
      <c r="E59" s="340" t="str">
        <f>IF(SUM(E50:E58)&lt;&gt;100%,"Error: Does not add to 100%",SUM(E50:E58))</f>
        <v>Error: Does not add to 100%</v>
      </c>
      <c r="F59" s="197"/>
      <c r="G59" s="211"/>
      <c r="H59" s="216"/>
    </row>
    <row r="60" spans="2:9" ht="33.6" customHeight="1">
      <c r="B60" s="188"/>
      <c r="C60" s="664" t="s">
        <v>196</v>
      </c>
      <c r="D60" s="664"/>
      <c r="E60" s="235"/>
      <c r="F60" s="198"/>
      <c r="G60" s="216"/>
    </row>
    <row r="61" spans="2:9">
      <c r="B61" s="188"/>
      <c r="C61" s="188"/>
      <c r="D61" s="188"/>
      <c r="E61" s="219"/>
      <c r="F61" s="188"/>
      <c r="G61" s="188"/>
    </row>
    <row r="62" spans="2:9" ht="15.6">
      <c r="B62" s="661" t="str" cm="1">
        <f t="array" ref="B62">IF(OR(Path=Units!$B$88:$B$89), "Only relevant if using biomass to generate electrolysis input power", IF(OR(Path=Units!$B$95:$B$100,Path=Units!$B$103),"", IF(OR(Path=Units!$B$101:$B$102), "Only relevant if using biomass wastes from agriculture, aquaculture, fisheries or forestry", "Likely not relevant to your project - please move on to the next section")))</f>
        <v>Likely not relevant to your project - please move on to the next section</v>
      </c>
      <c r="C62" s="207" t="str" cm="1">
        <f t="array" ref="C62">IF(OR(Path=Units!$B$88:$B$89, Path=Units!$B$95:$B$103),"Biomass feedstocks", "Not applicable, as biomass not a feedstock, please move on to the next section")</f>
        <v>Not applicable, as biomass not a feedstock, please move on to the next section</v>
      </c>
      <c r="D62" s="208"/>
      <c r="E62" s="213"/>
      <c r="F62" s="209"/>
      <c r="G62" s="188"/>
    </row>
    <row r="63" spans="2:9">
      <c r="B63" s="661"/>
      <c r="C63" s="663" t="str" cm="1">
        <f t="array" ref="C63">IF(OR(Path=Units!$B$88:$B$89), "If biomass feedstock is used to generate electrolysis input power, does it meet the land criteria in the Low Carbon Hydrogen Standard? (see Annex E for applicable biomass types)", IF(OR(Path=Units!$B$95:$B$103),"If using biomass feedstock, does it meet the land criteria set out in the Low Carbon Hydrogen Standard? (see Annex E for applicable biomass types)", "Not applicable, please move on to the next section"))</f>
        <v>Not applicable, please move on to the next section</v>
      </c>
      <c r="D63" s="663"/>
      <c r="E63" s="143"/>
      <c r="F63" s="197"/>
      <c r="G63" s="188"/>
    </row>
    <row r="64" spans="2:9">
      <c r="B64" s="661"/>
      <c r="C64" s="663" t="str" cm="1">
        <f t="array" ref="C64">IF(OR(Path=Units!$B$88:$B$89), "If biomass feedstock is used to generate electrolysis input power, if applicable, does it meet the forest criteria in the Low Carbon Hydrogen Standard? (see Annex E for applicable biomass types)", IF(OR(E21=Units!B95:B103),"If using biomass feedstock, does it meet the forest criteria set out in the Low Carbon Hydrogen Standard? (see Annex E for applicable biomass types)","Not applicable, please move on to the next section"))</f>
        <v>Not applicable, please move on to the next section</v>
      </c>
      <c r="D64" s="663"/>
      <c r="E64" s="143"/>
      <c r="F64" s="197"/>
      <c r="G64" s="188"/>
    </row>
    <row r="65" spans="2:8">
      <c r="B65" s="661"/>
      <c r="C65" s="663" t="str" cm="1">
        <f t="array" ref="C65">IF(OR(Path=Units!$B$88:$B$89), "If biomass feedstock is used to generate electrolysis input power, does it meet the soil carbon criteria in the Low Carbon Hydrogen Standard? (see Annex E for applicable biomass types)", IF(OR(E21=Units!B95:B103),"If using biomass feedstock, does it meet the soil carbon criteria set out in the Low Carbon Hydrogen Standard? (see Annex E for applicable biomass types)", "Not applicable, please move on to the next section"))</f>
        <v>Not applicable, please move on to the next section</v>
      </c>
      <c r="D65" s="663"/>
      <c r="E65" s="143"/>
      <c r="F65" s="197"/>
      <c r="G65" s="188"/>
    </row>
    <row r="66" spans="2:8" ht="31.9" customHeight="1">
      <c r="B66" s="661"/>
      <c r="C66" s="660" t="str" cm="1">
        <f t="array" ref="C66">IF(AND(COUNTIF(E63:E65,"Not applicable")&lt;3,OR(Path=Units!$B$88:$B$89,Path=Units!$B$95:$B$103)),"If relevant, please detail the relevant schemes, referencing and attaching the documents that evidence compliance with the land, forest and/or soil carbon criteria", "Not applicable, please move on to the next question")</f>
        <v>Not applicable, please move on to the next question</v>
      </c>
      <c r="D66" s="660"/>
      <c r="E66" s="133"/>
      <c r="F66" s="197"/>
      <c r="G66" s="188"/>
    </row>
    <row r="67" spans="2:8" ht="47.25" customHeight="1">
      <c r="B67" s="661"/>
      <c r="C67" s="660" t="str" cm="1">
        <f t="array" ref="C67">IF(OR(Path=Units!$B$88:$B$89), "If biomass feedstock is used to generate electrolysis input power, are at least 50% (by LHV energy content) of your total biogenic hydrogen consignments derived from biogenic wastes or residues? (see LCHS section 2 for classifications)." &amp; " This question applies even if the single hydrogen consignment analysed in this workbook is not derived from a waste or residue feedstock",
IF(OR(Path=Units!$B$95:$B$103), "If using biogenic feedstock(s), are at least 50% (by LHV energy content) of your total biogenic hydrogen consignments derived from biogenic wastes or residues? (see LCHS section 2 for classifications)." &amp; " This question applies even if the single hydrogen consignment analysed in this workbook is not derived from a waste or residue feedstock", "Not applicable, please move on to the next section"))</f>
        <v>Not applicable, please move on to the next section</v>
      </c>
      <c r="D67" s="660"/>
      <c r="E67" s="143"/>
      <c r="F67" s="197"/>
      <c r="G67" s="188"/>
    </row>
    <row r="68" spans="2:8">
      <c r="B68" s="661"/>
      <c r="C68" s="663" t="str" cm="1">
        <f t="array" ref="C68">IF(OR(Path=Units!$B$88:$B$89),"If using biomass crop feedstock to generate electrolysis input power, please select your feedstock group", IF(OR(Path=Units!$B$95:$B$103),"If using biomass crop feedstock, please select your feedstock group", "Not applicable, please move on to the next section"))</f>
        <v>Not applicable, please move on to the next section</v>
      </c>
      <c r="D68" s="663"/>
      <c r="E68" s="143"/>
      <c r="F68" s="197"/>
      <c r="G68" s="188"/>
    </row>
    <row r="69" spans="2:8" ht="16.5">
      <c r="B69" s="661"/>
      <c r="C69" s="663" t="str" cm="1">
        <f t="array" ref="C69">IF(E68="Not applicable", "Not applicable, please move on to the next section", IF(OR(Path=Units!$B$88:$B$89),"If using biomass crop feedstock to generate electrolysis input power, please provide your projected whole chain efficiency", IF(OR(Path=Units!$B$95:$B$103),"If using biomass crop feedstock, please provide your projected whole chain efficiency", "Not applicable, please move on to the next section")))</f>
        <v>Not applicable, please move on to the next section</v>
      </c>
      <c r="D69" s="663"/>
      <c r="E69" s="235"/>
      <c r="F69" s="197" t="s">
        <v>197</v>
      </c>
      <c r="G69" s="188"/>
    </row>
    <row r="70" spans="2:8" ht="30" customHeight="1">
      <c r="B70" s="661"/>
      <c r="C70" s="664" t="str" cm="1">
        <f t="array" ref="C70">IF(E68="Not applicable", "Not applicable, please move on to the next section", IF(OR(Path=Units!$B$88:$B$89),"If using biomass crop feedstock to generate electrolysis input power, the following value is the resulting associated ILUC (Indirect Land Use Change) emissions"&amp;", for reporting separately to those GHG emissions in scope of the Standard (calculated in the Dashboard worksheet)", IF(OR(Path=Units!$B$95:$B$103),"The following value is the resulting associated ILUC (Indirect Land Use Change) emissions, for reporting separately to those GHG emissions in scope of the Standard (calculated in the Dashboard worksheet).", "Not applicable, please move on to the next section")))</f>
        <v>Not applicable, please move on to the next section</v>
      </c>
      <c r="D70" s="664"/>
      <c r="E70" s="438" t="str">
        <f>IFERROR(INDEX('Typical data'!C33:C37, MATCH(E68,'Typical data'!B33:B37,0))/E69,"")</f>
        <v/>
      </c>
      <c r="F70" s="198" t="s">
        <v>198</v>
      </c>
      <c r="G70" s="188"/>
    </row>
    <row r="71" spans="2:8">
      <c r="B71" s="188"/>
      <c r="C71" s="671"/>
      <c r="D71" s="671"/>
      <c r="E71" s="210"/>
      <c r="F71" s="211"/>
      <c r="G71" s="188"/>
    </row>
    <row r="72" spans="2:8" ht="15.6">
      <c r="B72" s="661" t="str" cm="1">
        <f t="array" ref="B72">IF(OR(E21=Units!B90:B93,E21=Units!B103),"","Likely not relevant to your project - please move on to the next section")</f>
        <v>Likely not relevant to your project - please move on to the next section</v>
      </c>
      <c r="C72" s="672" t="str" cm="1">
        <f t="array" ref="C72">IF(OR(E21=Units!B90:B93,E21=Units!B103),"Fossil natural gas", "Not applicable, as fossil natural gas not a feedstock, please move on to the next section")</f>
        <v>Not applicable, as fossil natural gas not a feedstock, please move on to the next section</v>
      </c>
      <c r="D72" s="672"/>
      <c r="E72" s="220"/>
      <c r="F72" s="221"/>
      <c r="G72" s="188"/>
    </row>
    <row r="73" spans="2:8" ht="15" customHeight="1">
      <c r="B73" s="661"/>
      <c r="C73" s="665" t="str">
        <f>IF(OR(E21=Units!B90,E21=Units!B91,E21=Units!B92, E21=Units!B93, E21=Units!B103),"If using fossil natural gas, please indicate if the hydrogen production plant will be connected to the UK gas grid.","Not applicable, as fossil natural gas not a feedstock, please move on to the next section")</f>
        <v>Not applicable, as fossil natural gas not a feedstock, please move on to the next section</v>
      </c>
      <c r="D73" s="665"/>
      <c r="E73" s="234"/>
      <c r="F73" s="197"/>
      <c r="G73" s="222"/>
    </row>
    <row r="74" spans="2:8" ht="78.95" customHeight="1">
      <c r="B74" s="661"/>
      <c r="C74" s="372"/>
      <c r="D74" s="432" t="str" cm="1">
        <f t="array" ref="D74">IF(AND(E73=Units!$H$87,OR(E21=Units!$B$90:$B$93,E21=Units!$B$103)),"If using fossil natural gas without a direct connection to the gas grid, please outline the import route and contractual arrangement with a fossil natural gas production facility or foreign national grid emissions average.", "Not applicable, as either fossil natural gas not a feedstock or plant is connected to UK gas grid, please move on to the next section")</f>
        <v>Not applicable, as either fossil natural gas not a feedstock or plant is connected to UK gas grid, please move on to the next section</v>
      </c>
      <c r="E74" s="133"/>
      <c r="F74" s="197"/>
      <c r="G74" s="222"/>
    </row>
    <row r="75" spans="2:8" ht="15.6">
      <c r="B75" s="350"/>
      <c r="C75" s="675"/>
      <c r="D75" s="675"/>
      <c r="E75" s="347"/>
      <c r="F75" s="349"/>
      <c r="G75" s="222"/>
    </row>
    <row r="76" spans="2:8" ht="15.6">
      <c r="B76" s="661" t="str" cm="1">
        <f t="array" ref="B76">IF(OR(Path=Units!$B$88:$B$89),"Only relevant if using biomethane to generate electrolysis input power",IF(OR(E21=Units!B95:B98,E21=Units!B103),"","Likely not relevant to your project - please move on to the next section"))</f>
        <v>Likely not relevant to your project - please move on to the next section</v>
      </c>
      <c r="C76" s="674" t="str" cm="1">
        <f t="array" ref="C76">IF(OR(E21=Units!$B$88:$B$89,E21=Units!B95:B98,E21=Units!B103),"Biomethane","Not applicable, as biomethane not an intermediate feedstock, please move on to the next section")</f>
        <v>Not applicable, as biomethane not an intermediate feedstock, please move on to the next section</v>
      </c>
      <c r="D76" s="674"/>
      <c r="E76" s="220"/>
      <c r="F76" s="348"/>
      <c r="G76" s="188"/>
    </row>
    <row r="77" spans="2:8" ht="15.6" customHeight="1">
      <c r="B77" s="661"/>
      <c r="C77" s="663" t="str" cm="1">
        <f t="array" ref="C77">IF(OR(E21=Units!$B$88:$B$89,E21=Units!B95,E21=Units!B96,E21=Units!B97,E21=Units!B98,E21=Units!B103),"If using biomethane, please indicate the means of biomethane transportation", "Not applicable, as biomethane not an intermediate feedstock, please move on to the next section")</f>
        <v>Not applicable, as biomethane not an intermediate feedstock, please move on to the next section</v>
      </c>
      <c r="D77" s="663"/>
      <c r="E77" s="143"/>
      <c r="F77" s="197"/>
      <c r="G77" s="222"/>
    </row>
    <row r="78" spans="2:8" ht="66.599999999999994" customHeight="1">
      <c r="B78" s="661"/>
      <c r="C78" s="346"/>
      <c r="D78" s="223" t="str" cm="1">
        <f t="array" ref="D78">IF(E77=Units!$Q$89, "Not applicable, as biomethane is not an intermediate feedstock, please move on to the next section", IF(OR(Path=Units!$B$88:$B$89,Path=Units!$B$95:$B$98,Path=Units!B103),"Please give details of the route and means of transport between the point of biomethane production and input into the hydrogen production plant. Where relevant, please provide details of the commercial arrangements in place to ensure the supply", "Not applicable, as biomethane is not an intermediate feedstock, please move on to the next section"))</f>
        <v>Not applicable, as biomethane is not an intermediate feedstock, please move on to the next section</v>
      </c>
      <c r="E78" s="133"/>
      <c r="F78" s="198"/>
      <c r="G78" s="222"/>
      <c r="H78" s="544"/>
    </row>
    <row r="79" spans="2:8">
      <c r="B79" s="188"/>
      <c r="C79" s="668"/>
      <c r="D79" s="668"/>
      <c r="E79" s="204"/>
      <c r="F79" s="200"/>
      <c r="G79" s="222"/>
    </row>
    <row r="80" spans="2:8" ht="15.6">
      <c r="B80" s="188"/>
      <c r="C80" s="672" t="s">
        <v>199</v>
      </c>
      <c r="D80" s="672"/>
      <c r="E80" s="205"/>
      <c r="F80" s="203"/>
      <c r="G80" s="222"/>
    </row>
    <row r="81" spans="2:10">
      <c r="B81" s="188"/>
      <c r="C81" s="665" t="s">
        <v>200</v>
      </c>
      <c r="D81" s="665"/>
      <c r="E81" s="236"/>
      <c r="F81" s="197" t="s">
        <v>201</v>
      </c>
      <c r="G81" s="188"/>
    </row>
    <row r="82" spans="2:10" ht="30" customHeight="1">
      <c r="B82" s="188"/>
      <c r="C82" s="673" t="s">
        <v>202</v>
      </c>
      <c r="D82" s="677"/>
      <c r="E82" s="236"/>
      <c r="F82" s="468" t="s">
        <v>203</v>
      </c>
      <c r="G82" s="222"/>
    </row>
    <row r="83" spans="2:10">
      <c r="B83" s="188"/>
      <c r="C83" s="665" t="s">
        <v>204</v>
      </c>
      <c r="D83" s="676"/>
      <c r="E83" s="236"/>
      <c r="F83" s="468" t="s">
        <v>203</v>
      </c>
      <c r="G83" s="222"/>
    </row>
    <row r="84" spans="2:10">
      <c r="B84" s="188"/>
      <c r="C84" s="665" t="s">
        <v>205</v>
      </c>
      <c r="D84" s="665"/>
      <c r="E84" s="236"/>
      <c r="F84" s="197" t="s">
        <v>206</v>
      </c>
      <c r="G84" s="188"/>
      <c r="H84" s="544"/>
    </row>
    <row r="85" spans="2:10">
      <c r="B85" s="188"/>
      <c r="C85" s="665" t="s">
        <v>207</v>
      </c>
      <c r="D85" s="665"/>
      <c r="E85" s="237"/>
      <c r="F85" s="197" t="s">
        <v>208</v>
      </c>
      <c r="G85" s="188"/>
      <c r="H85" s="544"/>
      <c r="I85" s="309"/>
      <c r="J85" s="309"/>
    </row>
    <row r="86" spans="2:10">
      <c r="B86" s="188"/>
      <c r="C86" s="665" t="s">
        <v>209</v>
      </c>
      <c r="D86" s="665"/>
      <c r="E86" s="264"/>
      <c r="F86" s="224" t="s">
        <v>210</v>
      </c>
      <c r="G86" s="188"/>
    </row>
    <row r="87" spans="2:10" ht="30" customHeight="1">
      <c r="B87" s="188"/>
      <c r="C87" s="660" t="s">
        <v>211</v>
      </c>
      <c r="D87" s="660"/>
      <c r="E87" s="238"/>
      <c r="F87" s="197"/>
      <c r="G87" s="188"/>
    </row>
    <row r="88" spans="2:10" ht="14.45" customHeight="1">
      <c r="B88" s="188"/>
      <c r="C88" s="214"/>
      <c r="D88" s="542" t="str">
        <f>IF(OR(E87="Other",E87=""),"If you have selected Other, please specify the expected source of this electricity, and enter the GHG intensity in the row below", "Not applicable, as 'Other' electricity source not selected, please move on to the next question")</f>
        <v>If you have selected Other, please specify the expected source of this electricity, and enter the GHG intensity in the row below</v>
      </c>
      <c r="E88" s="239"/>
      <c r="F88" s="197"/>
      <c r="G88" s="188"/>
      <c r="H88" s="544"/>
    </row>
    <row r="89" spans="2:10" ht="16.5">
      <c r="B89" s="188"/>
      <c r="C89" s="214"/>
      <c r="D89" s="543" t="str">
        <f>IF(OR(E87="Not applicable"),"Not applicable, please move on to the next question.", "Expected annual average GHG emissions intensity of any electricity used for theoretical compression/purification in the relevant calendar year of operations")</f>
        <v>Expected annual average GHG emissions intensity of any electricity used for theoretical compression/purification in the relevant calendar year of operations</v>
      </c>
      <c r="E89" s="467" t="str">
        <f>IF(E87="Grid electricity",IFERROR(INDEX(Proj_grid_intensity_kWh,MATCH(Operations_year,Proj_grid_year,0)),"Yet to provide year"),IF(E87="Wind/solar electricity",AVERAGE('Typical data'!$C$136:$C$138),IF(E87="Nuclear electricity",E39,IF(E87="Other","Input annual average GHG emissions intensity",IF(E87="Electricity input mix as above",$E$43,IF(E87="Not applicable", "","Yet to provide electricity source"))))))</f>
        <v>Yet to provide electricity source</v>
      </c>
      <c r="F89" s="215" t="s">
        <v>178</v>
      </c>
      <c r="G89" s="188"/>
    </row>
    <row r="90" spans="2:10">
      <c r="B90" s="188"/>
      <c r="C90" s="666" t="s">
        <v>212</v>
      </c>
      <c r="D90" s="666"/>
      <c r="E90" s="143"/>
      <c r="F90" s="198"/>
      <c r="G90" s="188"/>
    </row>
    <row r="91" spans="2:10">
      <c r="B91" s="188"/>
      <c r="C91" s="668"/>
      <c r="D91" s="668"/>
      <c r="E91" s="206"/>
      <c r="F91" s="225"/>
      <c r="G91" s="188"/>
    </row>
    <row r="92" spans="2:10" ht="15.6">
      <c r="B92" s="662" t="str" cm="1">
        <f t="array" ref="B92">IF(OR(E21=Units!B90:B95,E21=Units!B97,E21=Units!B99,E21=Units!B101,E21=Units!B103),"",IF(OR(E21=Units!B88:B89),"Only relevant if using CCS to generate electrolysis input power","Likely not relevant to your project - please move on to the next section"))</f>
        <v>Likely not relevant to your project - please move on to the next section</v>
      </c>
      <c r="C92" s="201" t="str" cm="1">
        <f t="array" ref="C92">IF(OR(Path=Units!B88:B95,Path=Units!B97,Path=Units!B99,Path=Units!B101,Path=Units!B103),"CO2 capture", "Not applicable, as no carbon capture, please move onto next section")</f>
        <v>Not applicable, as no carbon capture, please move onto next section</v>
      </c>
      <c r="D92" s="202"/>
      <c r="E92" s="213"/>
      <c r="F92" s="226"/>
      <c r="G92" s="188"/>
    </row>
    <row r="93" spans="2:10">
      <c r="B93" s="662"/>
      <c r="C93" s="660" t="str" cm="1">
        <f t="array" ref="C93">IF(OR(Path=Units!B88:B95,Path=Units!B97,Path=Units!B99,Path=Units!B101, Path=Units!B103),"If using CO2 capture, what is the annual average CO2 capture rate of the plant as a % of all CO2 generated onsite in the relevant year?","Not applicable, please move on to the next section")</f>
        <v>Not applicable, please move on to the next section</v>
      </c>
      <c r="D93" s="660"/>
      <c r="E93" s="235"/>
      <c r="F93" s="227"/>
      <c r="G93" s="188"/>
      <c r="H93" s="544"/>
    </row>
    <row r="94" spans="2:10">
      <c r="B94" s="662"/>
      <c r="C94" s="660" t="str" cm="1">
        <f t="array" ref="C94">IF(OR(Path=Units!B88:B95,Path=Units!B97,Path=Units!B99,Path=Units!B101, Path=Units!B103),"If using CO2 capture, what is the projected peak CO2 capture rate of the plant as a % of all CO2 generated onsite in the relevant year?", "Not applicable, please move on to the next section")</f>
        <v>Not applicable, please move on to the next section</v>
      </c>
      <c r="D94" s="660"/>
      <c r="E94" s="235"/>
      <c r="F94" s="227"/>
      <c r="G94" s="188"/>
    </row>
    <row r="95" spans="2:10">
      <c r="B95" s="662"/>
      <c r="C95" s="663" t="str" cm="1">
        <f t="array" ref="C95">IF(OR(Path=Units!B88:B95,Path=Units!B97,Path=Units!B99,Path=Units!B101,Path=Units!B103),"If using CO2 capture, what happens to the CO2?","Not applicable, please move on to the next section")</f>
        <v>Not applicable, please move on to the next section</v>
      </c>
      <c r="D95" s="663"/>
      <c r="E95" s="143"/>
      <c r="F95" s="197"/>
      <c r="G95" s="188"/>
    </row>
    <row r="96" spans="2:10" ht="30.95" customHeight="1">
      <c r="B96" s="662"/>
      <c r="C96" s="228"/>
      <c r="D96" s="545" t="str" cm="1">
        <f t="array" ref="D96">IF(E95="Not applicable", "Not applicable, please move on to the next question",
IF(AND(OR(E95=Units!I84),OR(Path=Units!B88:B95,Path=Units!B97,Path=Units!B99,Path=Units!B101,Path=Units!B103)),"Please give further details of the CO2 transportation and sequestration, including the CO2 storage location (if known)",
IF(AND(OR(E95=Units!I85),OR(Path=Units!B88:B95,Path=Units!B97,Path=Units!B99,Path=Units!B101,Path=Units!B103)),"Please give further details of the CO2 transportation and utilisation, including where the CO2 will be used",
IF(AND(OR(E95=Units!I86),OR(Path=Units!B88:B95,Path=Units!B97,Path=Units!B99,Path=Units!B101,Path=Units!B103)),"Please give the % that will be permanently sequestered vs utilised. Please give further details of the CO2 transportation and sequestration, including the CO2 storage location (if known), and details of the utilisation and where the CO2 will be used",
IF(AND(OR(E95=Units!I87),OR(Path=Units!B88:B95,Path=Units!B97,Path=Units!B99,Path=Units!B101,Path=Units!B103)),"Please give details of the other use of the CO2, if it is not utilised or sequestered",
"Not applicable, please move on to the next section")))))</f>
        <v>Not applicable, please move on to the next section</v>
      </c>
      <c r="E96" s="133"/>
      <c r="F96" s="197"/>
      <c r="G96" s="188"/>
    </row>
    <row r="97" spans="2:9">
      <c r="B97" s="662"/>
      <c r="C97" s="660" t="str" cm="1">
        <f t="array" ref="C97">IF(OR(Path=Units!B88:B95,Path=Units!B97,Path=Units!B99,Path=Units!B101,Path=Units!B103),"If using CO2 capture, please provide references to documents that evidence engagement/arrangements with the CO2 Transport &amp; Storage networks. Please attach any evidence to support this.","Not applicable, please move on to the next section")</f>
        <v>Not applicable, please move on to the next section</v>
      </c>
      <c r="D97" s="671"/>
      <c r="E97" s="133"/>
      <c r="F97" s="197"/>
      <c r="G97" s="188"/>
    </row>
    <row r="98" spans="2:9">
      <c r="B98" s="662"/>
      <c r="C98" s="660" t="str" cm="1">
        <f t="array" ref="C98">IF(OR(Path=Units!B88:B95,Path=Units!B97,Path=Units!B99,Path=Units!B101, Path=Units!B103),"If using CO2 capture, please confirm that emissions accounted for via sequestration are NOT credited or claimed elsewhere (e.g. carbon credits)","Not applicable, please move on to the next section")</f>
        <v>Not applicable, please move on to the next section</v>
      </c>
      <c r="D98" s="660"/>
      <c r="E98" s="143"/>
      <c r="F98" s="197"/>
      <c r="G98" s="188"/>
    </row>
    <row r="99" spans="2:9">
      <c r="B99" s="662"/>
      <c r="C99" s="667" t="str" cm="1">
        <f t="array" ref="C99">IF(OR(Path=Units!B88:B95,Path=Units!B97,Path=Units!B99,Path=Units!B101,Path=Units!B103),"If generating solid carbon, please confirm that offsets are NOT used in any part of the emissions projections","Not applicable, please move on to the next section")</f>
        <v>Not applicable, please move on to the next section</v>
      </c>
      <c r="D99" s="667"/>
      <c r="E99" s="143"/>
      <c r="F99" s="198"/>
      <c r="G99" s="188"/>
    </row>
    <row r="100" spans="2:9">
      <c r="B100" s="188"/>
      <c r="C100" s="668"/>
      <c r="D100" s="668"/>
      <c r="E100" s="206"/>
      <c r="F100" s="225"/>
      <c r="G100" s="188"/>
    </row>
    <row r="101" spans="2:9" ht="15.6">
      <c r="B101" s="662" t="str">
        <f>IF(OR(E21=Units!B93,E21=Units!B103),"","Likely not relevant to your project - please move on to the next section")</f>
        <v>Likely not relevant to your project - please move on to the next section</v>
      </c>
      <c r="C101" s="201" t="str">
        <f>IF(OR(Path=Units!B93,Path=Units!B103),"Solid carbon output", "Not applicable, as no solid carbon produced, please move onto next section")</f>
        <v>Not applicable, as no solid carbon produced, please move onto next section</v>
      </c>
      <c r="D101" s="202"/>
      <c r="E101" s="213"/>
      <c r="F101" s="226"/>
      <c r="G101" s="188"/>
    </row>
    <row r="102" spans="2:9">
      <c r="B102" s="662"/>
      <c r="C102" s="660" t="str">
        <f>IF(OR(Path=Units!B93,Path=Units!B103),"If generating solid carbon, what is the conversion rate of the feedstock carbon into solid carbon in the relevant year (tonnes C/tonnes feedstock C)?","Not applicable, please move on to the next section")</f>
        <v>Not applicable, please move on to the next section</v>
      </c>
      <c r="D102" s="660"/>
      <c r="E102" s="235"/>
      <c r="F102" s="227"/>
      <c r="G102" s="188"/>
      <c r="H102" s="544"/>
    </row>
    <row r="103" spans="2:9">
      <c r="B103" s="662"/>
      <c r="C103" s="660" t="str">
        <f>IF(OR(Path=Units!B93,Path=Units!B103),"If generating solid carbon, what is the peak conversion rate of the feedstock carbon into solid carbon in the relevant year (tonnes C/tonnes feedstock C)?", "Not applicable, please move on to the next section")</f>
        <v>Not applicable, please move on to the next section</v>
      </c>
      <c r="D103" s="660"/>
      <c r="E103" s="235"/>
      <c r="F103" s="227"/>
      <c r="G103" s="188"/>
    </row>
    <row r="104" spans="2:9">
      <c r="B104" s="662"/>
      <c r="C104" s="663" t="str">
        <f>IF(OR(Path=Units!B93,Path=Units!B103),"If producing solid carbon, what happens to the solid carbon?","Not applicable, please move on to the next section")</f>
        <v>Not applicable, please move on to the next section</v>
      </c>
      <c r="D104" s="663"/>
      <c r="E104" s="143"/>
      <c r="F104" s="197"/>
      <c r="G104" s="188"/>
    </row>
    <row r="105" spans="2:9" ht="30.95" customHeight="1">
      <c r="B105" s="662"/>
      <c r="C105" s="228"/>
      <c r="D105" s="545" t="str">
        <f>IF(E104="Not applicable", "Not applicable, please move on to the next question",
IF(AND(OR(E104=Units!J84,E104=Units!J86),OR(Path=Units!B93,Path=Units!B103)),"Please give further details of the solid carbon transportation and sequestration in a permissible end use, including details regarding locations and actors",
IF(AND(OR(E104=Units!J87),OR(Path=Units!B93,Path=Units!B103)), "Please give further details on the transportation and end use, location and actors, and likely ability of the end use to be able to sequester the solid carbon, and likely emissions to incorporate the solid carbon into the end use", "Not applicable, please move on to the next section")))</f>
        <v>Not applicable, please move on to the next section</v>
      </c>
      <c r="E105" s="133"/>
      <c r="F105" s="197"/>
      <c r="G105" s="188"/>
    </row>
    <row r="106" spans="2:9">
      <c r="B106" s="662"/>
      <c r="C106" s="660" t="str">
        <f>IF(OR(Path=Units!B93,Path=Units!B103),"If generating solid carbon, please provide references to documents that evidence engagement/arrangements with solid carbon offtakers. Please attach any evidence to support this.","Not applicable, please move on to the next section")</f>
        <v>Not applicable, please move on to the next section</v>
      </c>
      <c r="D106" s="671"/>
      <c r="E106" s="133"/>
      <c r="F106" s="197"/>
      <c r="G106" s="188"/>
    </row>
    <row r="107" spans="2:9">
      <c r="B107" s="662"/>
      <c r="C107" s="660" t="str">
        <f>IF(OR(Path=Units!B93,Path=Units!B103),"If generating solid carbon, please confirm that emissions accounted for via sequestration are NOT credited or claimed elsewhere (e.g. carbon credits)","Not applicable, please move on to the next section")</f>
        <v>Not applicable, please move on to the next section</v>
      </c>
      <c r="D107" s="660"/>
      <c r="E107" s="143"/>
      <c r="F107" s="197"/>
      <c r="G107" s="188"/>
    </row>
    <row r="108" spans="2:9">
      <c r="B108" s="662"/>
      <c r="C108" s="667" t="str">
        <f>IF(OR(Path=Units!B93,Path=Units!B103),"If using CO2 capture or generating solid carbon, please confirm that offsets are NOT used in any part of the emissions projections","Not applicable, please move on to the next section")</f>
        <v>Not applicable, please move on to the next section</v>
      </c>
      <c r="D108" s="667"/>
      <c r="E108" s="143"/>
      <c r="F108" s="198"/>
      <c r="G108" s="188"/>
    </row>
    <row r="109" spans="2:9">
      <c r="B109" s="188"/>
      <c r="C109" s="668"/>
      <c r="D109" s="668"/>
      <c r="E109" s="204"/>
      <c r="F109" s="200"/>
      <c r="G109" s="188"/>
    </row>
    <row r="110" spans="2:9" ht="15.6">
      <c r="B110" s="188"/>
      <c r="C110" s="201" t="s">
        <v>213</v>
      </c>
      <c r="D110" s="202"/>
      <c r="E110" s="229"/>
      <c r="F110" s="203"/>
      <c r="G110" s="188"/>
    </row>
    <row r="111" spans="2:9">
      <c r="C111" s="469" t="str" cm="1">
        <f t="array" ref="C111">IF(OR(Path=Units!$B$97:$B$98), "Is food waste the feedstock analysed at the start of your pathway in this workbook, i.e. matching the feedstock used in the DESNZ default emissions dataset?",
IF(OR(Path=Units!$B$99:$B$100), "Are forestry residues the feedstock analysed at the start of your pathway in this workbook, i.e. matching the feedstock used in the DESNZ default emissions dataset?",
IF(OR(Path=Units!$B$101:$B$102),"Is Municipal Solid Waste the feedstock analysed at the start of your pathway in this workbook, i.e. matching the feedstock used in the DESNZ default emissions dataset?",
"Not applicable, as one of the default biomass pathways not chosen, please move on to the next question")))</f>
        <v>Not applicable, as one of the default biomass pathways not chosen, please move on to the next question</v>
      </c>
      <c r="D111" s="176"/>
      <c r="E111" s="143"/>
      <c r="F111" s="468"/>
      <c r="H111" s="544"/>
    </row>
    <row r="112" spans="2:9" ht="75.75" customHeight="1">
      <c r="B112" s="188"/>
      <c r="C112" s="673" t="s">
        <v>214</v>
      </c>
      <c r="D112" s="673"/>
      <c r="E112" s="143"/>
      <c r="F112" s="445"/>
      <c r="G112" s="188"/>
      <c r="H112" s="610"/>
      <c r="I112" s="618"/>
    </row>
    <row r="113" spans="2:11">
      <c r="B113" s="188"/>
      <c r="C113" s="665" t="str" cm="1">
        <f t="array" ref="C113">IF(OR(Path=Units!$B$84:$B$89), "Feedstock Supply is not an applicable emissions category for electrolysis pathways, please move to the next question",
IF(OR(Path=Units!$B$95:$B$96), "Feedstock Supply emissions must use projected data, as default data is not provided for the Feedstock Supply category for biomethane SMR pathways",
IF(E73=Units!$H$87, "Feedstock Supply emissions must use projected data, as feedstock is not taken from the UK gas grid",
IF(E112="Mixed", "If Mixed data selected above, please specify if the Feedstock Supply emissions data are projected or default data are used?", "Not applicable, as Mixed data not selected, please move on to the next question"))))</f>
        <v>Not applicable, as Mixed data not selected, please move on to the next question</v>
      </c>
      <c r="D113" s="668"/>
      <c r="E113" s="143"/>
      <c r="F113" s="197"/>
      <c r="G113" s="188"/>
      <c r="H113" s="610"/>
      <c r="I113" s="618"/>
    </row>
    <row r="114" spans="2:11">
      <c r="B114" s="188"/>
      <c r="C114" s="665" t="str">
        <f>IF(OR(Path=Units!$B$87,Path=Units!$B$88,AND(Path=Units!$B$89,Initial_questions!E38&gt;0)), "Energy Supply emissions must use projected data, as 'stored' or 'other' electricity sources are used",
IF(AND(E112="Mixed", Path&lt;&gt;Units!$C$86),"If Mixed data selected above, please specify if the Energy Supply emissions data are projected or default data are used?",IF(AND(E112="Mixed",Path=Units!$C$86),"Natural gas splitting producing solid carbon pathway selected, users must select Projected.", "Not applicable, as Mixed data not selected, please move on to the next question")))</f>
        <v>Not applicable, as Mixed data not selected, please move on to the next question</v>
      </c>
      <c r="D114" s="668"/>
      <c r="E114" s="143"/>
      <c r="F114" s="197"/>
      <c r="G114" s="188"/>
      <c r="H114" s="610"/>
      <c r="I114" s="618"/>
    </row>
    <row r="115" spans="2:11">
      <c r="B115" s="188"/>
      <c r="C115" s="665" t="str">
        <f>IF(AND(E112="Mixed", Path&lt;&gt;Units!$C$86),"If Mixed data selected above, please specify if the Input Materials emissions data are projected or default data are used?", IF(AND(E112="Mixed",Path=Units!$C$86),"Natural gas splitting producing solid carbon pathway selected, user must select Projected.", "Not applicable, as Mixed data not selected, please move on to the next question"))</f>
        <v>Not applicable, as Mixed data not selected, please move on to the next question</v>
      </c>
      <c r="D115" s="668"/>
      <c r="E115" s="143"/>
      <c r="F115" s="197"/>
      <c r="G115" s="188"/>
      <c r="H115" s="568"/>
    </row>
    <row r="116" spans="2:11" ht="50.1" customHeight="1">
      <c r="B116" s="188"/>
      <c r="C116" s="660" t="s">
        <v>215</v>
      </c>
      <c r="D116" s="660"/>
      <c r="E116" s="133"/>
      <c r="F116" s="197"/>
      <c r="G116" s="188"/>
      <c r="H116" s="555"/>
      <c r="J116" s="561"/>
      <c r="K116" s="561"/>
    </row>
    <row r="117" spans="2:11" ht="53.45" customHeight="1">
      <c r="B117" s="188"/>
      <c r="C117" s="664" t="s">
        <v>216</v>
      </c>
      <c r="D117" s="664"/>
      <c r="E117" s="133"/>
      <c r="F117" s="198"/>
      <c r="G117" s="188"/>
      <c r="J117" s="561"/>
      <c r="K117" s="561"/>
    </row>
    <row r="118" spans="2:11">
      <c r="B118" s="188"/>
      <c r="C118" s="230"/>
      <c r="D118" s="230"/>
      <c r="E118" s="341"/>
      <c r="F118" s="230"/>
      <c r="G118" s="188"/>
      <c r="J118" s="561"/>
      <c r="K118" s="561"/>
    </row>
    <row r="119" spans="2:11">
      <c r="B119" s="188"/>
      <c r="C119" s="188"/>
      <c r="D119" s="188"/>
      <c r="E119" s="334"/>
      <c r="F119" s="188"/>
      <c r="G119" s="188"/>
      <c r="J119" s="561"/>
      <c r="K119" s="561"/>
    </row>
    <row r="120" spans="2:11" ht="23.45">
      <c r="C120" s="231" t="s">
        <v>217</v>
      </c>
      <c r="D120" s="188"/>
      <c r="E120" s="342"/>
      <c r="F120" s="188"/>
      <c r="G120" s="188"/>
      <c r="J120" s="561"/>
      <c r="K120" s="561"/>
    </row>
    <row r="121" spans="2:11" ht="36.950000000000003">
      <c r="B121" s="188"/>
      <c r="C121" s="188"/>
      <c r="D121" s="320" t="s">
        <v>218</v>
      </c>
      <c r="E121" s="342"/>
      <c r="F121" s="188"/>
      <c r="G121" s="188"/>
      <c r="I121" s="571"/>
      <c r="J121" s="561"/>
      <c r="K121" s="561"/>
    </row>
    <row r="122" spans="2:11" ht="39" customHeight="1">
      <c r="B122" s="188"/>
      <c r="C122" s="188"/>
      <c r="D122" s="233" t="str" cm="1">
        <f t="array" ref="D122">IF(OR(E21=Units!B84:B89), "2. This will bring up the Custom Views menu, as seen on the right. Please click on the Electrolysis view and press Show.",
IF(OR(E21=Units!B90:B92),"2. This will bring up the Custom Views menu, as seen on the right. Please click on the Natural gas reforming with CCS view and press Show.",
IF(E21=Units!B93,"2. This will bring up the Custom Views menu, as seen on the right. Please click on the Natural gas splitting producing solid carbon view and press Show.",
IF(E21=Units!B94,"2. This will bring up the Custom Views menu, as seen on the right. Please click on the Refinery off gas reforming with CCS view and press Show.",
IF(OR(E21=Units!B95:B98),"2. This will bring up the Custom Views menu, as seen on the right. Please click on the Biomethane reforming view and press Show.",
IF(OR(E21=Units!B99:B100),"2. This will bring up the Custom Views menu, as seen on the right. Please click on the Biomass gasification view and press Show.",
IF(OR(E21=Units!B101:B102),"2. This will bring up the Custom Views menu, as seen on the right. Please click on the Waste gasification view and press Show.",
IF(E21=Units!B103,"2. This will bring up the Custom Views menu, as seen on the right. Please click on the Other view and press Show",
"2. This will bring up the Custom Views menu, as seen on the right. Please click on the pathway relevant to your project and press Show."))))))))</f>
        <v>2. This will bring up the Custom Views menu, as seen on the right. Please click on the pathway relevant to your project and press Show.</v>
      </c>
      <c r="E122" s="334"/>
      <c r="F122" s="188"/>
      <c r="G122" s="188"/>
      <c r="J122" s="561"/>
      <c r="K122" s="561"/>
    </row>
    <row r="123" spans="2:11" ht="36.950000000000003">
      <c r="B123" s="188"/>
      <c r="C123" s="188"/>
      <c r="D123" s="320" t="s">
        <v>219</v>
      </c>
      <c r="E123" s="334"/>
      <c r="F123" s="188"/>
      <c r="G123" s="188"/>
      <c r="J123" s="561"/>
      <c r="K123" s="561"/>
    </row>
    <row r="124" spans="2:11" ht="38.25" customHeight="1">
      <c r="B124" s="188"/>
      <c r="C124" s="188"/>
      <c r="D124" s="233" t="str" cm="1">
        <f t="array" ref="D124">IF(AND(E21=Units!B90:B92,OR(E112:E113="Default",E73=Units!$H$84)),"4. Then, please move on to and complete the NG Reforming + CCS worksheet.",
IF(AND(E21=Units!B93,E73=Units!$H$84),"4. Then, please move on to and complete the NG Splitting + Solid Carbon worksheet.",
IF(AND(E21=Units!B95:B98,OR(E112:E113="Default")),"4. Then, please move on to and complete the Biomethane Reforming (+CCS) worksheet.",
IF(AND(E21=Units!B99:B100,OR(E112:E113="Default")),"4. Then, please move on to and complete the Biomass Gasification (+CCS) worksheet.",
IF(AND(E21=Units!B101:B102,OR(E112:E113="Default")),"4. Then, please move on to and complete the Waste Fossil Counterfactual and Waste Gasification (+CCS) worksheets.",
IF(OR(E21=Units!B84:B89),"4. Then, please move to and complete the Electrolysis worksheet.",
IF(OR(E21=Units!B90:B92),"4. Then, please move on to and complete the NG Collection worksheet as well as the following supply chain step worksheets for the Natural Gas Reforming pathway.",
IF(E21=Units!B93,"4. Then, please move on to and complete the NG Collection worksheet as well as the following supply chain step worksheets for the Natural Gas Splitting pathway.",
IF(AND(E21=Units!B94,E27=Units!L86),"4. Then, please move on to and complete the ROG Counterfactual worksheet, the ROG Processing worksheet as well as the following supply chain step worksheets for the ROG Reforming pathway.",
IF(AND(E21=Units!B94,E27=Units!L87),"4. Then, please move on to and complete the ROG Processing worksheet as well as the following supply chain step worksheets for the ROG Reforming pathway.",
IF(AND(E21=Units!B94,E27=Units!L88),"4. Then, please move on to and complete the Crude Collection worksheet as well as the following supply chain step worksheets for the ROG Reforming pathway.",
IF(OR(E21=Units!B95:B98),"4. Then, please move on to and complete the Biogas Feedstock Cultivation worksheet as well as the following supply chain step worksheets for the Biomethane Reforming pathway.",
IF(OR(E21=Units!B99:B100),"4. Then, please move on to and complete the Biomass Cultivation worksheet as well as the following supply chain step worksheets for the Biomass Gasification pathway.",
IF(OR(E21=Units!B101:B102),"4. Then, please move on to and complete the Waste Fossil Counterfactual worksheet, the Waste Collection worksheet, as well as the following supply chain step worksheets for the Waste Gasification pathway.",
IF(E21=Units!B103,"4. Then, please move on and complete the Generic Fossil Counterfactual worksheet, the Generic Feedstock Cultivation worksheet, as well as the following supply chain step worksheets for the Other pathway.",
"4. Please go back to the Technology section and select a hydrogen production pathway.")))))))))))))))</f>
        <v>4. Please go back to the Technology section and select a hydrogen production pathway.</v>
      </c>
      <c r="E124" s="334"/>
      <c r="F124" s="188"/>
      <c r="G124" s="188"/>
      <c r="J124" s="561"/>
      <c r="K124" s="561"/>
    </row>
    <row r="125" spans="2:11" ht="18.600000000000001">
      <c r="B125" s="188"/>
      <c r="C125" s="188"/>
      <c r="D125" s="233" t="str" cm="1">
        <f t="array" ref="D125">IF(OR(E21=Units!B84:B89),"5. Afterwards, please check the result in the GHG Electrolysis worksheet.",
IF(OR(E21=Units!B90:B92),"5. Afterwards, please check the result in the GHG NG Reform + CCS worksheet.",
IF(E21=Units!B93,"5. Afterwards, please check the result in the GHG NG Splitting + Solid Carbon worksheet.",
IF(E21=Units!B94,"5. Afterwards, please check the result in the GHG ROG Reform + CCS worksheet.",
IF(OR(E21=Units!B95:B98),"5. Afterwards, please check the result in the GHG Biomethane Reform worksheet.",
IF(OR(E21=Units!B99:B100),"5. Afterwards, please check the result in the GHG Biomass Gasification worksheet.",
IF(OR(E21=Units!B101:B102),"5. Afterwards, please check the result in the GHG Waste Gasification worksheet.",
IF(E21=Units!B103,"5. Afterwards, please check the result in the GHG Generic Other worksheet.",
""))))))))</f>
        <v/>
      </c>
      <c r="E125" s="334"/>
      <c r="F125" s="188"/>
      <c r="G125" s="188"/>
      <c r="J125" s="561"/>
      <c r="K125" s="561"/>
    </row>
    <row r="126" spans="2:11" ht="18.600000000000001">
      <c r="B126" s="188"/>
      <c r="C126" s="188"/>
      <c r="D126" s="233" t="str">
        <f>IF(D125="", "","6. Finally, check the Dashboard workbook that you have completed all required fields, and input any other consignment results calculated in other workbooks and their weighted shares to calculate an overall weighted average GHG emissions result.")</f>
        <v/>
      </c>
      <c r="E126" s="334"/>
      <c r="F126" s="188"/>
      <c r="G126" s="188"/>
      <c r="J126" s="561"/>
      <c r="K126" s="561"/>
    </row>
    <row r="127" spans="2:11" ht="23.45">
      <c r="B127" s="188"/>
      <c r="C127" s="231" t="s">
        <v>220</v>
      </c>
      <c r="D127" s="188"/>
      <c r="E127" s="334"/>
      <c r="F127" s="188"/>
      <c r="G127" s="188"/>
      <c r="J127" s="561"/>
      <c r="K127" s="561"/>
    </row>
    <row r="128" spans="2:11" ht="23.45">
      <c r="B128" s="188"/>
      <c r="C128" s="231"/>
      <c r="D128" s="232" t="s">
        <v>221</v>
      </c>
      <c r="E128" s="334"/>
      <c r="F128" s="188"/>
      <c r="G128" s="188"/>
      <c r="J128" s="561"/>
      <c r="K128" s="561"/>
    </row>
    <row r="129" spans="2:11" ht="20.45" customHeight="1">
      <c r="B129" s="188"/>
      <c r="C129" s="231"/>
      <c r="D129" s="447" t="str" cm="1">
        <f t="array" aca="1" ref="D129" ca="1">HYPERLINK(CELL("address",System_Boundary!A1), "System Boundary worksheet")</f>
        <v>System Boundary worksheet</v>
      </c>
      <c r="E129" s="334"/>
      <c r="F129" s="188"/>
      <c r="G129" s="188"/>
      <c r="J129" s="561"/>
      <c r="K129" s="561"/>
    </row>
    <row r="130" spans="2:11" ht="25.9" customHeight="1">
      <c r="C130" s="188"/>
      <c r="D130" s="232" t="str" cm="1">
        <f t="array" ref="D130">IF(AND(E21=Units!B90:B92,OR(E112:E113="Default")),"2. Then, please move on to and complete the NG Reforming + CCS worksheet via the link below.",
IF(AND(E21=Units!B93,OR(OR(E112:E113="Default"),E73=Units!$H$84)),"2. Then, please move on to and complete the NG Splitting + Solid Carbon worksheet via the link below.",
IF(AND(E21=Units!B95:B98,OR(E112:E113="Default")),"2. Then, please move on to and complete the Biomethane Reforming (+CCS) worksheet via the link below.",
IF(AND(E21=Units!B99:B100,OR(E112:E113="Default")),"2. Then, please move on to and complete the Biomass Gasification (+CCS) worksheet via the link below.",
IF(AND(E21=Units!B101:B102,OR(E112:E113="Default")),"2. Then, please move on to and complete both the Waste Fossil Counterfactual and Waste Gasification (+CCS) worksheets via the links below.",
IF(OR(E21=Units!B84:B89),"2. Then, please complete the Electrolysis worksheet via the link below.",
IF(OR(E21=Units!B90:B92),"2. Then, please complete the NG Collection worksheet via the link below, as well as the sequential supply chain step worksheets for the NG Reforming pathway.",
IF(E21=Units!B93,"2. Then, please move complete the NG Collection worksheet via the link below, as well as the sequential supply chain step worksheets for the NG Splitting pathway.",
IF(AND(E21=Units!B94,E27=Units!L86),"2. Then, please move on to and complete the ROG Counterfactual worksheet and the ROG Processing worksheet via the links below, as well as the sequential supply chain step worksheets for the ROG Reforming pathway",
IF(AND(E21=Units!B94,E27=Units!L87),"2. Then, please move on to and complete the ROG Processing worksheet via the link below, as well as the sequential supply chain step worksheets for the ROG Reforming pathway",
IF(AND(E21=Units!B94,E27=Units!L88),"2. Then, please move on to and complete the Crude Collection worksheet via the link below, as well as the sequential supply chain step worksheets for the ROG Reforming pathway",
IF(E21=Units!B94,"2. Then, please move on to and complete the ROG Counterfactual worksheet via the link below, as well as the sequential supply chain step worksheets for the ROG Reforming pathway",
IF(OR(E21=Units!B95:B98),"2. Then, please complete the Biogas Feedstock Cultivation worksheet via the link below, as well as the sequential supply chain step worksheets for the Biomethane Reforming pathway.",
IF(OR(E21=Units!B99:B100),"2. Then, please complete the Biomass Cultivation worksheet via the link below, as well as the sequential supply chain step worksheets for the Biomass Gasification pathway.",
IF(OR(E21=Units!B101:B102),"2. Then, please complete the Waste Fossil Counterfactual worksheet and the Waste Collection worksheet via the links below, as well as the sequential supply chain step worksheets for the Waste Gasification pathway.",
IF(AND(E21=Units!B103,E27=Units!L89),"2. Then, please move on to and complete the Generic Fossil Counterfactual via the link below, as well as the sequential supply chain step worksheets for the Other pathway.",
IF(E21=Units!B103,"2. Then, please complete the Generic Feedstock Cultivation worksheet via the link below, as well as the sequential supply chain step worksheets for the Other pathway.",
"2. Please go back to the Technology section and select a hydrogen production pathway.")))))))))))))))))</f>
        <v>2. Please go back to the Technology section and select a hydrogen production pathway.</v>
      </c>
      <c r="E130" s="343"/>
      <c r="F130" s="188"/>
      <c r="G130" s="188"/>
      <c r="J130" s="561"/>
      <c r="K130" s="561"/>
    </row>
    <row r="131" spans="2:11" ht="18.600000000000001">
      <c r="C131" s="188"/>
      <c r="D131" s="449" t="str" cm="1">
        <f t="array" aca="1" ref="D131" ca="1">IF(AND(E21=Units!B90:B92,OR(E112:E113="Default")),HYPERLINK(CELL("address",NG_Reforming_CCS!A1),"NG Reforming + CCS worksheet"),
IF(AND(E21=Units!B93,OR(OR(E112:E113="Default"),E73=Units!$H$84)),HYPERLINK(CELL("address",NG_Splitting_SolidCarbon!A1),"NG Splitting + Solid Carbon worksheet"),
IF(AND(E21=Units!B95:B98,OR(E112:E113="Default")),HYPERLINK(CELL("address",Biomethane_Reforming_CCS!A1),"Biomethane Reforming (+CCS) worksheet"),
IF(AND(E21=Units!B99:B100,OR(E112:E113="Default")),HYPERLINK(CELL("address",Biomass_Gasification_CCS!A1),"Biomass Gasification (+CCS) worksheet"),
IF(AND(E21=Units!B101:B102,OR(E112:E113="Default")),HYPERLINK(CELL("address",Waste_Fossil_Counterfactual!A1),"Waste Fossil Counterfactual worksheet"),
IF(OR(E21=Units!B84:B89),HYPERLINK(CELL("address",Electrolysis!A1),"Electrolysis worksheet"),
IF(OR(E21=Units!B90:B92),HYPERLINK(CELL("address",NG_Collection!A1),"NG Collection worksheet"),
IF(E21=Units!B93,HYPERLINK(CELL("address",NG_Collection!A1),"NG Collection worksheet"),
IF(AND(E21=Units!B94,E27=Units!L86),HYPERLINK(CELL("address",ROG_Counterfactual!A1),"ROG Counterfactual worksheet"),
IF(AND(E21=Units!B94,E27=Units!L87),HYPERLINK(CELL("address",ROG_Processing!A1),"ROG Processing worksheet"),
IF(AND(E21=Units!B94,E27=Units!L88),HYPERLINK(CELL("address",Crude_Collection!A1),"Crude Collection worksheet"),
IF(E21=Units!B94,HYPERLINK(CELL("address",ROG_Counterfactual!A1),"ROG Counterfactual worksheet"),
IF(OR(E21=Units!B95:B98),HYPERLINK(CELL("address",Biogas_Feedstock_Cultivation!A1),"Biogas Feedstock Cultivation worksheet"),
IF(OR(E21=Units!B99:B100),HYPERLINK(CELL("address",Biomass_Cultivation!A1),"Biomass Cultivation worksheet"),
IF(OR(E21=Units!B101:B102),HYPERLINK(CELL("address",Waste_Fossil_Counterfactual!A1),"Waste Fossil Counterfactual worksheet"),
IF(AND(E21=Units!B103,E27=Units!L89),HYPERLINK(CELL("address",Generic_Fossil_Counterfactual!A1),"Generic Fossil Counterfactual worksheet"),
IF(E21=Units!B103,HYPERLINK(CELL("address",Generic_Feedstock_Cultivation!A1),"Generic Feedstock Cultivation worksheet"),
HYPERLINK("#E21","Please go back to the Technology section and select a hydrogen production pathway"))))))))))))))))))</f>
        <v>Please go back to the Technology section and select a hydrogen production pathway</v>
      </c>
      <c r="E131" s="572" t="str" cm="1">
        <f t="array" aca="1" ref="E131" ca="1">IF(AND(Path=Units!B101:B102,OR(E112:E113="Default")),HYPERLINK(CELL("address",Waste_Gasification_CCS!A1),"Waste Gasification (+CCS) worksheet"),
IF(OR(Path=Units!B101:B102),HYPERLINK(CELL("address",Waste_Collection!A1),"Waste Collection worksheet"),
IF(AND(Path=Units!B94,E27=Units!L86),HYPERLINK(CELL("address",ROG_Processing!A1),"ROG Processing worksheet"),
IF(AND(Path=Units!B103,E27=Units!L89),HYPERLINK(CELL("address",Generic_Feedstock_Collection!A1),"Generic Feedstock Collection worksheet"),
""))))</f>
        <v/>
      </c>
      <c r="F131" s="188"/>
      <c r="G131" s="188"/>
      <c r="H131" s="544"/>
      <c r="J131" s="561"/>
      <c r="K131" s="561"/>
    </row>
    <row r="132" spans="2:11" ht="25.9" customHeight="1">
      <c r="B132" s="188"/>
      <c r="C132" s="231"/>
      <c r="D132" s="232" t="str" cm="1">
        <f t="array" ref="D132">IF(AND(E21=Units!B90:B92,OR(E112:E113="Default")),"3. Afterwards, please check the result in the GHG NG Reform + CCS summary worksheet, accessible via the link below.",
IF(AND(E21=Units!B93,OR(E112:E113="Default")),"3. Afterwards, please check the result in the GHG NG Splitting summary worksheet, accessible via the link below.",
IF(AND(E21=Units!B95:B98,OR(E112:E113="Default")),"3. Afterwards, please check the result in the GHG Biomethane Reforming summary worksheet, accessible via the link below.",
IF(AND(E21=Units!B99:B100,OR(E112:E113="Default")),"3. Afterwards, please check the result in the GHG Biomass Gasification summary worksheet, accessible via the link below.",
IF(AND(E21=Units!B101:B102,OR(E112:E113="Default")),"3. Afterwards, please check the result in the GHG Waste Gasification summary worksheet, accessible via the link below.",
IF(OR(E21=Units!B84:B89),"3. Afterwards, please check the result in the GHG Electrolysis summary worksheet, accessible via the link below.",
IF(OR(E21=Units!B90:B92),"3. After completing the relevant supply chain step worksheets for the NG Reforming pathway, please check the result in the GHG NG Reforming + CCS summary worksheet (accessible via the link below).",
IF(E21=Units!B93,"3. After completing the relevant supply chain step worksheets for the NG Splitting pathway, please check the result in the GHG NG Splitting summary worksheet (accessible via the link below).",
IF(E21=Units!B94,"3. After completing the relevant supply chain step worksheets for the ROG Reforming pathway, please check the result in the GHG ROG Reforming + CCS summary worksheet (accessible via the link below).",
IF(OR(E21=Units!B95:B98),"3. After completing the relevant supply chain step worksheets for the Biomethane Reforming pathway, please check the result in the GHG Biomethane Reforming summary worksheet (accessible via the link below).",
IF(OR(E21=Units!B99:B100),"3. After completing the relevant supply chain step worksheets for the Biomass Gasification pathway, please check the result in the GHG Biomass Gasification summary worksheet (accessible via the link below).",
IF(OR(E21=Units!B101:B102),"3. After completing the relevant supply chain step worksheets for the Waste Gasification pathway, please check the result in the GHG Waste Gasification summary worksheet (accessible via the link below).",
IF(E21=Units!B103,"3. After completing the relevant supply chain step worksheets for the Other pathway, please check the result in the GHG Generic Other summary worksheet (accessible via the link below).","")))))))))))))</f>
        <v/>
      </c>
      <c r="E132" s="334"/>
      <c r="F132" s="188"/>
      <c r="G132" s="188"/>
      <c r="J132" s="561"/>
      <c r="K132" s="561"/>
    </row>
    <row r="133" spans="2:11" ht="18.600000000000001">
      <c r="B133" s="188"/>
      <c r="C133" s="188"/>
      <c r="D133" s="448" t="str" cm="1">
        <f t="array" aca="1" ref="D133" ca="1">IF(OR(E21=Units!B84:B89), HYPERLINK(CELL("address", GHG_ELECTROLYSIS!A1),"Electrolysis summary GHG worksheet"),
IF(OR(E21=Units!B90:B92),HYPERLINK(CELL("address",GHG_NG_REFORM_CCS!A1),"Fossil Reforming + CCS summary GHG worksheet"),
IF(E21=Units!B93,HYPERLINK(CELL("address",GHG_NG_SPLITTING!A1),"Fossil Splitting + Solid Carbon summary GHG worksheet"),
IF(E21=Units!B94,HYPERLINK(CELL("address",GHG_ROG_REFORM_CCS!A1),"ROG Reforming + CCS summary GHG worksheet"),
IF(OR(E21=Units!B95:B98),HYPERLINK(CELL("address",GHG_BIOMETHANE_REFORM!A1),"Biomethane Reforming (+CCS) summary GHG worksheet"),
IF(OR(E21=Units!B99:B100),HYPERLINK(CELL("address",GHG_BIOMASS_GASIFICATION!A1),"Biomass Gasification summary GHG worksheet"),
IF(OR(E21=Units!B101:B102),HYPERLINK(CELL("address",GHG_WASTE_GASIFICATION!A1),"Waste Gasification summary GHG worksheet"),
IF(E21=Units!B103,HYPERLINK(CELL("address",GHG_GENERIC_OTHER!A1),"Other pathway summary GHG worksheet"),
HYPERLINK("#E21","Please go back to the Technology section and select a hydrogen production pathway")))))))))</f>
        <v>Please go back to the Technology section and select a hydrogen production pathway</v>
      </c>
      <c r="E133" s="334"/>
      <c r="F133" s="188"/>
      <c r="G133" s="188"/>
      <c r="J133" s="561"/>
      <c r="K133" s="561"/>
    </row>
    <row r="134" spans="2:11" ht="24" customHeight="1">
      <c r="B134" s="188"/>
      <c r="C134" s="188"/>
      <c r="D134" s="320" t="str">
        <f>IF(D132="","","4. Finally, complete and check the Dashboard worksheet.")</f>
        <v/>
      </c>
      <c r="E134" s="334"/>
      <c r="F134" s="188"/>
      <c r="G134" s="188"/>
      <c r="J134" s="561"/>
      <c r="K134" s="561"/>
    </row>
    <row r="135" spans="2:11" ht="18.600000000000001">
      <c r="B135" s="188"/>
      <c r="C135" s="188"/>
      <c r="D135" s="447" t="s">
        <v>222</v>
      </c>
      <c r="E135" s="334"/>
      <c r="F135" s="188"/>
      <c r="G135" s="188"/>
      <c r="J135" s="561"/>
      <c r="K135" s="561"/>
    </row>
    <row r="136" spans="2:11" ht="23.45">
      <c r="B136" s="188"/>
      <c r="C136" s="231"/>
      <c r="D136" s="622" t="s">
        <v>223</v>
      </c>
      <c r="E136" s="334"/>
      <c r="F136" s="188"/>
      <c r="G136" s="188"/>
      <c r="J136" s="561"/>
      <c r="K136" s="561"/>
    </row>
    <row r="137" spans="2:11" ht="18.600000000000001">
      <c r="B137" s="188"/>
      <c r="C137" s="188"/>
      <c r="D137" s="232"/>
      <c r="E137" s="334"/>
      <c r="F137" s="188"/>
      <c r="G137" s="188"/>
    </row>
    <row r="138" spans="2:11" ht="18.600000000000001">
      <c r="B138" s="188"/>
      <c r="C138" s="188"/>
      <c r="D138" s="232"/>
      <c r="E138" s="334"/>
      <c r="F138" s="188"/>
      <c r="G138" s="188"/>
    </row>
    <row r="139" spans="2:11">
      <c r="B139" s="188"/>
      <c r="C139" s="188"/>
      <c r="D139" s="188"/>
      <c r="E139" s="334"/>
      <c r="F139" s="188"/>
      <c r="G139" s="188"/>
    </row>
    <row r="141" spans="2:11" ht="21">
      <c r="D141" s="332"/>
    </row>
  </sheetData>
  <dataConsolidate/>
  <customSheetViews>
    <customSheetView guid="{F03309BC-D3FA-4CF2-833B-D6D9A95FE1FB}" showGridLines="0" topLeftCell="A98">
      <selection activeCell="D2" sqref="D2"/>
      <pageMargins left="0" right="0" top="0" bottom="0" header="0" footer="0"/>
      <pageSetup paperSize="9" orientation="portrait" horizontalDpi="90" verticalDpi="90" r:id="rId1"/>
    </customSheetView>
    <customSheetView guid="{EECBF9DF-6D77-4263-85DA-71E40216BADD}" showGridLines="0" topLeftCell="A100">
      <selection activeCell="B104" sqref="B104"/>
      <pageMargins left="0" right="0" top="0" bottom="0" header="0" footer="0"/>
      <pageSetup paperSize="9" orientation="portrait" horizontalDpi="90" verticalDpi="90" r:id="rId2"/>
    </customSheetView>
    <customSheetView guid="{1C16EB38-F785-4168-9938-104594734038}" showGridLines="0" topLeftCell="A97">
      <selection activeCell="B104" sqref="B104"/>
      <pageMargins left="0" right="0" top="0" bottom="0" header="0" footer="0"/>
      <pageSetup paperSize="9" orientation="portrait" horizontalDpi="90" verticalDpi="90" r:id="rId3"/>
    </customSheetView>
    <customSheetView guid="{0E935136-9A80-44B6-88D5-61E64D742049}" showGridLines="0" topLeftCell="A100">
      <selection activeCell="B104" sqref="B104"/>
      <pageMargins left="0" right="0" top="0" bottom="0" header="0" footer="0"/>
      <pageSetup paperSize="9" orientation="portrait" horizontalDpi="90" verticalDpi="90" r:id="rId4"/>
    </customSheetView>
    <customSheetView guid="{E6EFD927-84B2-4D06-BB59-59D9DF522DA2}" showGridLines="0" topLeftCell="A100">
      <selection activeCell="B104" sqref="B104"/>
      <pageMargins left="0" right="0" top="0" bottom="0" header="0" footer="0"/>
      <pageSetup paperSize="9" orientation="portrait" horizontalDpi="90" verticalDpi="90" r:id="rId5"/>
    </customSheetView>
    <customSheetView guid="{3F0A4FBA-5323-448F-A023-B3E14C54064C}" scale="60" showGridLines="0" topLeftCell="A101">
      <selection activeCell="F22" sqref="F22"/>
      <pageMargins left="0" right="0" top="0" bottom="0" header="0" footer="0"/>
      <pageSetup paperSize="9" orientation="portrait" horizontalDpi="90" verticalDpi="90" r:id="rId6"/>
    </customSheetView>
    <customSheetView guid="{D97B1299-69D0-4EE0-B673-CCF74742F96B}" topLeftCell="B12">
      <selection activeCell="E21" sqref="E21"/>
      <pageMargins left="0" right="0" top="0" bottom="0" header="0" footer="0"/>
      <pageSetup paperSize="9" orientation="portrait" horizontalDpi="90" verticalDpi="90" r:id="rId7"/>
    </customSheetView>
    <customSheetView guid="{F468A2FD-7987-4A9D-8BAE-1AACE523607F}" showGridLines="0" topLeftCell="A100">
      <selection activeCell="B105" sqref="B105"/>
      <pageMargins left="0" right="0" top="0" bottom="0" header="0" footer="0"/>
      <pageSetup paperSize="9" orientation="portrait" horizontalDpi="90" verticalDpi="90" r:id="rId8"/>
    </customSheetView>
    <customSheetView guid="{2D920366-22B2-4182-A65D-0EDBE614FB37}" showGridLines="0">
      <pageMargins left="0" right="0" top="0" bottom="0" header="0" footer="0"/>
      <pageSetup paperSize="9" orientation="portrait" horizontalDpi="90" verticalDpi="90" r:id="rId9"/>
    </customSheetView>
  </customSheetViews>
  <mergeCells count="70">
    <mergeCell ref="C94:D94"/>
    <mergeCell ref="C95:D95"/>
    <mergeCell ref="C97:D97"/>
    <mergeCell ref="C98:D98"/>
    <mergeCell ref="C99:D99"/>
    <mergeCell ref="C76:D76"/>
    <mergeCell ref="C75:D75"/>
    <mergeCell ref="B72:B74"/>
    <mergeCell ref="B76:B78"/>
    <mergeCell ref="C102:D102"/>
    <mergeCell ref="C100:D100"/>
    <mergeCell ref="C85:D85"/>
    <mergeCell ref="C79:D79"/>
    <mergeCell ref="C84:D84"/>
    <mergeCell ref="C80:D80"/>
    <mergeCell ref="C81:D81"/>
    <mergeCell ref="C83:D83"/>
    <mergeCell ref="C82:D82"/>
    <mergeCell ref="C91:D91"/>
    <mergeCell ref="B92:B99"/>
    <mergeCell ref="C93:D93"/>
    <mergeCell ref="C117:D117"/>
    <mergeCell ref="C112:D112"/>
    <mergeCell ref="C108:D108"/>
    <mergeCell ref="C107:D107"/>
    <mergeCell ref="C104:D104"/>
    <mergeCell ref="C116:D116"/>
    <mergeCell ref="C109:D109"/>
    <mergeCell ref="C106:D106"/>
    <mergeCell ref="C113:D113"/>
    <mergeCell ref="C114:D114"/>
    <mergeCell ref="C115:D115"/>
    <mergeCell ref="C30:D30"/>
    <mergeCell ref="C31:D31"/>
    <mergeCell ref="C73:D73"/>
    <mergeCell ref="C71:D71"/>
    <mergeCell ref="C48:D48"/>
    <mergeCell ref="C33:D33"/>
    <mergeCell ref="C60:D60"/>
    <mergeCell ref="C49:D49"/>
    <mergeCell ref="C72:D72"/>
    <mergeCell ref="C67:D67"/>
    <mergeCell ref="C14:D14"/>
    <mergeCell ref="C16:D16"/>
    <mergeCell ref="C24:D24"/>
    <mergeCell ref="C27:D27"/>
    <mergeCell ref="C29:D29"/>
    <mergeCell ref="C23:D23"/>
    <mergeCell ref="C19:D19"/>
    <mergeCell ref="C25:D25"/>
    <mergeCell ref="C21:D21"/>
    <mergeCell ref="C28:D28"/>
    <mergeCell ref="C18:D18"/>
    <mergeCell ref="C15:D15"/>
    <mergeCell ref="G50:H50"/>
    <mergeCell ref="G53:H53"/>
    <mergeCell ref="C103:D103"/>
    <mergeCell ref="B62:B70"/>
    <mergeCell ref="B101:B108"/>
    <mergeCell ref="C63:D63"/>
    <mergeCell ref="C65:D65"/>
    <mergeCell ref="C66:D66"/>
    <mergeCell ref="C64:D64"/>
    <mergeCell ref="C69:D69"/>
    <mergeCell ref="C68:D68"/>
    <mergeCell ref="C70:D70"/>
    <mergeCell ref="C87:D87"/>
    <mergeCell ref="C86:D86"/>
    <mergeCell ref="C90:D90"/>
    <mergeCell ref="C77:D77"/>
  </mergeCells>
  <conditionalFormatting sqref="E59">
    <cfRule type="expression" dxfId="106" priority="6">
      <formula>SUM($E50:$E$58)&lt;1</formula>
    </cfRule>
  </conditionalFormatting>
  <conditionalFormatting sqref="E89">
    <cfRule type="expression" dxfId="105" priority="2">
      <formula>ISNUMBER(E89)=TRUE</formula>
    </cfRule>
  </conditionalFormatting>
  <dataValidations count="27">
    <dataValidation type="list" showInputMessage="1" showErrorMessage="1" errorTitle="Please select from the drop down" sqref="E21" xr:uid="{C2C021BE-923B-48F7-9D24-943CDCEBE2C3}">
      <formula1>Pathway_list</formula1>
    </dataValidation>
    <dataValidation type="list" showInputMessage="1" showErrorMessage="1" sqref="E73" xr:uid="{A5A72204-A510-44AF-800A-597BE6B3FBCE}">
      <formula1>Gas</formula1>
    </dataValidation>
    <dataValidation type="list" showInputMessage="1" showErrorMessage="1" sqref="E107 E98" xr:uid="{47E8F630-2915-4562-8EEB-D6DD00832394}">
      <formula1>Credit</formula1>
    </dataValidation>
    <dataValidation type="list" showInputMessage="1" showErrorMessage="1" sqref="E29" xr:uid="{29EDCD2E-CDE7-4009-83DA-F4D2B97E5659}">
      <formula1>Location</formula1>
    </dataValidation>
    <dataValidation type="list" showInputMessage="1" showErrorMessage="1" sqref="E108 E99" xr:uid="{1332DB4B-38C5-4077-B680-C4CD34B7EADF}">
      <formula1>Offset</formula1>
    </dataValidation>
    <dataValidation type="list" showInputMessage="1" showErrorMessage="1" sqref="E27" xr:uid="{407C6F62-9C83-4BE3-8262-A31DE4EB14FE}">
      <formula1>Feedstock</formula1>
    </dataValidation>
    <dataValidation type="list" showInputMessage="1" showErrorMessage="1" sqref="E77" xr:uid="{AACC648B-3C05-4BD9-955C-EE50CA4D0797}">
      <formula1>Biomethane</formula1>
    </dataValidation>
    <dataValidation type="list" showInputMessage="1" showErrorMessage="1" sqref="E68" xr:uid="{2074AA4B-01FA-4E1A-B62C-455B68E62D18}">
      <formula1>iLUC</formula1>
    </dataValidation>
    <dataValidation type="list" showInputMessage="1" showErrorMessage="1" sqref="E87" xr:uid="{0C4B51AC-A925-4C75-89A7-FFC82CBC1902}">
      <formula1>Elec</formula1>
    </dataValidation>
    <dataValidation type="list" showInputMessage="1" showErrorMessage="1" sqref="E24" xr:uid="{2A0471D6-0A2F-407B-8D15-C2DA89520A4D}">
      <formula1>Years</formula1>
    </dataValidation>
    <dataValidation type="list" showInputMessage="1" showErrorMessage="1" sqref="E23 E90" xr:uid="{30976534-7487-4A57-AE70-B00CF6E304F1}">
      <formula1>Risk</formula1>
    </dataValidation>
    <dataValidation type="list" showInputMessage="1" showErrorMessage="1" sqref="E63:E65 E67" xr:uid="{945BDDCD-23BE-4620-B295-7DAB2421C072}">
      <formula1>Sustainability</formula1>
    </dataValidation>
    <dataValidation type="custom" allowBlank="1" showInputMessage="1" showErrorMessage="1" sqref="E81:E86 E102:E103 E69 E47 E93:E94" xr:uid="{732FE59B-30DF-4635-8032-28489FC2AD7E}">
      <formula1>ISNUMBER(E47)</formula1>
    </dataValidation>
    <dataValidation type="custom" allowBlank="1" showInputMessage="1" showErrorMessage="1" sqref="M64" xr:uid="{3DF13BD0-77FF-4577-A12F-6467FE0812F1}">
      <formula1>"password"</formula1>
    </dataValidation>
    <dataValidation type="custom" allowBlank="1" showInputMessage="1" showErrorMessage="1" error="Please do not change" sqref="E70 B76:B78 C72:D78" xr:uid="{04BCE484-44E2-483C-8C94-0D049CBB4853}">
      <formula1>"Please do not change"</formula1>
    </dataValidation>
    <dataValidation type="custom" allowBlank="1" showInputMessage="1" showErrorMessage="1" error="Please do not change this formula_x000a_" prompt="Please do not change this formula" sqref="E59" xr:uid="{970187B3-683C-4DE9-8FF7-64E65BBCCFFE}">
      <formula1>"Please do not change this formula"</formula1>
    </dataValidation>
    <dataValidation type="custom" allowBlank="1" showInputMessage="1" showErrorMessage="1" error="Please do not change_x000a_" sqref="C1:C10 F84 B121:B1048576 C12:C47 D130:D132 B1:B75 G1:G84 D1:D47 A1:A1048576 E131 D116:D129 B79:B119 C79:D115 F85:G1048576 F1:F80 C116:C1048576 D133:D1048576 C49:D62 C71:D71 C67:D70 C63:D66" xr:uid="{CAD7FD28-5DF5-422F-A175-153C50C2C127}">
      <formula1>"Please do not change"</formula1>
    </dataValidation>
    <dataValidation type="decimal" allowBlank="1" showInputMessage="1" showErrorMessage="1" sqref="E34:E41" xr:uid="{B44018ED-B095-4714-9143-B3C49C8A90D1}">
      <formula1>0</formula1>
      <formula2>10000000000</formula2>
    </dataValidation>
    <dataValidation type="decimal" allowBlank="1" showInputMessage="1" showErrorMessage="1" sqref="E44:E46 E50:E58" xr:uid="{BB3D8190-188B-4640-9CA2-5E8C51166FC6}">
      <formula1>0</formula1>
      <formula2>1</formula2>
    </dataValidation>
    <dataValidation type="list" showInputMessage="1" showErrorMessage="1" sqref="E104" xr:uid="{E51EA58B-9933-4F55-9C9E-C54E0868A780}">
      <formula1>SolidCarbon</formula1>
    </dataValidation>
    <dataValidation type="list" showInputMessage="1" showErrorMessage="1" sqref="E95" xr:uid="{F6B5CEBE-2C48-4648-82AD-F1FB0C81AE62}">
      <formula1>Capture</formula1>
    </dataValidation>
    <dataValidation type="custom" allowBlank="1" showInputMessage="1" showErrorMessage="1" errorTitle="Impermissible assumption" error="The theoretical electricity must not have a lower GHG intensity than the projected electricity mix given above in cell E40, and so must also report a non-negative intensity" sqref="E89" xr:uid="{197FC6D6-52F6-48C1-A548-2D6637E75495}">
      <formula1>E89&gt;=E43</formula1>
    </dataValidation>
    <dataValidation type="list" showInputMessage="1" showErrorMessage="1" sqref="E115" xr:uid="{D9056506-133A-4DB0-BFBA-0FC20729FC3E}">
      <formula1>InputMaterialsData</formula1>
    </dataValidation>
    <dataValidation type="list" allowBlank="1" showInputMessage="1" showErrorMessage="1" sqref="E113" xr:uid="{3ECAF090-5D7F-424A-9D00-713AB808C5BF}">
      <formula1>FeedstockSupplyData</formula1>
    </dataValidation>
    <dataValidation type="list" showInputMessage="1" showErrorMessage="1" sqref="E114" xr:uid="{4C780903-4080-4C70-AC12-2DEC300CB273}">
      <formula1>EnergySupplyData</formula1>
    </dataValidation>
    <dataValidation type="list" allowBlank="1" showInputMessage="1" showErrorMessage="1" sqref="E112" xr:uid="{AC65EB17-2C01-4DDC-ADA8-3B2C000F8F9E}">
      <formula1>AllData</formula1>
    </dataValidation>
    <dataValidation type="list" showInputMessage="1" showErrorMessage="1" sqref="E17" xr:uid="{F67A8290-78EF-4A69-83F6-081C15999B17}">
      <formula1>Project_location</formula1>
    </dataValidation>
  </dataValidations>
  <hyperlinks>
    <hyperlink ref="D135" location="Dashboard!A1" display="Dashboard worksheet" xr:uid="{9CDAE9BD-8E10-4563-B9D5-7E6D87EFB460}"/>
  </hyperlinks>
  <pageMargins left="0" right="0" top="0" bottom="0" header="0" footer="0"/>
  <pageSetup paperSize="9" orientation="portrait" horizontalDpi="90" verticalDpi="90" r:id="rId10"/>
  <headerFooter>
    <oddHeader>&amp;C&amp;"Aptos"&amp;10&amp;K000000 OFFICIAL&amp;1#_x000D_</oddHeader>
    <oddFooter>&amp;C_x000D_&amp;1#&amp;"Aptos"&amp;10&amp;K000000 OFFICIAL</oddFooter>
  </headerFooter>
  <drawing r:id="rId11"/>
  <extLst>
    <ext xmlns:x14="http://schemas.microsoft.com/office/spreadsheetml/2009/9/main" uri="{78C0D931-6437-407d-A8EE-F0AAD7539E65}">
      <x14:conditionalFormattings>
        <x14:conditionalFormatting xmlns:xm="http://schemas.microsoft.com/office/excel/2006/main">
          <x14:cfRule type="expression" priority="251" id="{27525D72-9918-47C4-8106-A7B32AF9A9B2}">
            <xm:f>OR(Path=Units!B101:B102,AND(Path=Units!B103,E27=Units!$L$89), Path=Units!B94)</xm:f>
            <x14:dxf>
              <font>
                <color theme="7" tint="-0.499984740745262"/>
              </font>
              <fill>
                <patternFill>
                  <bgColor theme="0"/>
                </patternFill>
              </fill>
              <border>
                <right style="thin">
                  <color auto="1"/>
                </right>
                <top style="thin">
                  <color auto="1"/>
                </top>
                <bottom style="thin">
                  <color auto="1"/>
                </bottom>
                <vertical/>
                <horizontal/>
              </border>
            </x14:dxf>
          </x14:cfRule>
          <xm:sqref>E131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3554ECAF-2D08-483A-A4B4-049AA02506DB}">
          <x14:formula1>
            <xm:f>IF(--OR(Path=Units!$B$97:$B$102), Sustainability, Units!$N$86)</xm:f>
          </x14:formula1>
          <xm:sqref>E111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theme="1"/>
  </sheetPr>
  <dimension ref="A1:C46"/>
  <sheetViews>
    <sheetView showGridLines="0" zoomScaleNormal="100" workbookViewId="0"/>
  </sheetViews>
  <sheetFormatPr defaultColWidth="9.140625" defaultRowHeight="14.45"/>
  <cols>
    <col min="1" max="1" width="9.140625" style="2" customWidth="1"/>
    <col min="2" max="2" width="64.85546875" style="2" customWidth="1"/>
    <col min="3" max="3" width="39.5703125" style="2" customWidth="1"/>
    <col min="4" max="16384" width="9.140625" style="2"/>
  </cols>
  <sheetData>
    <row r="1" spans="1:3">
      <c r="A1" s="296"/>
      <c r="B1" s="296"/>
      <c r="C1" s="296"/>
    </row>
    <row r="2" spans="1:3" ht="28.5">
      <c r="A2" s="296"/>
      <c r="B2" s="189" t="s">
        <v>224</v>
      </c>
      <c r="C2" s="296"/>
    </row>
    <row r="3" spans="1:3">
      <c r="A3" s="296"/>
      <c r="B3" s="190"/>
      <c r="C3" s="296"/>
    </row>
    <row r="4" spans="1:3">
      <c r="A4" s="296"/>
      <c r="B4" s="642" t="s">
        <v>225</v>
      </c>
    </row>
    <row r="5" spans="1:3">
      <c r="A5" s="296"/>
      <c r="B5" s="642" t="s">
        <v>226</v>
      </c>
    </row>
    <row r="6" spans="1:3">
      <c r="A6" s="296"/>
      <c r="B6" s="678" t="str" cm="1">
        <f t="array" aca="1" ref="B6" ca="1">HYPERLINK(CELL("address",Initial_questions!B119), "After providing the schematic, please click here to return to the Initial questions worksheet for further instructions")</f>
        <v>After providing the schematic, please click here to return to the Initial questions worksheet for further instructions</v>
      </c>
      <c r="C6" s="679"/>
    </row>
    <row r="7" spans="1:3">
      <c r="B7" s="368" t="s">
        <v>227</v>
      </c>
    </row>
    <row r="8" spans="1:3">
      <c r="B8" s="367"/>
    </row>
    <row r="9" spans="1:3">
      <c r="B9" s="367"/>
    </row>
    <row r="10" spans="1:3">
      <c r="B10" s="297" t="s">
        <v>228</v>
      </c>
    </row>
    <row r="11" spans="1:3">
      <c r="B11" s="297"/>
    </row>
    <row r="46" spans="2:2">
      <c r="B46" s="297" t="s">
        <v>229</v>
      </c>
    </row>
  </sheetData>
  <customSheetViews>
    <customSheetView guid="{F03309BC-D3FA-4CF2-833B-D6D9A95FE1FB}" showGridLines="0">
      <selection activeCell="D2" sqref="D2"/>
      <pageMargins left="0" right="0" top="0" bottom="0" header="0" footer="0"/>
      <pageSetup paperSize="9" orientation="portrait" verticalDpi="0" r:id="rId1"/>
    </customSheetView>
    <customSheetView guid="{EECBF9DF-6D77-4263-85DA-71E40216BADD}" showGridLines="0">
      <selection activeCell="D1" sqref="D1"/>
      <pageMargins left="0" right="0" top="0" bottom="0" header="0" footer="0"/>
      <pageSetup paperSize="9" orientation="portrait" verticalDpi="0" r:id="rId2"/>
    </customSheetView>
    <customSheetView guid="{1C16EB38-F785-4168-9938-104594734038}" showGridLines="0">
      <selection activeCell="D1" sqref="D1"/>
      <pageMargins left="0" right="0" top="0" bottom="0" header="0" footer="0"/>
      <pageSetup paperSize="9" orientation="portrait" verticalDpi="0" r:id="rId3"/>
    </customSheetView>
    <customSheetView guid="{0E935136-9A80-44B6-88D5-61E64D742049}" showGridLines="0">
      <selection activeCell="D1" sqref="D1"/>
      <pageMargins left="0" right="0" top="0" bottom="0" header="0" footer="0"/>
      <pageSetup paperSize="9" orientation="portrait" verticalDpi="0" r:id="rId4"/>
    </customSheetView>
    <customSheetView guid="{E6EFD927-84B2-4D06-BB59-59D9DF522DA2}" showGridLines="0">
      <selection activeCell="D1" sqref="D1"/>
      <pageMargins left="0" right="0" top="0" bottom="0" header="0" footer="0"/>
      <pageSetup paperSize="9" orientation="portrait" verticalDpi="0" r:id="rId5"/>
    </customSheetView>
    <customSheetView guid="{3F0A4FBA-5323-448F-A023-B3E14C54064C}" showGridLines="0">
      <selection activeCell="D2" sqref="D2"/>
      <pageMargins left="0" right="0" top="0" bottom="0" header="0" footer="0"/>
      <pageSetup paperSize="9" orientation="portrait" verticalDpi="0" r:id="rId6"/>
    </customSheetView>
    <customSheetView guid="{D97B1299-69D0-4EE0-B673-CCF74742F96B}">
      <selection activeCell="B6" sqref="B6:C6"/>
      <pageMargins left="0" right="0" top="0" bottom="0" header="0" footer="0"/>
      <pageSetup paperSize="9" orientation="portrait" verticalDpi="0" r:id="rId7"/>
    </customSheetView>
    <customSheetView guid="{F468A2FD-7987-4A9D-8BAE-1AACE523607F}" showGridLines="0">
      <selection activeCell="D1" sqref="D1"/>
      <pageMargins left="0" right="0" top="0" bottom="0" header="0" footer="0"/>
      <pageSetup paperSize="9" orientation="portrait" verticalDpi="0" r:id="rId8"/>
    </customSheetView>
    <customSheetView guid="{2D920366-22B2-4182-A65D-0EDBE614FB37}" showGridLines="0">
      <pageMargins left="0" right="0" top="0" bottom="0" header="0" footer="0"/>
      <pageSetup paperSize="9" orientation="portrait" verticalDpi="0" r:id="rId9"/>
    </customSheetView>
  </customSheetViews>
  <mergeCells count="1">
    <mergeCell ref="B6:C6"/>
  </mergeCells>
  <pageMargins left="0" right="0" top="0" bottom="0" header="0" footer="0"/>
  <pageSetup paperSize="9" orientation="portrait" verticalDpi="0" r:id="rId10"/>
  <headerFooter>
    <oddHeader>&amp;C&amp;"Aptos"&amp;10&amp;K000000 OFFICIAL&amp;1#_x000D_</oddHeader>
    <oddFooter>&amp;C_x000D_&amp;1#&amp;"Aptos"&amp;10&amp;K000000 OFFICIAL</oddFooter>
  </headerFooter>
  <drawing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CDD0A-93B2-41A2-8F26-2C5C7229063B}">
  <sheetPr codeName="Sheet4">
    <tabColor theme="1"/>
  </sheetPr>
  <dimension ref="A1:H41"/>
  <sheetViews>
    <sheetView showGridLines="0" zoomScaleNormal="100" workbookViewId="0"/>
  </sheetViews>
  <sheetFormatPr defaultColWidth="8.85546875" defaultRowHeight="14.45"/>
  <cols>
    <col min="1" max="1" width="5.140625" customWidth="1"/>
    <col min="2" max="2" width="93.5703125" customWidth="1"/>
    <col min="3" max="3" width="57.28515625" customWidth="1"/>
    <col min="4" max="4" width="23.42578125" customWidth="1"/>
    <col min="5" max="5" width="35.140625" customWidth="1"/>
  </cols>
  <sheetData>
    <row r="1" spans="1:8">
      <c r="A1" s="188"/>
      <c r="B1" s="188"/>
      <c r="C1" s="188"/>
      <c r="D1" s="188"/>
      <c r="E1" s="188"/>
      <c r="F1" s="188"/>
      <c r="G1" s="188"/>
      <c r="H1" s="188"/>
    </row>
    <row r="2" spans="1:8" ht="28.5">
      <c r="A2" s="188"/>
      <c r="B2" s="189" t="s">
        <v>230</v>
      </c>
      <c r="C2" s="188"/>
      <c r="D2" s="188"/>
      <c r="E2" s="188"/>
      <c r="F2" s="188"/>
      <c r="G2" s="188"/>
      <c r="H2" s="188"/>
    </row>
    <row r="3" spans="1:8">
      <c r="A3" s="188"/>
      <c r="B3" s="188"/>
      <c r="C3" s="188"/>
      <c r="D3" s="188"/>
      <c r="E3" s="188"/>
      <c r="F3" s="188"/>
      <c r="G3" s="188"/>
      <c r="H3" s="188"/>
    </row>
    <row r="4" spans="1:8" ht="15.75" customHeight="1">
      <c r="A4" s="188"/>
      <c r="B4" s="574" t="s">
        <v>231</v>
      </c>
      <c r="C4" s="433" t="str">
        <f>IF(D4="","Yes","No")</f>
        <v>No</v>
      </c>
      <c r="D4" s="366" t="str" cm="1">
        <f t="array" ref="D4">IF(
AND(Initial_questions!$E$87&lt;&gt;"Not applicable", Initial_questions!$E$89&lt;Initial_questions!$E$43), "GHG intensity of electricity used for theoretical compression/purification cannot be lower than input electricity mix",
IF(COUNTIF(Initial_questions!C14:D18,"*Not applicable*")&lt;COUNTBLANK(Initial_questions!E14:E18),"Please answer all relevant questions in the Project details section of the Initial questions worksheet",
IF(COUNTIF(Initial_questions!C21:D24,"*Not applicable*")&lt;COUNTBLANK(Initial_questions!E21:E24),"Please answer all relevant questions in the Technology section of the Initial questions worksheet",
IF(COUNTIF(Initial_questions!C27:D30,"*Not applicable*")&lt;COUNTBLANK(Initial_questions!E27:E30),"Please answer all relevant questions in the Feedstock/main input energy origins section of the Initial questions worksheet",
IF(COUNTIF(Initial_questions!C34:D48,"*Not applicable*")&lt;COUNTBLANK(Initial_questions!E34:E48),"Please answer all relevant questions in the Electricity inputs section of the Inital questions worksheet",
IF(COUNTIF(Initial_questions!C50:D59,"*Not applicable*")&lt;COUNTBLANK(Initial_questions!E50:E59),"Please answer all relevant questions in the Electricity inputs section of the Inital questions worksheet",
IF(COUNTIF(Initial_questions!C63:D70,"*Not applicable*")&lt;COUNTBLANK(Initial_questions!E63:E70),"Please answer all relevant questions in the Biomass feedstocks section of the Initial questions worksheet",
IF(COUNTIF(Initial_questions!C73:D74,"*Not applicable*")&lt;COUNTBLANK(Initial_questions!E73:E74),"Please answer all relevant questions in the Fossil natural gas section of the Initial questions worksheet",
IF(COUNTIF(Initial_questions!C77:D78,"*Not applicable*")&lt;COUNTBLANK(Initial_questions!E77:E78),"Please answer all relevant questions in the Biomethane section of the Initial questions worksheet",
IF(COUNTIF(Initial_questions!C84:D90,"*Not applicable*")&lt;COUNTBLANK(Initial_questions!E84:E90), "Please answer all relevant questions in the Hydrogen output section of the Initial questions worksheet",
IF(COUNTIF(Initial_questions!C102:D108,"*Not applicable*")&lt;COUNTBLANK(Initial_questions!E102:E108),"Please answer all relevant questions in the CO2 capture section of the Initial questions worksheet",
IF(COUNTIF(Initial_questions!C111:D117,"*Not applicable*")&lt;COUNTBLANK(Initial_questions!E111:E117),"Please answer all relevant questions in the Data sources section of the Initial questions worksheet",
IF(OR(ISBLANK(Initial_questions!E112:E115)=TRUE),"Please answer all relevant questions in the Data sources section of the Initial questions worksheet",
IF(OR(Initial_questions!E112:E115=0),"Please answer all relevant questions in the Data sources section of the Initial questions worksheet",""))))))))))))))</f>
        <v>Please answer all relevant questions in the Project details section of the Initial questions worksheet</v>
      </c>
      <c r="E4" s="188"/>
      <c r="F4" s="188"/>
      <c r="G4" s="188"/>
      <c r="H4" s="188"/>
    </row>
    <row r="5" spans="1:8" ht="15.75" customHeight="1">
      <c r="A5" s="188"/>
      <c r="B5" s="574" t="s">
        <v>232</v>
      </c>
      <c r="C5" s="531" t="str">
        <f>IF(Path="", "No pathway selected", Path)</f>
        <v>No pathway selected</v>
      </c>
      <c r="D5" s="188"/>
      <c r="E5" s="188"/>
      <c r="F5" s="188"/>
      <c r="G5" s="188"/>
      <c r="H5" s="188"/>
    </row>
    <row r="6" spans="1:8" ht="15.75" customHeight="1">
      <c r="A6" s="188"/>
      <c r="B6" s="574" t="s">
        <v>233</v>
      </c>
      <c r="C6" s="433" t="str">
        <f>IF(AND(OR(Initial_questions!E$17=Units!$Y$84,Initial_questions!E$17=Units!$Y$85), Initial_questions!E$23="Yes"), "Yes", "No")</f>
        <v>No</v>
      </c>
      <c r="D6" s="188"/>
      <c r="E6" s="188"/>
      <c r="F6" s="188"/>
      <c r="G6" s="188"/>
      <c r="H6" s="188"/>
    </row>
    <row r="7" spans="1:8" ht="15.75" customHeight="1">
      <c r="A7" s="188"/>
      <c r="B7" s="574" t="s">
        <v>234</v>
      </c>
      <c r="C7" s="434" t="str">
        <f>E29</f>
        <v>No pathway selected</v>
      </c>
      <c r="D7" s="325" t="s">
        <v>235</v>
      </c>
      <c r="E7" s="188"/>
      <c r="F7" s="188"/>
      <c r="G7" s="188"/>
      <c r="H7" s="188"/>
    </row>
    <row r="8" spans="1:8" ht="15.75" customHeight="1">
      <c r="A8" s="188"/>
      <c r="B8" s="574" t="s">
        <v>236</v>
      </c>
      <c r="C8" s="435" t="str">
        <f>Initial_questions!E47</f>
        <v>Please fill in the breakdown of electricity sources</v>
      </c>
      <c r="D8" s="188"/>
      <c r="E8" s="188"/>
      <c r="F8" s="188"/>
      <c r="G8" s="188"/>
      <c r="H8" s="188"/>
    </row>
    <row r="9" spans="1:8" ht="15.75" customHeight="1">
      <c r="A9" s="188"/>
      <c r="B9" s="574" t="s">
        <v>237</v>
      </c>
      <c r="C9" s="595" t="str">
        <f>IFERROR(SUM(Initial_questions!E34*100%+Initial_questions!E35*0%+Initial_questions!E36*Initial_questions!E44+Initial_questions!E37*Initial_questions!E45+Initial_questions!E38*Initial_questions!E46),"Please fill in electricity inputs")</f>
        <v>Please fill in electricity inputs</v>
      </c>
      <c r="D9" s="188" t="s">
        <v>238</v>
      </c>
      <c r="E9" s="188"/>
      <c r="F9" s="188"/>
      <c r="G9" s="188"/>
      <c r="H9" s="188"/>
    </row>
    <row r="10" spans="1:8" ht="15.75" customHeight="1">
      <c r="A10" s="188"/>
      <c r="B10" s="574" t="s">
        <v>239</v>
      </c>
      <c r="C10" s="435" t="str">
        <f>IF(OR(Initial_questions!E93 = "Not applicable",ISBLANK(Initial_questions!E93)), "Not applicable",Initial_questions!E93)</f>
        <v>Not applicable</v>
      </c>
      <c r="D10" s="188"/>
      <c r="E10" s="188"/>
      <c r="F10" s="188"/>
      <c r="G10" s="188"/>
      <c r="H10" s="188"/>
    </row>
    <row r="11" spans="1:8" ht="15.75" customHeight="1">
      <c r="A11" s="188"/>
      <c r="B11" s="574" t="s">
        <v>240</v>
      </c>
      <c r="C11" s="433" t="str" cm="1">
        <f t="array" ref="C11">IF(AND(OR(Initial_questions!E63="Yes",Initial_questions!E64="Yes",Initial_questions!E65="Yes"),(Initial_questions!E63:E65 &lt;&gt;"No")),"Yes",IF(OR(Initial_questions!E63:E65 = "No"),"No",IF(OR(Initial_questions!E63:E65 = "Not applicable",ISBLANK(Initial_questions!E63:E65)), "Not applicable","No")))</f>
        <v>Not applicable</v>
      </c>
      <c r="D11" s="188"/>
      <c r="E11" s="188"/>
      <c r="F11" s="188"/>
      <c r="G11" s="188"/>
      <c r="H11" s="188"/>
    </row>
    <row r="12" spans="1:8" ht="15.75" customHeight="1">
      <c r="A12" s="188"/>
      <c r="B12" s="574" t="s">
        <v>241</v>
      </c>
      <c r="C12" s="433" t="str">
        <f>IF(ISBLANK(Initial_questions!$E$67), "Not applicable",Initial_questions!$E$67)</f>
        <v>Not applicable</v>
      </c>
      <c r="D12" s="188"/>
      <c r="E12" s="188"/>
      <c r="F12" s="188"/>
      <c r="G12" s="188"/>
      <c r="H12" s="188"/>
    </row>
    <row r="13" spans="1:8" ht="15.75" customHeight="1">
      <c r="A13" s="188"/>
      <c r="B13" s="574" t="s">
        <v>242</v>
      </c>
      <c r="C13" s="436" t="str">
        <f>IF(OR(Initial_questions!E68="Not applicable", ISBLANK(Initial_questions!E68)),"Not applicable",Initial_questions!E70)</f>
        <v>Not applicable</v>
      </c>
      <c r="D13" s="325" t="s">
        <v>235</v>
      </c>
      <c r="E13" s="188"/>
      <c r="F13" s="188"/>
      <c r="G13" s="188"/>
      <c r="H13" s="188"/>
    </row>
    <row r="14" spans="1:8" ht="15.75" customHeight="1">
      <c r="A14" s="188"/>
      <c r="B14" s="574" t="s">
        <v>243</v>
      </c>
      <c r="C14" s="436" t="str">
        <f>IF(OR(Initial_questions!E104=Units!$J$84,Initial_questions!E104=Units!$J$86),"Yes",IF(ISBLANK(Initial_questions!E104),"Not applicable",IF(Initial_questions!E104="Not applicable", "Not applicable","No")))</f>
        <v>Not applicable</v>
      </c>
      <c r="D14" s="605"/>
      <c r="E14" s="188"/>
      <c r="F14" s="188"/>
      <c r="G14" s="188"/>
      <c r="H14" s="188"/>
    </row>
    <row r="15" spans="1:8" ht="15.75" customHeight="1">
      <c r="A15" s="188"/>
      <c r="B15" s="188" t="s">
        <v>244</v>
      </c>
      <c r="C15" s="433" t="str">
        <f>IF(ISBLANK(Initial_questions!E90), "No",Initial_questions!E90)</f>
        <v>No</v>
      </c>
      <c r="D15" s="188"/>
      <c r="E15" s="188"/>
      <c r="F15" s="188"/>
      <c r="G15" s="188"/>
      <c r="H15" s="188"/>
    </row>
    <row r="16" spans="1:8" ht="15.75" customHeight="1">
      <c r="A16" s="188"/>
      <c r="B16" s="188"/>
      <c r="C16" s="188"/>
      <c r="D16" s="188"/>
      <c r="E16" s="188"/>
      <c r="F16" s="188"/>
      <c r="G16" s="188"/>
      <c r="H16" s="188"/>
    </row>
    <row r="17" spans="1:8" ht="15.75" customHeight="1">
      <c r="A17" s="188"/>
      <c r="B17" s="188" t="s">
        <v>245</v>
      </c>
      <c r="C17" s="437" t="str">
        <f>IF(ISNUMBER(SEARCH("(TBC)", Path)), "Pathway not yet included under LCHS", IF(AND($C$5&lt;&gt;"No pathway selected",$C$7&lt;20,OR($C$11="Not applicable",$C$11="Yes"),$C$15="Yes", $C$6="Yes", OR($C$12="Not applicable", $C$12="Yes"),OR($C$14="Not applicable", $C$14="Yes"),$C$4="Yes"),"Yes","No"))</f>
        <v>No</v>
      </c>
      <c r="D17" s="567" t="str">
        <f>IF(ISNUMBER(SEARCH("(TBC)", Path)), "Please contact DESNZ for further guidance","")</f>
        <v/>
      </c>
      <c r="E17" s="188"/>
      <c r="F17" s="188"/>
      <c r="G17" s="188"/>
      <c r="H17" s="188"/>
    </row>
    <row r="18" spans="1:8">
      <c r="A18" s="188"/>
      <c r="B18" s="188"/>
      <c r="C18" s="188"/>
      <c r="D18" s="188"/>
      <c r="E18" s="188"/>
      <c r="F18" s="188"/>
      <c r="G18" s="188"/>
      <c r="H18" s="188"/>
    </row>
    <row r="19" spans="1:8">
      <c r="A19" s="188"/>
      <c r="B19" s="188"/>
      <c r="C19" s="188"/>
      <c r="D19" s="188"/>
      <c r="E19" s="188"/>
      <c r="F19" s="188"/>
      <c r="G19" s="188"/>
      <c r="H19" s="188"/>
    </row>
    <row r="20" spans="1:8">
      <c r="A20" s="188"/>
      <c r="C20" s="188"/>
      <c r="D20" s="188"/>
      <c r="E20" s="188"/>
      <c r="F20" s="188"/>
      <c r="G20" s="188"/>
      <c r="H20" s="188"/>
    </row>
    <row r="21" spans="1:8" ht="28.5">
      <c r="A21" s="188"/>
      <c r="B21" s="189" t="s">
        <v>246</v>
      </c>
      <c r="C21" s="188"/>
      <c r="D21" s="188"/>
      <c r="E21" s="188"/>
      <c r="F21" s="188"/>
      <c r="G21" s="188"/>
      <c r="H21" s="188"/>
    </row>
    <row r="22" spans="1:8" ht="30.95">
      <c r="A22" s="188"/>
      <c r="B22" s="323" t="s">
        <v>247</v>
      </c>
      <c r="C22" s="28" t="s">
        <v>248</v>
      </c>
      <c r="D22" s="328" t="s">
        <v>249</v>
      </c>
      <c r="E22" s="329" t="s">
        <v>250</v>
      </c>
      <c r="F22" s="188"/>
      <c r="G22" s="188"/>
      <c r="H22" s="188"/>
    </row>
    <row r="23" spans="1:8">
      <c r="A23" s="188"/>
      <c r="B23" s="324" t="str" cm="1">
        <f t="array" ref="B23">IF(Path=Units!$B$84,"Hydrogen from Wind/solar electricity",
IF(Path=Units!$B$85,"Hydrogen from Nuclear electricity",
IF(Path=Units!$B$86,"Hydrogen from Grid average electricity",
IF(Path=Units!$B$87,"Hydrogen from Stored electricity",
IF(Path=Units!$B$88,"Hydrogen from Other electricity source - please specify",
IF(Path=Units!$B$89,"Hydrogen from Wind/solar electricity",
IF(OR(Path=Units!$B$101:$B$102), "Hydrogen from the Biogenic fraction of mixed waste",
IF(Path=Units!$B$106, "No pathway selected", "Hydrogen from "&amp;Initial_questions!$E$27))))))))</f>
        <v>No pathway selected</v>
      </c>
      <c r="C23" s="327" t="s">
        <v>251</v>
      </c>
      <c r="D23" s="578" cm="1">
        <f t="array" ref="D23">IF(Path=Units!$B$89, IFERROR(Initial_questions!E34/SUM(Initial_questions!$E$34:$E$38), "Yet to complete"), IF(OR(Path=Units!$B$101:$B$102), Waste_Gasification_CCS!$E$106, IF(Path=Units!$B$94, "User to input", 100%)))</f>
        <v>1</v>
      </c>
      <c r="E23" s="546" t="str" cm="1">
        <f t="array" ref="E23">IF(Path=Units!B84,GHG_ELECTROLYSIS!M15,
IF(Path=Units!B85,GHG_ELECTROLYSIS!M32,
IF(Path=Units!B86,GHG_ELECTROLYSIS!M49,
IF(Path=Units!B87,GHG_ELECTROLYSIS!M66,
IF(Path=Units!B88,GHG_ELECTROLYSIS!M83,
IF(AND(Path=Units!B89,D23&gt;0%),GHG_ELECTROLYSIS!M15,
IF(AND(Path=Units!B89,D23=0%),"Input electricity source not chosen",
IF(OR(Path=Units!B90:B92),GHG_NG_REFORM_CCS!M16,
IF(OR(Path=Units!B94),GHG_ROG_REFORM_CCS!M18,
IF(Path=Units!B93,GHG_NG_SPLITTING!M18,
IF(OR(Path=Units!B95:B98),GHG_BIOMETHANE_REFORM!M18,
IF(OR(Path=Units!B99:B100),GHG_BIOMASS_GASIFICATION!M18,
IF(OR(Path=Units!B101:B102),GHG_WASTE_GASIFICATION!M18,
IF(Path=Units!B103,GHG_GENERIC_OTHER!M21,"No pathway selected"))))))))))))))</f>
        <v>No pathway selected</v>
      </c>
      <c r="F23" s="188"/>
      <c r="G23" s="188"/>
      <c r="H23" s="188"/>
    </row>
    <row r="24" spans="1:8">
      <c r="A24" s="188"/>
      <c r="B24" s="324" t="str" cm="1">
        <f t="array" ref="B24">IF(Path=Units!$B$89,"Hydrogen from Nuclear electricity", IF(OR(Path=Units!$B$101:$B$102), "Hydrogen from the Fossil fraction of mixed waste", IF(Path=Units!$B$94,"Hydrogen from Natural gas","Enter feedstock consignment 2 (if required)")))</f>
        <v>Enter feedstock consignment 2 (if required)</v>
      </c>
      <c r="C24" s="327" t="str" cm="1">
        <f t="array" ref="C24">IF(OR(Path=Units!$B$89, Path=Units!$B$101:$B$102),Units!$Y$84,IF(Path=Units!$B$94,Units!$Y$85,Units!$Y$86))</f>
        <v>Not required</v>
      </c>
      <c r="D24" s="578" cm="1">
        <f t="array" ref="D24">IF(Path=Units!$B$89, IFERROR(Initial_questions!E35/SUM(Initial_questions!$E$34:$E$38), "Yet to complete"), IF(OR(Path=Units!$B$101:$B$102), Waste_Gasification_CCS!$E$107, IF(Path=Units!$B$94, "User to input", 0%)))</f>
        <v>0</v>
      </c>
      <c r="E24" s="375" t="str" cm="1">
        <f t="array" ref="E24">IF(AND(Path=Units!B89,D24&gt;0%),GHG_ELECTROLYSIS!M32, IF(AND(Path=Units!B89,D24=0%),"Input electricity source not chosen",IF(OR(Path=Units!B101:B102),GHG_WASTE_GASIFICATION!M40, IF(C24=Units!$Y$85, "Enter result from other workbook", ""))))</f>
        <v/>
      </c>
      <c r="F24" s="188"/>
      <c r="G24" s="188"/>
      <c r="H24" s="188"/>
    </row>
    <row r="25" spans="1:8">
      <c r="A25" s="188"/>
      <c r="B25" s="324" t="str">
        <f>IF(Path=Units!$B$89,"Hydrogen from Grid average electricity",  "Enter feedstock consignment 3 (if required)")</f>
        <v>Enter feedstock consignment 3 (if required)</v>
      </c>
      <c r="C25" s="327" t="str">
        <f>IF(Path=Units!$B$89,Units!$Y$84,Units!$Y$86)</f>
        <v>Not required</v>
      </c>
      <c r="D25" s="326">
        <f>IF(Path=Units!$B$89, IFERROR(Initial_questions!E36/SUM(Initial_questions!$E$34:$E$38), "Yet to complete"), 0%)</f>
        <v>0</v>
      </c>
      <c r="E25" s="375" t="str">
        <f>IF(AND(Path=Units!B89,D25&gt;0%),GHG_ELECTROLYSIS!M49,  IF(AND(Path=Units!B89,D25=0%),"Input electricity source not chosen", IF(C25=Units!$Y$85, "Enter result from other workbook", "")))</f>
        <v/>
      </c>
      <c r="F25" s="188"/>
      <c r="G25" s="188"/>
      <c r="H25" s="188"/>
    </row>
    <row r="26" spans="1:8">
      <c r="A26" s="188"/>
      <c r="B26" s="324" t="str">
        <f>IF(Path=Units!$B$89,"Hydrogen from Stored electricity source - please specify",  "Enter feedstock consignment 4 (if required)")</f>
        <v>Enter feedstock consignment 4 (if required)</v>
      </c>
      <c r="C26" s="327" t="str">
        <f>IF(Path=Units!$B$89,Units!$Y$84,Units!$Y$86)</f>
        <v>Not required</v>
      </c>
      <c r="D26" s="326">
        <f>IF(Path=Units!$B$89, IFERROR(Initial_questions!E37/SUM(Initial_questions!$E$34:$E$38), "Yet to complete"), 0%)</f>
        <v>0</v>
      </c>
      <c r="E26" s="375" t="str">
        <f>IF(AND(Path=Units!B89,D26&gt;0%),GHG_ELECTROLYSIS!M66,  IF(AND(Path=Units!B89,D26=0%),"Input electricity source not chosen", IF(C26=Units!$Y$85, "Enter result from other workbook", "")))</f>
        <v/>
      </c>
      <c r="F26" s="188"/>
      <c r="G26" s="188"/>
      <c r="H26" s="188"/>
    </row>
    <row r="27" spans="1:8">
      <c r="A27" s="188"/>
      <c r="B27" s="324" t="str">
        <f>IF(Path=Units!$B$89,"Hydrogen from Other electricity source - please specify",  "Enter feedstock consignment 5 (if required)")</f>
        <v>Enter feedstock consignment 5 (if required)</v>
      </c>
      <c r="C27" s="327" t="str">
        <f>IF(Path=Units!$B$89,Units!$Y$84,Units!$Y$86)</f>
        <v>Not required</v>
      </c>
      <c r="D27" s="326">
        <f>IF(Path=Units!$B$89, IFERROR(Initial_questions!E38/SUM(Initial_questions!$E$34:$E$38), "Yet to complete"), 0%)</f>
        <v>0</v>
      </c>
      <c r="E27" s="375" t="str">
        <f>IF(AND(Path=Units!B89,D27&gt;0%),GHG_ELECTROLYSIS!M83,IF(AND(Path=Units!B89,D27=0%),"Input electricity source not chosen",IF(C27=Units!$Y$85,"Enter result from other workbook","")))</f>
        <v/>
      </c>
      <c r="F27" s="188"/>
      <c r="G27" s="188"/>
      <c r="H27" s="188"/>
    </row>
    <row r="28" spans="1:8">
      <c r="B28" s="324" t="s">
        <v>252</v>
      </c>
      <c r="C28" s="327" t="s">
        <v>253</v>
      </c>
      <c r="D28" s="326"/>
      <c r="E28" s="375"/>
      <c r="G28" s="188"/>
      <c r="H28" s="188"/>
    </row>
    <row r="29" spans="1:8">
      <c r="A29" s="188"/>
      <c r="B29" s="323" t="s">
        <v>254</v>
      </c>
      <c r="C29" s="351"/>
      <c r="D29" s="352"/>
      <c r="E29" s="415" t="str">
        <f>IF(ISBLANK(Path),"No pathway selected",IF(SUM(D23:D28)&lt;&gt;100%, "% sum is not 100%", SUMPRODUCT(D23:D28,E23:E28)))</f>
        <v>No pathway selected</v>
      </c>
      <c r="F29" s="188"/>
      <c r="G29" s="188"/>
      <c r="H29" s="188"/>
    </row>
    <row r="30" spans="1:8">
      <c r="A30" s="188"/>
      <c r="B30" s="188"/>
      <c r="C30" s="188"/>
      <c r="D30" s="188"/>
      <c r="E30" s="188"/>
      <c r="F30" s="188"/>
      <c r="G30" s="188"/>
      <c r="H30" s="188"/>
    </row>
    <row r="31" spans="1:8">
      <c r="A31" s="188"/>
      <c r="B31" s="188"/>
      <c r="C31" s="188"/>
      <c r="D31" s="188"/>
      <c r="E31" s="188"/>
      <c r="F31" s="188"/>
      <c r="G31" s="188"/>
      <c r="H31" s="188"/>
    </row>
    <row r="32" spans="1:8">
      <c r="A32" s="188"/>
      <c r="B32" s="188"/>
      <c r="C32" s="188"/>
      <c r="D32" s="188"/>
      <c r="E32" s="188"/>
      <c r="F32" s="188"/>
      <c r="G32" s="188"/>
      <c r="H32" s="188"/>
    </row>
    <row r="33" spans="1:8">
      <c r="A33" s="188"/>
      <c r="B33" s="188"/>
      <c r="C33" s="188"/>
      <c r="D33" s="188"/>
      <c r="E33" s="188"/>
      <c r="F33" s="188"/>
      <c r="G33" s="188"/>
      <c r="H33" s="188"/>
    </row>
    <row r="34" spans="1:8">
      <c r="A34" s="188"/>
      <c r="B34" s="188"/>
      <c r="C34" s="188"/>
      <c r="D34" s="188"/>
      <c r="E34" s="188"/>
      <c r="F34" s="188"/>
      <c r="G34" s="188"/>
      <c r="H34" s="188"/>
    </row>
    <row r="35" spans="1:8">
      <c r="A35" s="188"/>
      <c r="B35" s="188"/>
      <c r="C35" s="188"/>
      <c r="D35" s="188"/>
      <c r="E35" s="188"/>
      <c r="F35" s="188"/>
      <c r="G35" s="188"/>
      <c r="H35" s="188"/>
    </row>
    <row r="36" spans="1:8">
      <c r="A36" s="188"/>
      <c r="B36" s="188"/>
      <c r="C36" s="188"/>
      <c r="D36" s="188"/>
      <c r="E36" s="188"/>
      <c r="F36" s="188"/>
      <c r="G36" s="188"/>
      <c r="H36" s="188"/>
    </row>
    <row r="37" spans="1:8">
      <c r="A37" s="188"/>
      <c r="B37" s="188"/>
      <c r="C37" s="188"/>
      <c r="D37" s="188"/>
      <c r="E37" s="188"/>
      <c r="F37" s="188"/>
      <c r="G37" s="188"/>
      <c r="H37" s="188"/>
    </row>
    <row r="38" spans="1:8">
      <c r="A38" s="188"/>
      <c r="B38" s="188"/>
      <c r="C38" s="188"/>
      <c r="D38" s="188"/>
      <c r="E38" s="188"/>
      <c r="F38" s="188"/>
      <c r="G38" s="188"/>
      <c r="H38" s="188"/>
    </row>
    <row r="39" spans="1:8">
      <c r="A39" s="188"/>
      <c r="B39" s="188"/>
      <c r="C39" s="188"/>
      <c r="D39" s="188"/>
      <c r="E39" s="188"/>
      <c r="F39" s="188"/>
      <c r="G39" s="188"/>
      <c r="H39" s="188"/>
    </row>
    <row r="40" spans="1:8">
      <c r="A40" s="188"/>
      <c r="B40" s="188"/>
      <c r="C40" s="188"/>
      <c r="D40" s="188"/>
      <c r="E40" s="188"/>
      <c r="F40" s="188"/>
      <c r="G40" s="188"/>
      <c r="H40" s="188"/>
    </row>
    <row r="41" spans="1:8">
      <c r="A41" s="188"/>
      <c r="B41" s="188"/>
      <c r="C41" s="188"/>
      <c r="D41" s="188"/>
      <c r="E41" s="188"/>
      <c r="F41" s="188"/>
      <c r="G41" s="188"/>
      <c r="H41" s="188"/>
    </row>
  </sheetData>
  <customSheetViews>
    <customSheetView guid="{F03309BC-D3FA-4CF2-833B-D6D9A95FE1FB}" showGridLines="0">
      <selection activeCell="D2" sqref="D2"/>
      <pageMargins left="0" right="0" top="0" bottom="0" header="0" footer="0"/>
      <pageSetup paperSize="9" orientation="portrait" horizontalDpi="90" verticalDpi="90" r:id="rId1"/>
    </customSheetView>
    <customSheetView guid="{EECBF9DF-6D77-4263-85DA-71E40216BADD}" showGridLines="0">
      <selection activeCell="D1" sqref="D1"/>
      <pageMargins left="0" right="0" top="0" bottom="0" header="0" footer="0"/>
      <pageSetup paperSize="9" orientation="portrait" horizontalDpi="90" verticalDpi="90" r:id="rId2"/>
    </customSheetView>
    <customSheetView guid="{1C16EB38-F785-4168-9938-104594734038}" showGridLines="0">
      <selection activeCell="D1" sqref="D1"/>
      <pageMargins left="0" right="0" top="0" bottom="0" header="0" footer="0"/>
      <pageSetup paperSize="9" orientation="portrait" horizontalDpi="90" verticalDpi="90" r:id="rId3"/>
    </customSheetView>
    <customSheetView guid="{0E935136-9A80-44B6-88D5-61E64D742049}" showGridLines="0">
      <selection activeCell="D1" sqref="D1"/>
      <pageMargins left="0" right="0" top="0" bottom="0" header="0" footer="0"/>
      <pageSetup paperSize="9" orientation="portrait" horizontalDpi="90" verticalDpi="90" r:id="rId4"/>
    </customSheetView>
    <customSheetView guid="{E6EFD927-84B2-4D06-BB59-59D9DF522DA2}" showGridLines="0">
      <selection activeCell="D1" sqref="D1"/>
      <pageMargins left="0" right="0" top="0" bottom="0" header="0" footer="0"/>
      <pageSetup paperSize="9" orientation="portrait" horizontalDpi="90" verticalDpi="90" r:id="rId5"/>
    </customSheetView>
    <customSheetView guid="{3F0A4FBA-5323-448F-A023-B3E14C54064C}" showGridLines="0">
      <selection activeCell="D2" sqref="D2"/>
      <pageMargins left="0" right="0" top="0" bottom="0" header="0" footer="0"/>
      <pageSetup paperSize="9" orientation="portrait" horizontalDpi="90" verticalDpi="90" r:id="rId6"/>
    </customSheetView>
    <customSheetView guid="{D97B1299-69D0-4EE0-B673-CCF74742F96B}">
      <selection activeCell="D2" sqref="D2"/>
      <pageMargins left="0" right="0" top="0" bottom="0" header="0" footer="0"/>
      <pageSetup paperSize="9" orientation="portrait" horizontalDpi="90" verticalDpi="90" r:id="rId7"/>
    </customSheetView>
    <customSheetView guid="{F468A2FD-7987-4A9D-8BAE-1AACE523607F}" showGridLines="0">
      <selection activeCell="D1" sqref="D1"/>
      <pageMargins left="0" right="0" top="0" bottom="0" header="0" footer="0"/>
      <pageSetup paperSize="9" orientation="portrait" horizontalDpi="90" verticalDpi="90" r:id="rId8"/>
    </customSheetView>
    <customSheetView guid="{2D920366-22B2-4182-A65D-0EDBE614FB37}" showGridLines="0">
      <pageMargins left="0" right="0" top="0" bottom="0" header="0" footer="0"/>
      <pageSetup paperSize="9" orientation="portrait" horizontalDpi="90" verticalDpi="90" r:id="rId9"/>
    </customSheetView>
  </customSheetViews>
  <phoneticPr fontId="89" type="noConversion"/>
  <dataValidations count="4">
    <dataValidation type="list" allowBlank="1" showInputMessage="1" showErrorMessage="1" sqref="C23:C28" xr:uid="{2460ED2E-F8A5-4555-AC0F-D7E5B2793D29}">
      <formula1>Within_workbook</formula1>
    </dataValidation>
    <dataValidation type="custom" allowBlank="1" showInputMessage="1" showErrorMessage="1" error="Please do not change" sqref="C16 B4:B7 B15:B17 B10:B12 B13:B14" xr:uid="{22F2D300-634E-4708-BA92-0D92B4605FF2}">
      <formula1>"Please do not change"</formula1>
    </dataValidation>
    <dataValidation type="custom" allowBlank="1" showInputMessage="1" showErrorMessage="1" error="Please do not change this formula" prompt="Please do not change this formula" sqref="C10 C13:C14 C15 C11 C7:C8 C4 C5:C6" xr:uid="{41098B2A-E04B-4980-978D-9986F4EB26FC}">
      <formula1>"Please do not change this formula"</formula1>
    </dataValidation>
    <dataValidation type="custom" allowBlank="1" showInputMessage="1" showErrorMessage="1" error="Please do not change" prompt="Please do not change" sqref="D13:D14 D7" xr:uid="{48B26D5E-0C6E-4339-A8A5-F40EF69C8D17}">
      <formula1>"Please do not change"</formula1>
    </dataValidation>
  </dataValidations>
  <pageMargins left="0" right="0" top="0" bottom="0" header="0" footer="0"/>
  <pageSetup paperSize="9" orientation="portrait" horizontalDpi="90" verticalDpi="90" r:id="rId10"/>
  <headerFooter>
    <oddHeader>&amp;C&amp;"Aptos"&amp;10&amp;K000000 OFFICIAL&amp;1#_x000D_</oddHeader>
    <oddFooter>&amp;C_x000D_&amp;1#&amp;"Aptos"&amp;10&amp;K000000 OFFICIAL</oddFooter>
  </headerFooter>
  <drawing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e035a4e-85e7-44bb-9ff7-ddaad750804e">
      <UserInfo>
        <DisplayName>E4Tech-Document Co-Authoring Centre Visitors</DisplayName>
        <AccountId>4</AccountId>
        <AccountType/>
      </UserInfo>
      <UserInfo>
        <DisplayName>E4tech consulting</DisplayName>
        <AccountId>69</AccountId>
        <AccountType/>
      </UserInfo>
    </SharedWithUsers>
    <TaxCatchAll xmlns="7e035a4e-85e7-44bb-9ff7-ddaad750804e">
      <Value>1</Value>
    </TaxCatchAll>
    <lcf76f155ced4ddcb4097134ff3c332f xmlns="8276ee07-bd0a-41c9-ad8c-261cf408d650">
      <Terms xmlns="http://schemas.microsoft.com/office/infopath/2007/PartnerControls"/>
    </lcf76f155ced4ddcb4097134ff3c332f>
    <Government_x0020_Body xmlns="b413c3fd-5a3b-4239-b985-69032e371c04">BEIS</Government_x0020_Body>
    <Date_x0020_Opened xmlns="b413c3fd-5a3b-4239-b985-69032e371c04">2025-11-12T14:56:43+00:00</Date_x0020_Opened>
    <LegacyData xmlns="aaacb922-5235-4a66-b188-303b9b46fbd7" xsi:nil="true"/>
    <Descriptor xmlns="0063f72e-ace3-48fb-9c1f-5b513408b31f" xsi:nil="true"/>
    <Security_x0020_Classification xmlns="0063f72e-ace3-48fb-9c1f-5b513408b31f">OFFICIAL</Security_x0020_Classification>
    <m975189f4ba442ecbf67d4147307b177 xmlns="7e035a4e-85e7-44bb-9ff7-ddaad750804e">
      <Terms xmlns="http://schemas.microsoft.com/office/infopath/2007/PartnerControls">
        <TermInfo xmlns="http://schemas.microsoft.com/office/infopath/2007/PartnerControls">
          <TermName xmlns="http://schemas.microsoft.com/office/infopath/2007/PartnerControls">BEIS:Energy, Transformation and Clean Growth:Industrial Energy</TermName>
          <TermId xmlns="http://schemas.microsoft.com/office/infopath/2007/PartnerControls">196d2126-cc91-40b4-bd0b-d2f757bf15bb</TermId>
        </TermInfo>
      </Terms>
    </m975189f4ba442ecbf67d4147307b177>
    <Retention_x0020_Label xmlns="a8f60570-4bd3-4f2b-950b-a996de8ab151" xsi:nil="true"/>
    <Date_x0020_Closed xmlns="b413c3fd-5a3b-4239-b985-69032e371c04" xsi:nil="true"/>
    <_dlc_DocId xmlns="7e035a4e-85e7-44bb-9ff7-ddaad750804e">QW5YDJAYTMJW-1604619768-50042</_dlc_DocId>
    <_dlc_DocIdUrl xmlns="7e035a4e-85e7-44bb-9ff7-ddaad750804e">
      <Url>https://beisgov.sharepoint.com/sites/NZHF/_layouts/15/DocIdRedir.aspx?ID=QW5YDJAYTMJW-1604619768-50042</Url>
      <Description>QW5YDJAYTMJW-1604619768-50042</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ADFD9C52B52A5458F7296E774CFEA32" ma:contentTypeVersion="26" ma:contentTypeDescription="Create a new document." ma:contentTypeScope="" ma:versionID="c18541be57ae2e92e77e6f1df38225c6">
  <xsd:schema xmlns:xsd="http://www.w3.org/2001/XMLSchema" xmlns:xs="http://www.w3.org/2001/XMLSchema" xmlns:p="http://schemas.microsoft.com/office/2006/metadata/properties" xmlns:ns2="7e035a4e-85e7-44bb-9ff7-ddaad750804e" xmlns:ns3="0063f72e-ace3-48fb-9c1f-5b513408b31f" xmlns:ns4="b413c3fd-5a3b-4239-b985-69032e371c04" xmlns:ns5="a8f60570-4bd3-4f2b-950b-a996de8ab151" xmlns:ns6="aaacb922-5235-4a66-b188-303b9b46fbd7" xmlns:ns7="8276ee07-bd0a-41c9-ad8c-261cf408d650" targetNamespace="http://schemas.microsoft.com/office/2006/metadata/properties" ma:root="true" ma:fieldsID="b318fc5d945496930a9baaea8031cfd1" ns2:_="" ns3:_="" ns4:_="" ns5:_="" ns6:_="" ns7:_="">
    <xsd:import namespace="7e035a4e-85e7-44bb-9ff7-ddaad750804e"/>
    <xsd:import namespace="0063f72e-ace3-48fb-9c1f-5b513408b31f"/>
    <xsd:import namespace="b413c3fd-5a3b-4239-b985-69032e371c04"/>
    <xsd:import namespace="a8f60570-4bd3-4f2b-950b-a996de8ab151"/>
    <xsd:import namespace="aaacb922-5235-4a66-b188-303b9b46fbd7"/>
    <xsd:import namespace="8276ee07-bd0a-41c9-ad8c-261cf408d650"/>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ServiceAutoKeyPoints" minOccurs="0"/>
                <xsd:element ref="ns7:MediaServiceKeyPoints" minOccurs="0"/>
                <xsd:element ref="ns2:SharedWithUsers" minOccurs="0"/>
                <xsd:element ref="ns2:SharedWithDetails" minOccurs="0"/>
                <xsd:element ref="ns7:MediaServiceDateTaken" minOccurs="0"/>
                <xsd:element ref="ns7:MediaServiceAutoTags" minOccurs="0"/>
                <xsd:element ref="ns7:MediaServiceOCR" minOccurs="0"/>
                <xsd:element ref="ns7:MediaServiceGenerationTime" minOccurs="0"/>
                <xsd:element ref="ns7:MediaServiceEventHashCode" minOccurs="0"/>
                <xsd:element ref="ns7:MediaLengthInSeconds" minOccurs="0"/>
                <xsd:element ref="ns7:lcf76f155ced4ddcb4097134ff3c332f" minOccurs="0"/>
                <xsd:element ref="ns7:MediaServiceObjectDetectorVersions" minOccurs="0"/>
                <xsd:element ref="ns7:MediaServiceSearchProperties" minOccurs="0"/>
                <xsd:element ref="ns7: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035a4e-85e7-44bb-9ff7-ddaad750804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BEIS:Energy, Transformation and Clean Growth:Industrial Energy|196d2126-cc91-40b4-bd0b-d2f757bf15bb"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e790f860-9c94-4012-82b7-d88fa51b03a6}" ma:internalName="TaxCatchAll" ma:showField="CatchAllData" ma:web="7e035a4e-85e7-44bb-9ff7-ddaad750804e">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e790f860-9c94-4012-82b7-d88fa51b03a6}" ma:internalName="TaxCatchAllLabel" ma:readOnly="true" ma:showField="CatchAllDataLabel" ma:web="7e035a4e-85e7-44bb-9ff7-ddaad750804e">
      <xsd:complexType>
        <xsd:complexContent>
          <xsd:extension base="dms:MultiChoiceLookup">
            <xsd:sequence>
              <xsd:element name="Value" type="dms:Lookup" maxOccurs="unbounded" minOccurs="0" nillable="true"/>
            </xsd:sequence>
          </xsd:extension>
        </xsd:complexContent>
      </xsd:complexType>
    </xsd:element>
    <xsd:element name="SharedWithUsers" ma:index="2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76ee07-bd0a-41c9-ad8c-261cf408d650"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8" nillable="true" ma:displayName="MediaServiceDateTaken" ma:hidden="true" ma:internalName="MediaServiceDateTaken" ma:readOnly="true">
      <xsd:simpleType>
        <xsd:restriction base="dms:Text"/>
      </xsd:simpleType>
    </xsd:element>
    <xsd:element name="MediaServiceAutoTags" ma:index="29" nillable="true" ma:displayName="Tags" ma:internalName="MediaServiceAutoTags"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LengthInSeconds" ma:index="33" nillable="true" ma:displayName="MediaLengthInSeconds" ma:hidden="true" ma:internalName="MediaLengthInSeconds" ma:readOnly="true">
      <xsd:simpleType>
        <xsd:restriction base="dms:Unknown"/>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6" nillable="true" ma:displayName="MediaServiceObjectDetectorVersions" ma:hidden="true" ma:indexed="true" ma:internalName="MediaServiceObjectDetectorVersions" ma:readOnly="true">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element name="MediaServiceBillingMetadata" ma:index="3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E7ECBB3-2596-4F0C-A0D5-52929F551A37}"/>
</file>

<file path=customXml/itemProps2.xml><?xml version="1.0" encoding="utf-8"?>
<ds:datastoreItem xmlns:ds="http://schemas.openxmlformats.org/officeDocument/2006/customXml" ds:itemID="{4F430AE4-1BB4-432E-8FFD-9620639F63EF}"/>
</file>

<file path=customXml/itemProps3.xml><?xml version="1.0" encoding="utf-8"?>
<ds:datastoreItem xmlns:ds="http://schemas.openxmlformats.org/officeDocument/2006/customXml" ds:itemID="{D8AD62CB-659A-4537-858B-F727673EBBDA}"/>
</file>

<file path=customXml/itemProps4.xml><?xml version="1.0" encoding="utf-8"?>
<ds:datastoreItem xmlns:ds="http://schemas.openxmlformats.org/officeDocument/2006/customXml" ds:itemID="{39C351CC-3E0A-4010-A214-359ACA1BCFE7}"/>
</file>

<file path=docMetadata/LabelInfo.xml><?xml version="1.0" encoding="utf-8"?>
<clbl:labelList xmlns:clbl="http://schemas.microsoft.com/office/2020/mipLabelMetadata">
  <clbl:label id="{a6c0d0a6-a4b9-4802-9a97-568759608577}" enabled="1" method="Standard" siteId="{f2fe6bd3-9c4a-485b-ae69-e18820a88130}" removed="0"/>
  <clbl:label id="{ba62f585-b40f-4ab9-bafe-39150f03d124}" enabled="1" method="Privilege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Richard Taylor</dc:creator>
  <cp:keywords/>
  <dc:description/>
  <cp:lastModifiedBy>Smith , Bradley (Energy Security)</cp:lastModifiedBy>
  <cp:revision/>
  <dcterms:created xsi:type="dcterms:W3CDTF">2012-01-05T14:11:32Z</dcterms:created>
  <dcterms:modified xsi:type="dcterms:W3CDTF">2025-12-24T12:14:07Z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0x0101006ADFD9C52B52A5458F7296E774CFEA32</vt:lpwstr>
  </property>
  <property fmtid="{D5CDD505-2E9C-101B-9397-08002B2CF9AE}" pid="3" name="URL">
    <vt:lpwstr/>
  </property>
  <property fmtid="{D5CDD505-2E9C-101B-9397-08002B2CF9AE}" pid="4" name="_ExtendedDescription">
    <vt:lpwstr/>
  </property>
  <property fmtid="{D5CDD505-2E9C-101B-9397-08002B2CF9AE}" pid="5" name="MediaServiceImageTags">
    <vt:lpwstr/>
  </property>
  <property fmtid="{D5CDD505-2E9C-101B-9397-08002B2CF9AE}" pid="6" name="Business Unit">
    <vt:lpwstr>1;#BEIS:Energy, Transformation and Clean Growth:Industrial Energy|196d2126-cc91-40b4-bd0b-d2f757bf15bb</vt:lpwstr>
  </property>
  <property fmtid="{D5CDD505-2E9C-101B-9397-08002B2CF9AE}" pid="7" name="_dlc_DocIdItemGuid">
    <vt:lpwstr>c0a183ec-0956-452e-b9a1-5d955b3c3594</vt:lpwstr>
  </property>
  <property fmtid="{D5CDD505-2E9C-101B-9397-08002B2CF9AE}" pid="8" name="Business_x0020_Unit">
    <vt:lpwstr>1;#BEIS:Energy, Transformation and Clean Growth:Industrial Energy|196d2126-cc91-40b4-bd0b-d2f757bf15bb</vt:lpwstr>
  </property>
</Properties>
</file>