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7CF3B7E9-DEAB-49CB-AB9B-3DF665331B2D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1174" i="1"/>
  <c r="D1174" i="1"/>
  <c r="C1174" i="1"/>
  <c r="H1174" i="1"/>
  <c r="H1173" i="1"/>
  <c r="C1173" i="1"/>
  <c r="C1172" i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8" i="2" s="1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<sst xmlns="http://schemas.openxmlformats.org/spreadsheetml/2006/main" count="151" uniqueCount="122">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</sst>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12 January 2026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45670</c:v>
                </c:pt>
                <c:pt idx="1">
                  <c:v>45677</c:v>
                </c:pt>
                <c:pt idx="2">
                  <c:v>45684</c:v>
                </c:pt>
                <c:pt idx="3">
                  <c:v>45691</c:v>
                </c:pt>
                <c:pt idx="4">
                  <c:v>45698</c:v>
                </c:pt>
                <c:pt idx="5">
                  <c:v>45705</c:v>
                </c:pt>
                <c:pt idx="6">
                  <c:v>45712</c:v>
                </c:pt>
                <c:pt idx="7">
                  <c:v>45719</c:v>
                </c:pt>
                <c:pt idx="8">
                  <c:v>45726</c:v>
                </c:pt>
                <c:pt idx="9">
                  <c:v>45733</c:v>
                </c:pt>
                <c:pt idx="10">
                  <c:v>45740</c:v>
                </c:pt>
                <c:pt idx="11">
                  <c:v>45747</c:v>
                </c:pt>
                <c:pt idx="12">
                  <c:v>45754</c:v>
                </c:pt>
                <c:pt idx="13">
                  <c:v>45761</c:v>
                </c:pt>
                <c:pt idx="14">
                  <c:v>45768</c:v>
                </c:pt>
                <c:pt idx="15">
                  <c:v>45775</c:v>
                </c:pt>
                <c:pt idx="16">
                  <c:v>45782</c:v>
                </c:pt>
                <c:pt idx="17">
                  <c:v>45789</c:v>
                </c:pt>
                <c:pt idx="18">
                  <c:v>45796</c:v>
                </c:pt>
                <c:pt idx="19">
                  <c:v>45803</c:v>
                </c:pt>
                <c:pt idx="20">
                  <c:v>45810</c:v>
                </c:pt>
                <c:pt idx="21">
                  <c:v>45817</c:v>
                </c:pt>
                <c:pt idx="22">
                  <c:v>45824</c:v>
                </c:pt>
                <c:pt idx="23">
                  <c:v>45831</c:v>
                </c:pt>
                <c:pt idx="24">
                  <c:v>45838</c:v>
                </c:pt>
                <c:pt idx="25">
                  <c:v>45845</c:v>
                </c:pt>
                <c:pt idx="26">
                  <c:v>45852</c:v>
                </c:pt>
                <c:pt idx="27">
                  <c:v>45859</c:v>
                </c:pt>
                <c:pt idx="28">
                  <c:v>45866</c:v>
                </c:pt>
                <c:pt idx="29">
                  <c:v>45873</c:v>
                </c:pt>
                <c:pt idx="30">
                  <c:v>45880</c:v>
                </c:pt>
                <c:pt idx="31">
                  <c:v>45887</c:v>
                </c:pt>
                <c:pt idx="32">
                  <c:v>45894</c:v>
                </c:pt>
                <c:pt idx="33">
                  <c:v>45901</c:v>
                </c:pt>
                <c:pt idx="34">
                  <c:v>45908</c:v>
                </c:pt>
                <c:pt idx="35">
                  <c:v>45915</c:v>
                </c:pt>
                <c:pt idx="36">
                  <c:v>45922</c:v>
                </c:pt>
                <c:pt idx="37">
                  <c:v>45929</c:v>
                </c:pt>
                <c:pt idx="38">
                  <c:v>45936</c:v>
                </c:pt>
                <c:pt idx="39">
                  <c:v>45943</c:v>
                </c:pt>
                <c:pt idx="40">
                  <c:v>45950</c:v>
                </c:pt>
                <c:pt idx="41">
                  <c:v>45957</c:v>
                </c:pt>
                <c:pt idx="42">
                  <c:v>45964</c:v>
                </c:pt>
                <c:pt idx="43">
                  <c:v>45971</c:v>
                </c:pt>
                <c:pt idx="44">
                  <c:v>45978</c:v>
                </c:pt>
                <c:pt idx="45">
                  <c:v>45985</c:v>
                </c:pt>
                <c:pt idx="46">
                  <c:v>45992</c:v>
                </c:pt>
                <c:pt idx="47">
                  <c:v>45999</c:v>
                </c:pt>
                <c:pt idx="48">
                  <c:v>46006</c:v>
                </c:pt>
                <c:pt idx="49">
                  <c:v>46013</c:v>
                </c:pt>
                <c:pt idx="50">
                  <c:v>46020</c:v>
                </c:pt>
                <c:pt idx="51">
                  <c:v>46027</c:v>
                </c:pt>
                <c:pt idx="52">
                  <c:v>46034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136.509985</c:v>
                </c:pt>
                <c:pt idx="1">
                  <c:v>136.96904999999998</c:v>
                </c:pt>
                <c:pt idx="2">
                  <c:v>138.36296499999997</c:v>
                </c:pt>
                <c:pt idx="3">
                  <c:v>138.741411</c:v>
                </c:pt>
                <c:pt idx="4">
                  <c:v>139.021659</c:v>
                </c:pt>
                <c:pt idx="5">
                  <c:v>139.217579</c:v>
                </c:pt>
                <c:pt idx="6">
                  <c:v>139.62223799999998</c:v>
                </c:pt>
                <c:pt idx="7">
                  <c:v>139.612483</c:v>
                </c:pt>
                <c:pt idx="8">
                  <c:v>139.41696999999999</c:v>
                </c:pt>
                <c:pt idx="9">
                  <c:v>137.971654</c:v>
                </c:pt>
                <c:pt idx="10">
                  <c:v>135.607957</c:v>
                </c:pt>
                <c:pt idx="11">
                  <c:v>134.907432</c:v>
                </c:pt>
                <c:pt idx="12">
                  <c:v>135.24951899999999</c:v>
                </c:pt>
                <c:pt idx="13">
                  <c:v>134.847714</c:v>
                </c:pt>
                <c:pt idx="14">
                  <c:v>134.26116099999999</c:v>
                </c:pt>
                <c:pt idx="15">
                  <c:v>133.8357</c:v>
                </c:pt>
                <c:pt idx="16">
                  <c:v>133.18171299999997</c:v>
                </c:pt>
                <c:pt idx="17">
                  <c:v>132.31878399999999</c:v>
                </c:pt>
                <c:pt idx="18">
                  <c:v>132.074648</c:v>
                </c:pt>
                <c:pt idx="19">
                  <c:v>131.98617000000002</c:v>
                </c:pt>
                <c:pt idx="20">
                  <c:v>131.45446399999997</c:v>
                </c:pt>
                <c:pt idx="21">
                  <c:v>131.347556</c:v>
                </c:pt>
                <c:pt idx="22">
                  <c:v>131.39140800000001</c:v>
                </c:pt>
                <c:pt idx="23">
                  <c:v>132.329373</c:v>
                </c:pt>
                <c:pt idx="24">
                  <c:v>132.95441300000002</c:v>
                </c:pt>
                <c:pt idx="25">
                  <c:v>133.18821600000001</c:v>
                </c:pt>
                <c:pt idx="26">
                  <c:v>133.945447</c:v>
                </c:pt>
                <c:pt idx="27">
                  <c:v>134.09445300000002</c:v>
                </c:pt>
                <c:pt idx="28">
                  <c:v>134.243922</c:v>
                </c:pt>
                <c:pt idx="29">
                  <c:v>134.29653199999998</c:v>
                </c:pt>
                <c:pt idx="30">
                  <c:v>134.38629299999999</c:v>
                </c:pt>
                <c:pt idx="31">
                  <c:v>134.30053199999998</c:v>
                </c:pt>
                <c:pt idx="32">
                  <c:v>133.91452700000002</c:v>
                </c:pt>
                <c:pt idx="33">
                  <c:v>133.860963</c:v>
                </c:pt>
                <c:pt idx="34">
                  <c:v>133.724233</c:v>
                </c:pt>
                <c:pt idx="35">
                  <c:v>133.812353</c:v>
                </c:pt>
                <c:pt idx="36">
                  <c:v>134.14521299999998</c:v>
                </c:pt>
                <c:pt idx="37">
                  <c:v>134.36203600000002</c:v>
                </c:pt>
                <c:pt idx="38">
                  <c:v>134.76431600000001</c:v>
                </c:pt>
                <c:pt idx="39">
                  <c:v>134.81126799999998</c:v>
                </c:pt>
                <c:pt idx="40">
                  <c:v>134.69223</c:v>
                </c:pt>
                <c:pt idx="41">
                  <c:v>134.40487300000001</c:v>
                </c:pt>
                <c:pt idx="42">
                  <c:v>134.38128799999998</c:v>
                </c:pt>
                <c:pt idx="43">
                  <c:v>134.64813899999999</c:v>
                </c:pt>
                <c:pt idx="44">
                  <c:v>135.07288800000001</c:v>
                </c:pt>
                <c:pt idx="45">
                  <c:v>136.07401099999998</c:v>
                </c:pt>
                <c:pt idx="46">
                  <c:v>136.61131399999999</c:v>
                </c:pt>
                <c:pt idx="47">
                  <c:v>136.67733200000001</c:v>
                </c:pt>
                <c:pt idx="48">
                  <c:v>136.83113299999999</c:v>
                </c:pt>
                <c:pt idx="49">
                  <c:v>136.22822000000002</c:v>
                </c:pt>
                <c:pt idx="50">
                  <c:v>135.338199</c:v>
                </c:pt>
                <c:pt idx="51">
                  <c:v>134.89606800000001</c:v>
                </c:pt>
                <c:pt idx="52">
                  <c:v>133.43266399999999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45670</c:v>
                </c:pt>
                <c:pt idx="1">
                  <c:v>45677</c:v>
                </c:pt>
                <c:pt idx="2">
                  <c:v>45684</c:v>
                </c:pt>
                <c:pt idx="3">
                  <c:v>45691</c:v>
                </c:pt>
                <c:pt idx="4">
                  <c:v>45698</c:v>
                </c:pt>
                <c:pt idx="5">
                  <c:v>45705</c:v>
                </c:pt>
                <c:pt idx="6">
                  <c:v>45712</c:v>
                </c:pt>
                <c:pt idx="7">
                  <c:v>45719</c:v>
                </c:pt>
                <c:pt idx="8">
                  <c:v>45726</c:v>
                </c:pt>
                <c:pt idx="9">
                  <c:v>45733</c:v>
                </c:pt>
                <c:pt idx="10">
                  <c:v>45740</c:v>
                </c:pt>
                <c:pt idx="11">
                  <c:v>45747</c:v>
                </c:pt>
                <c:pt idx="12">
                  <c:v>45754</c:v>
                </c:pt>
                <c:pt idx="13">
                  <c:v>45761</c:v>
                </c:pt>
                <c:pt idx="14">
                  <c:v>45768</c:v>
                </c:pt>
                <c:pt idx="15">
                  <c:v>45775</c:v>
                </c:pt>
                <c:pt idx="16">
                  <c:v>45782</c:v>
                </c:pt>
                <c:pt idx="17">
                  <c:v>45789</c:v>
                </c:pt>
                <c:pt idx="18">
                  <c:v>45796</c:v>
                </c:pt>
                <c:pt idx="19">
                  <c:v>45803</c:v>
                </c:pt>
                <c:pt idx="20">
                  <c:v>45810</c:v>
                </c:pt>
                <c:pt idx="21">
                  <c:v>45817</c:v>
                </c:pt>
                <c:pt idx="22">
                  <c:v>45824</c:v>
                </c:pt>
                <c:pt idx="23">
                  <c:v>45831</c:v>
                </c:pt>
                <c:pt idx="24">
                  <c:v>45838</c:v>
                </c:pt>
                <c:pt idx="25">
                  <c:v>45845</c:v>
                </c:pt>
                <c:pt idx="26">
                  <c:v>45852</c:v>
                </c:pt>
                <c:pt idx="27">
                  <c:v>45859</c:v>
                </c:pt>
                <c:pt idx="28">
                  <c:v>45866</c:v>
                </c:pt>
                <c:pt idx="29">
                  <c:v>45873</c:v>
                </c:pt>
                <c:pt idx="30">
                  <c:v>45880</c:v>
                </c:pt>
                <c:pt idx="31">
                  <c:v>45887</c:v>
                </c:pt>
                <c:pt idx="32">
                  <c:v>45894</c:v>
                </c:pt>
                <c:pt idx="33">
                  <c:v>45901</c:v>
                </c:pt>
                <c:pt idx="34">
                  <c:v>45908</c:v>
                </c:pt>
                <c:pt idx="35">
                  <c:v>45915</c:v>
                </c:pt>
                <c:pt idx="36">
                  <c:v>45922</c:v>
                </c:pt>
                <c:pt idx="37">
                  <c:v>45929</c:v>
                </c:pt>
                <c:pt idx="38">
                  <c:v>45936</c:v>
                </c:pt>
                <c:pt idx="39">
                  <c:v>45943</c:v>
                </c:pt>
                <c:pt idx="40">
                  <c:v>45950</c:v>
                </c:pt>
                <c:pt idx="41">
                  <c:v>45957</c:v>
                </c:pt>
                <c:pt idx="42">
                  <c:v>45964</c:v>
                </c:pt>
                <c:pt idx="43">
                  <c:v>45971</c:v>
                </c:pt>
                <c:pt idx="44">
                  <c:v>45978</c:v>
                </c:pt>
                <c:pt idx="45">
                  <c:v>45985</c:v>
                </c:pt>
                <c:pt idx="46">
                  <c:v>45992</c:v>
                </c:pt>
                <c:pt idx="47">
                  <c:v>45999</c:v>
                </c:pt>
                <c:pt idx="48">
                  <c:v>46006</c:v>
                </c:pt>
                <c:pt idx="49">
                  <c:v>46013</c:v>
                </c:pt>
                <c:pt idx="50">
                  <c:v>46020</c:v>
                </c:pt>
                <c:pt idx="51">
                  <c:v>46027</c:v>
                </c:pt>
                <c:pt idx="52">
                  <c:v>46034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143.32843099999999</c:v>
                </c:pt>
                <c:pt idx="1">
                  <c:v>144.26750099999998</c:v>
                </c:pt>
                <c:pt idx="2">
                  <c:v>145.574793</c:v>
                </c:pt>
                <c:pt idx="3">
                  <c:v>146.13087400000001</c:v>
                </c:pt>
                <c:pt idx="4">
                  <c:v>146.29333200000002</c:v>
                </c:pt>
                <c:pt idx="5">
                  <c:v>146.44771800000001</c:v>
                </c:pt>
                <c:pt idx="6">
                  <c:v>146.82192700000002</c:v>
                </c:pt>
                <c:pt idx="7">
                  <c:v>146.884027</c:v>
                </c:pt>
                <c:pt idx="8">
                  <c:v>146.57529</c:v>
                </c:pt>
                <c:pt idx="9">
                  <c:v>145.38482700000003</c:v>
                </c:pt>
                <c:pt idx="10">
                  <c:v>143.07308</c:v>
                </c:pt>
                <c:pt idx="11">
                  <c:v>142.255009</c:v>
                </c:pt>
                <c:pt idx="12">
                  <c:v>142.54169199999998</c:v>
                </c:pt>
                <c:pt idx="13">
                  <c:v>141.97461799999999</c:v>
                </c:pt>
                <c:pt idx="14">
                  <c:v>141.44217399999999</c:v>
                </c:pt>
                <c:pt idx="15">
                  <c:v>140.81097600000001</c:v>
                </c:pt>
                <c:pt idx="16">
                  <c:v>140.05547999999999</c:v>
                </c:pt>
                <c:pt idx="17">
                  <c:v>139.19787699999998</c:v>
                </c:pt>
                <c:pt idx="18">
                  <c:v>138.57350100000002</c:v>
                </c:pt>
                <c:pt idx="19">
                  <c:v>138.367391</c:v>
                </c:pt>
                <c:pt idx="20">
                  <c:v>138.08744300000001</c:v>
                </c:pt>
                <c:pt idx="21">
                  <c:v>137.53903200000002</c:v>
                </c:pt>
                <c:pt idx="22">
                  <c:v>137.542314</c:v>
                </c:pt>
                <c:pt idx="23">
                  <c:v>139.02959200000001</c:v>
                </c:pt>
                <c:pt idx="24">
                  <c:v>140.26409099999998</c:v>
                </c:pt>
                <c:pt idx="25">
                  <c:v>140.57684799999998</c:v>
                </c:pt>
                <c:pt idx="26">
                  <c:v>141.10385300000002</c:v>
                </c:pt>
                <c:pt idx="27">
                  <c:v>141.850977</c:v>
                </c:pt>
                <c:pt idx="28">
                  <c:v>142.00014199999998</c:v>
                </c:pt>
                <c:pt idx="29">
                  <c:v>142.130449</c:v>
                </c:pt>
                <c:pt idx="30">
                  <c:v>142.48968600000001</c:v>
                </c:pt>
                <c:pt idx="31">
                  <c:v>142.16559099999998</c:v>
                </c:pt>
                <c:pt idx="32">
                  <c:v>141.917306</c:v>
                </c:pt>
                <c:pt idx="33">
                  <c:v>141.65410799999998</c:v>
                </c:pt>
                <c:pt idx="34">
                  <c:v>141.58071000000001</c:v>
                </c:pt>
                <c:pt idx="35">
                  <c:v>141.68569500000001</c:v>
                </c:pt>
                <c:pt idx="36">
                  <c:v>142.024261</c:v>
                </c:pt>
                <c:pt idx="37">
                  <c:v>142.23597000000001</c:v>
                </c:pt>
                <c:pt idx="38">
                  <c:v>142.917157</c:v>
                </c:pt>
                <c:pt idx="39">
                  <c:v>142.98682199999999</c:v>
                </c:pt>
                <c:pt idx="40">
                  <c:v>142.81489199999999</c:v>
                </c:pt>
                <c:pt idx="41">
                  <c:v>142.37860900000001</c:v>
                </c:pt>
                <c:pt idx="42">
                  <c:v>142.60810999999998</c:v>
                </c:pt>
                <c:pt idx="43">
                  <c:v>143.30982399999999</c:v>
                </c:pt>
                <c:pt idx="44">
                  <c:v>143.97318100000001</c:v>
                </c:pt>
                <c:pt idx="45">
                  <c:v>145.39935000000003</c:v>
                </c:pt>
                <c:pt idx="46">
                  <c:v>146.19905800000001</c:v>
                </c:pt>
                <c:pt idx="47">
                  <c:v>146.23381900000001</c:v>
                </c:pt>
                <c:pt idx="48">
                  <c:v>146.14285699999999</c:v>
                </c:pt>
                <c:pt idx="49">
                  <c:v>145.44801899999999</c:v>
                </c:pt>
                <c:pt idx="50">
                  <c:v>144.58739800000001</c:v>
                </c:pt>
                <c:pt idx="51">
                  <c:v>144.18756299999998</c:v>
                </c:pt>
                <c:pt idx="52">
                  <c:v>142.62878900000001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17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208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9825" y="1772466"/>
          <a:ext cx="23583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133.43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902200" y="1777818"/>
          <a:ext cx="22479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142.63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line chart showing the weekly road fuel prices in pence per litre for ULSP and ULSD over the previous 12 months. 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781777" y="1034474"/>
          <a:ext cx="427947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757944" y="1905692"/>
          <a:ext cx="479639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12091" y="578828"/>
          <a:ext cx="173836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 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0.10121</cdr:y>
    </cdr:from>
    <cdr:to>
      <cdr:x>0.99027</cdr:x>
      <cdr:y>0.41942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48212" y="512848"/>
          <a:ext cx="1327604" cy="1612425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>
              <a:extLst xmlns:a="http://schemas.openxmlformats.org/drawingml/2006/main">
                <a:ext uri="{C183D7F6-B498-43B3-948B-1728B52AA6E4}">
                  <adec:decorative xmlns:adec="http://schemas.microsoft.com/office/drawing/2017/decorative" val="1"/>
                </a:ext>
              </a:extLst>
            </cdr:cNvPr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142.63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0.84144</cdr:x>
      <cdr:y>0.48819</cdr:y>
    </cdr:from>
    <cdr:to>
      <cdr:x>0.99027</cdr:x>
      <cdr:y>0.82222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41849" y="2473742"/>
          <a:ext cx="1333967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>
              <a:extLst xmlns:a="http://schemas.openxmlformats.org/drawingml/2006/main">
                <a:ext uri="{C183D7F6-B498-43B3-948B-1728B52AA6E4}">
                  <adec:decorative xmlns:adec="http://schemas.microsoft.com/office/drawing/2017/decorative" val="1"/>
                </a:ext>
              </a:extLst>
            </cdr:cNvPr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133.43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6208" y="395341"/>
          <a:ext cx="32670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0.78813</cdr:y>
    </cdr:from>
    <cdr:to>
      <cdr:x>0.07222</cdr:x>
      <cdr:y>0.85517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169407" y="3993568"/>
          <a:ext cx="471482" cy="3397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88" totalsRowShown="0" headerRowDxfId="17" dataDxfId="16">
  <autoFilter ref="A8:K1188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81640625" defaultRowHeight="12.5" x14ac:dyDescent="0.25"/>
  <cols>
    <col min="1" max="2" width="18.81640625" customWidth="1"/>
    <col min="3" max="4" width="8.81640625" customWidth="1"/>
  </cols>
  <sheetData>
    <row r="1" spans="1:25" ht="36" customHeight="1" x14ac:dyDescent="0.25">
      <c r="A1" s="79" t="s">
        <v>102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6</v>
      </c>
      <c r="B3" s="67">
        <f>Highlights!E6+1</f>
        <v>46035</v>
      </c>
      <c r="C3" s="30"/>
      <c r="E3" s="4"/>
      <c r="F3" s="4"/>
      <c r="G3" s="4"/>
    </row>
    <row r="4" spans="1:25" s="28" customFormat="1" ht="18" customHeight="1" x14ac:dyDescent="0.25">
      <c r="A4" s="66" t="s">
        <v>7</v>
      </c>
      <c r="B4" s="65" t="str">
        <f>"New data for week commencing "&amp;TEXT(Highlights!E6,"dd mmmm yyyy")</f>
        <v>New data for week commencing 12 January 2026</v>
      </c>
      <c r="C4" s="32"/>
      <c r="E4" s="19"/>
      <c r="F4" s="19"/>
      <c r="G4" s="19"/>
    </row>
    <row r="5" spans="1:25" s="28" customFormat="1" ht="18" customHeight="1" x14ac:dyDescent="0.25">
      <c r="A5" s="66" t="s">
        <v>8</v>
      </c>
      <c r="B5" s="67">
        <f>B3+7</f>
        <v>46042</v>
      </c>
      <c r="C5" s="32"/>
      <c r="E5" s="19"/>
      <c r="F5" s="19"/>
      <c r="G5" s="19"/>
    </row>
    <row r="6" spans="1:25" s="28" customFormat="1" ht="36" customHeight="1" x14ac:dyDescent="0.35">
      <c r="A6" s="7" t="s">
        <v>9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98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10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99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11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12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13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100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117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14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15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116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104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101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119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103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81640625" customWidth="1"/>
  </cols>
  <sheetData>
    <row r="1" spans="1:13" ht="18" customHeight="1" x14ac:dyDescent="0.35">
      <c r="A1" s="68" t="s">
        <v>16</v>
      </c>
      <c r="B1" s="4"/>
    </row>
    <row r="2" spans="1:13" ht="18" customHeight="1" x14ac:dyDescent="0.35">
      <c r="A2" s="59" t="s">
        <v>17</v>
      </c>
      <c r="B2" s="4"/>
    </row>
    <row r="3" spans="1:13" ht="18" customHeight="1" x14ac:dyDescent="0.35">
      <c r="A3" s="59" t="s">
        <v>18</v>
      </c>
      <c r="B3" s="4"/>
    </row>
    <row r="4" spans="1:13" s="28" customFormat="1" ht="18" customHeight="1" x14ac:dyDescent="0.25">
      <c r="A4" s="38" t="s">
        <v>19</v>
      </c>
      <c r="B4" s="60" t="s">
        <v>20</v>
      </c>
      <c r="C4" s="33"/>
      <c r="E4" s="19"/>
      <c r="F4" s="19"/>
      <c r="G4" s="19"/>
    </row>
    <row r="5" spans="1:13" s="28" customFormat="1" ht="18" customHeight="1" x14ac:dyDescent="0.25">
      <c r="A5" s="33" t="s">
        <v>121</v>
      </c>
      <c r="B5" s="23" t="s">
        <v>120</v>
      </c>
      <c r="C5" s="19"/>
      <c r="E5" s="19"/>
      <c r="F5" s="19"/>
      <c r="G5" s="19"/>
    </row>
    <row r="6" spans="1:13" ht="18" customHeight="1" x14ac:dyDescent="0.25">
      <c r="A6" s="19" t="s">
        <v>106</v>
      </c>
      <c r="B6" s="22" t="s">
        <v>23</v>
      </c>
    </row>
    <row r="7" spans="1:13" s="28" customFormat="1" ht="18" customHeight="1" x14ac:dyDescent="0.25">
      <c r="A7" s="19" t="s">
        <v>21</v>
      </c>
      <c r="B7" s="22" t="s">
        <v>21</v>
      </c>
      <c r="C7" s="19"/>
      <c r="E7" s="19"/>
      <c r="F7" s="19"/>
      <c r="G7" s="19"/>
    </row>
    <row r="8" spans="1:13" ht="18" customHeight="1" x14ac:dyDescent="0.25">
      <c r="A8" s="19" t="s">
        <v>22</v>
      </c>
      <c r="B8" s="22" t="s">
        <v>22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81640625" defaultRowHeight="15.5" x14ac:dyDescent="0.35"/>
  <cols>
    <col min="1" max="1" width="2.81640625" style="4" customWidth="1"/>
    <col min="2" max="9" width="12.81640625" style="4" customWidth="1"/>
    <col min="10" max="11" width="8.81640625" style="4"/>
    <col min="12" max="12" width="7.1796875" style="4" bestFit="1" customWidth="1"/>
    <col min="13" max="16384" width="8.81640625" style="4"/>
  </cols>
  <sheetData>
    <row r="1" spans="1:8" ht="18" customHeight="1" x14ac:dyDescent="0.35">
      <c r="A1" s="90" t="s">
        <v>5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105</v>
      </c>
      <c r="E6" s="84">
        <f>MAX(Data!A:A)</f>
        <v>46034</v>
      </c>
    </row>
    <row r="7" spans="1:8" x14ac:dyDescent="0.35">
      <c r="B7" s="43"/>
      <c r="D7" s="85" t="s">
        <v>24</v>
      </c>
      <c r="E7" s="86">
        <f>'Cover Sheet'!B3</f>
        <v>46035</v>
      </c>
    </row>
    <row r="24" spans="2:9" x14ac:dyDescent="0.35">
      <c r="B24" s="44" t="s">
        <v>25</v>
      </c>
      <c r="C24" s="45"/>
      <c r="D24" s="46"/>
      <c r="G24" s="44" t="s">
        <v>25</v>
      </c>
      <c r="H24" s="45"/>
      <c r="I24" s="46"/>
    </row>
    <row r="25" spans="2:9" x14ac:dyDescent="0.35">
      <c r="B25" s="47">
        <f>chart_data!L4</f>
        <v>-1.4634040000000255</v>
      </c>
      <c r="C25" s="48" t="s">
        <v>26</v>
      </c>
      <c r="D25" s="49"/>
      <c r="G25" s="47">
        <f>chart_data!O4</f>
        <v>-1.5587739999999712</v>
      </c>
      <c r="H25" s="48" t="s">
        <v>26</v>
      </c>
      <c r="I25" s="49"/>
    </row>
    <row r="27" spans="2:9" x14ac:dyDescent="0.35">
      <c r="B27" s="44" t="s">
        <v>27</v>
      </c>
      <c r="C27" s="45"/>
      <c r="D27" s="46"/>
      <c r="G27" s="44" t="s">
        <v>27</v>
      </c>
      <c r="H27" s="45"/>
      <c r="I27" s="46"/>
    </row>
    <row r="28" spans="2:9" x14ac:dyDescent="0.35">
      <c r="B28" s="47">
        <f>chart_data!M4</f>
        <v>-3.077321000000012</v>
      </c>
      <c r="C28" s="48" t="s">
        <v>26</v>
      </c>
      <c r="D28" s="49"/>
      <c r="G28" s="47">
        <f>chart_data!P4</f>
        <v>-0.699641999999983</v>
      </c>
      <c r="H28" s="48" t="s">
        <v>26</v>
      </c>
      <c r="I28" s="49"/>
    </row>
    <row r="31" spans="2:9" x14ac:dyDescent="0.35">
      <c r="B31" s="19"/>
      <c r="C31" s="50" t="s">
        <v>28</v>
      </c>
      <c r="D31" s="19"/>
      <c r="E31" s="50" t="s">
        <v>29</v>
      </c>
      <c r="F31" s="106" t="s">
        <v>30</v>
      </c>
      <c r="G31" s="107"/>
      <c r="H31" s="50" t="s">
        <v>31</v>
      </c>
      <c r="I31" s="50"/>
    </row>
    <row r="32" spans="2:9" x14ac:dyDescent="0.35">
      <c r="B32" s="19" t="s">
        <v>32</v>
      </c>
      <c r="C32" s="52">
        <f>(chart_data!K4/1.2)-duty_rate_current_ULSP</f>
        <v>58.243886666666654</v>
      </c>
      <c r="D32" s="19"/>
      <c r="E32" s="50">
        <v>52.95</v>
      </c>
      <c r="F32" s="105">
        <f>chart_data!K4-chart_data!K4/1.2</f>
        <v>22.238777333333331</v>
      </c>
      <c r="G32" s="105"/>
      <c r="H32" s="53">
        <f>SUM(C32:G32)</f>
        <v>133.43266399999999</v>
      </c>
      <c r="I32" s="51" t="s">
        <v>33</v>
      </c>
    </row>
    <row r="33" spans="2:9" x14ac:dyDescent="0.35">
      <c r="B33" s="19" t="s">
        <v>34</v>
      </c>
      <c r="C33" s="52">
        <f>(chart_data!N4/1.2)-duty_rate_current_ULSD</f>
        <v>65.907324166666683</v>
      </c>
      <c r="D33" s="19"/>
      <c r="E33" s="50">
        <v>52.95</v>
      </c>
      <c r="F33" s="105">
        <f>chart_data!N4-chart_data!N4/1.2</f>
        <v>23.771464833333326</v>
      </c>
      <c r="G33" s="105"/>
      <c r="H33" s="53">
        <f>SUM(C33:G33)</f>
        <v>142.62878900000001</v>
      </c>
      <c r="I33" s="51" t="s">
        <v>33</v>
      </c>
    </row>
    <row r="61" spans="1:1" x14ac:dyDescent="0.35">
      <c r="A61" s="87" t="s">
        <v>35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8"/>
  <sheetViews>
    <sheetView showGridLines="0" zoomScaleNormal="100" workbookViewId="0">
      <pane ySplit="8" topLeftCell="A1182" activePane="bottomLeft" state="frozen"/>
      <selection activeCell="A7" sqref="A7"/>
      <selection pane="bottomLeft" activeCell="A1182" sqref="A1182"/>
    </sheetView>
  </sheetViews>
  <sheetFormatPr defaultColWidth="9.1796875" defaultRowHeight="12.5" x14ac:dyDescent="0.25"/>
  <cols>
    <col min="1" max="1" width="12.1796875" customWidth="1"/>
    <col min="2" max="11" width="10.81640625" customWidth="1"/>
  </cols>
  <sheetData>
    <row r="1" spans="1:11" ht="18" customHeight="1" x14ac:dyDescent="0.35">
      <c r="A1" s="6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59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118</v>
      </c>
      <c r="B6" s="61"/>
      <c r="C6" s="61"/>
      <c r="D6" s="61"/>
      <c r="E6" s="62"/>
    </row>
    <row r="7" spans="1:11" ht="18" customHeight="1" x14ac:dyDescent="0.35">
      <c r="A7" s="25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4</v>
      </c>
      <c r="B8" s="40" t="s">
        <v>60</v>
      </c>
      <c r="C8" s="40" t="s">
        <v>61</v>
      </c>
      <c r="D8" s="40" t="s">
        <v>62</v>
      </c>
      <c r="E8" s="40" t="s">
        <v>63</v>
      </c>
      <c r="F8" s="40" t="s">
        <v>64</v>
      </c>
      <c r="G8" s="40" t="s">
        <v>65</v>
      </c>
      <c r="H8" s="40" t="s">
        <v>66</v>
      </c>
      <c r="I8" s="40" t="s">
        <v>67</v>
      </c>
      <c r="J8" s="40" t="s">
        <v>68</v>
      </c>
      <c r="K8" s="40" t="s">
        <v>69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131.98617000000002</v>
      </c>
      <c r="C1155" s="75">
        <f t="shared" si="239"/>
        <v>-8.8477999999980739E-2</v>
      </c>
      <c r="D1155" s="75">
        <f t="shared" ref="D1155" si="243">IF(ABS(B1155-B1103)&lt;0.05,0,B1155-B1103)</f>
        <v>-15.659751</v>
      </c>
      <c r="E1155" s="74">
        <v>52.95</v>
      </c>
      <c r="F1155" s="74">
        <v>20</v>
      </c>
      <c r="G1155" s="74">
        <v>138.367391</v>
      </c>
      <c r="H1155" s="75">
        <f t="shared" si="241"/>
        <v>-0.20611000000002377</v>
      </c>
      <c r="I1155" s="75">
        <f t="shared" ref="I1155" si="244">IF(ABS(G1155-G1103)&lt;0.05,0,G1155-G1103)</f>
        <v>-15.937048000000004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-0.53170600000004242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-0.27994799999999032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132.329373</v>
      </c>
      <c r="C1159" s="75">
        <f t="shared" si="239"/>
        <v>0.93796499999999128</v>
      </c>
      <c r="D1159" s="75">
        <f t="shared" ref="D1159" si="251">IF(ABS(B1159-B1107)&lt;0.05,0,B1159-B1107)</f>
        <v>-12.105509999999981</v>
      </c>
      <c r="E1159" s="74">
        <v>52.95</v>
      </c>
      <c r="F1159" s="74">
        <v>20</v>
      </c>
      <c r="G1159" s="74">
        <v>139.02959200000001</v>
      </c>
      <c r="H1159" s="75">
        <f t="shared" si="241"/>
        <v>1.4872780000000034</v>
      </c>
      <c r="I1159" s="75">
        <f t="shared" ref="I1159" si="252">IF(ABS(G1159-G1107)&lt;0.05,0,G1159-G1107)</f>
        <v>-11.087763999999964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0.6250400000000127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1.2344989999999711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133.945447</v>
      </c>
      <c r="C1162" s="75">
        <f>IF(ABS(B1162-B1161)&lt;0.05,0,B1162-B1161)</f>
        <v>0.75723099999999022</v>
      </c>
      <c r="D1162" s="75">
        <f t="shared" ref="D1162" si="257">IF(ABS(B1162-B1110)&lt;0.05,0,B1162-B1110)</f>
        <v>-10.654519999999991</v>
      </c>
      <c r="E1162" s="74">
        <v>52.95</v>
      </c>
      <c r="F1162" s="74">
        <v>20</v>
      </c>
      <c r="G1162" s="74">
        <v>141.10385300000002</v>
      </c>
      <c r="H1162" s="75">
        <f>IF(ABS(G1162-G1161)&lt;0.05,0,G1162-G1161)</f>
        <v>0.52700500000003103</v>
      </c>
      <c r="I1162" s="75">
        <f t="shared" ref="I1162" si="258">IF(ABS(G1162-G1110)&lt;0.05,0,G1162-G1110)</f>
        <v>-9.4585739999999987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0.14900600000001418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0.74712399999998524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134.243922</v>
      </c>
      <c r="C1164" s="75">
        <f t="shared" ref="C1164:C1168" si="263">IF(ABS(B1164-B1163)&lt;0.05,0,B1164-B1163)</f>
        <v>0.14946899999998209</v>
      </c>
      <c r="D1164" s="75">
        <f t="shared" ref="D1164" si="264">IF(ABS(B1164-B1112)&lt;0.05,0,B1164-B1112)</f>
        <v>-9.9471350000000029</v>
      </c>
      <c r="E1164" s="74">
        <v>52.95</v>
      </c>
      <c r="F1164" s="74">
        <v>20</v>
      </c>
      <c r="G1164" s="74">
        <v>142.00014199999998</v>
      </c>
      <c r="H1164" s="75">
        <f t="shared" ref="H1164:H1169" si="265">IF(ABS(G1164-G1163)&lt;0.05,0,G1164-G1163)</f>
        <v>0.14916499999998223</v>
      </c>
      <c r="I1164" s="75">
        <f t="shared" ref="I1164" si="266">IF(ABS(G1164-G1112)&lt;0.05,0,G1164-G1112)</f>
        <v>-8.1564250000000129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134.29653199999998</v>
      </c>
      <c r="C1165" s="75">
        <f t="shared" si="263"/>
        <v>5.2609999999987167E-2</v>
      </c>
      <c r="D1165" s="75">
        <f t="shared" ref="D1165" si="267">IF(ABS(B1165-B1113)&lt;0.05,0,B1165-B1113)</f>
        <v>-9.1278980000000161</v>
      </c>
      <c r="E1165" s="74">
        <v>52.95</v>
      </c>
      <c r="F1165" s="74">
        <v>20</v>
      </c>
      <c r="G1165" s="74">
        <v>142.130449</v>
      </c>
      <c r="H1165" s="75">
        <f t="shared" si="265"/>
        <v>0.13030700000001616</v>
      </c>
      <c r="I1165" s="75">
        <f t="shared" ref="I1165" si="268">IF(ABS(G1165-G1113)&lt;0.05,0,G1165-G1113)</f>
        <v>-6.9681510000000344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134.38629299999999</v>
      </c>
      <c r="C1166" s="75">
        <f t="shared" si="263"/>
        <v>8.9761000000009972E-2</v>
      </c>
      <c r="D1166" s="75">
        <f t="shared" ref="D1166:D1171" si="269">IF(ABS(B1166-B1114)&lt;0.05,0,B1166-B1114)</f>
        <v>-8.5267680000000325</v>
      </c>
      <c r="E1166" s="74">
        <v>52.95</v>
      </c>
      <c r="F1166" s="74">
        <v>20</v>
      </c>
      <c r="G1166" s="74">
        <v>142.48968600000001</v>
      </c>
      <c r="H1166" s="75">
        <f t="shared" si="265"/>
        <v>0.35923700000000736</v>
      </c>
      <c r="I1166" s="75">
        <f t="shared" ref="I1166:I1171" si="270">IF(ABS(G1166-G1114)&lt;0.05,0,G1166-G1114)</f>
        <v>-5.9891299999999887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-8.5761000000019294E-2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142.16559099999998</v>
      </c>
      <c r="H1167" s="75">
        <f t="shared" si="265"/>
        <v>-0.32409500000002822</v>
      </c>
      <c r="I1167" s="75">
        <f t="shared" si="270"/>
        <v>-5.2584670000000244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-0.24828499999998144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133.724233</v>
      </c>
      <c r="C1170" s="75">
        <f t="shared" si="271"/>
        <v>-0.13673000000000002</v>
      </c>
      <c r="D1170" s="75">
        <f t="shared" si="269"/>
        <v>-4.3762839999999983</v>
      </c>
      <c r="E1170" s="74">
        <v>52.95</v>
      </c>
      <c r="F1170" s="74">
        <v>20</v>
      </c>
      <c r="G1170" s="74">
        <v>141.58071000000001</v>
      </c>
      <c r="H1170" s="75">
        <f>IF(ABS(G1170-G1169)&lt;0.05,0,G1170-G1169)</f>
        <v>-7.3397999999968988E-2</v>
      </c>
      <c r="I1170" s="75">
        <f t="shared" si="270"/>
        <v>-1.8199940000000083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133.812353</v>
      </c>
      <c r="C1171" s="75">
        <f t="shared" si="271"/>
        <v>8.8120000000003529E-2</v>
      </c>
      <c r="D1171" s="75">
        <f t="shared" si="269"/>
        <v>-2.6735529999999983</v>
      </c>
      <c r="E1171" s="74">
        <v>52.95</v>
      </c>
      <c r="F1171" s="74">
        <v>20</v>
      </c>
      <c r="G1171" s="74">
        <v>141.68569500000001</v>
      </c>
      <c r="H1171" s="75">
        <f>IF(ABS(G1171-G1170)&lt;0.05,0,G1171-G1170)</f>
        <v>0.10498499999999922</v>
      </c>
      <c r="I1171" s="75">
        <f t="shared" si="270"/>
        <v>7.9585000000037098E-2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0.33285999999998239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0.33856599999998593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 t="shared" ref="H1173:H1178" si="275"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134.76431600000001</v>
      </c>
      <c r="C1174" s="75">
        <f t="shared" si="271"/>
        <v>0.40227999999999042</v>
      </c>
      <c r="D1174" s="75">
        <f t="shared" ref="D1174" si="276">IF(ABS(B1174-B1122)&lt;0.05,0,B1174-B1122)</f>
        <v>1.1781000000000006</v>
      </c>
      <c r="E1174" s="74">
        <v>52.95</v>
      </c>
      <c r="F1174" s="74">
        <v>20</v>
      </c>
      <c r="G1174" s="74">
        <v>142.917157</v>
      </c>
      <c r="H1174" s="75">
        <f t="shared" si="275"/>
        <v>0.68118699999999421</v>
      </c>
      <c r="I1174" s="75">
        <f t="shared" ref="I1174" si="277">IF(ABS(G1174-G1122)&lt;0.05,0,G1174-G1122)</f>
        <v>4.4537910000000238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 t="shared" ref="C1175:C1180" si="278">IF(ABS(B1175-B1174)&lt;0.05,0,B1175-B1174)</f>
        <v>0</v>
      </c>
      <c r="D1175" s="75">
        <f t="shared" ref="D1175:D1176" si="279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 t="shared" si="275"/>
        <v>6.9664999999986321E-2</v>
      </c>
      <c r="I1175" s="75">
        <f t="shared" ref="I1175:I1176" si="280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77">
        <v>45950</v>
      </c>
      <c r="B1176" s="74">
        <v>134.69223</v>
      </c>
      <c r="C1176" s="75">
        <f t="shared" si="278"/>
        <v>-0.1190379999999891</v>
      </c>
      <c r="D1176" s="75">
        <f t="shared" si="279"/>
        <v>0.70396399999998494</v>
      </c>
      <c r="E1176" s="74">
        <v>52.95</v>
      </c>
      <c r="F1176" s="74">
        <v>20</v>
      </c>
      <c r="G1176" s="74">
        <v>142.81489199999999</v>
      </c>
      <c r="H1176" s="75">
        <f t="shared" si="275"/>
        <v>-0.17193000000000325</v>
      </c>
      <c r="I1176" s="75">
        <f t="shared" si="280"/>
        <v>3.5539249999999925</v>
      </c>
      <c r="J1176" s="74">
        <v>52.95</v>
      </c>
      <c r="K1176" s="74">
        <v>20</v>
      </c>
    </row>
    <row r="1177" spans="1:11" ht="14" x14ac:dyDescent="0.25">
      <c r="A1177" s="77">
        <v>45957</v>
      </c>
      <c r="B1177" s="74">
        <v>134.40487300000001</v>
      </c>
      <c r="C1177" s="75">
        <f t="shared" si="278"/>
        <v>-0.28735699999998587</v>
      </c>
      <c r="D1177" s="75">
        <f t="shared" ref="D1177" si="281">IF(ABS(B1177-B1125)&lt;0.05,0,B1177-B1125)</f>
        <v>0</v>
      </c>
      <c r="E1177" s="74">
        <v>52.95</v>
      </c>
      <c r="F1177" s="74">
        <v>20</v>
      </c>
      <c r="G1177" s="74">
        <v>142.37860900000001</v>
      </c>
      <c r="H1177" s="75">
        <f t="shared" si="275"/>
        <v>-0.43628299999997466</v>
      </c>
      <c r="I1177" s="75">
        <f t="shared" ref="I1177" si="282">IF(ABS(G1177-G1125)&lt;0.05,0,G1177-G1125)</f>
        <v>2.6688640000000134</v>
      </c>
      <c r="J1177" s="74">
        <v>52.95</v>
      </c>
      <c r="K1177" s="74">
        <v>20</v>
      </c>
    </row>
    <row r="1178" spans="1:11" ht="14" x14ac:dyDescent="0.25">
      <c r="A1178" s="77">
        <v>45964</v>
      </c>
      <c r="B1178" s="74">
        <v>134.38128799999998</v>
      </c>
      <c r="C1178" s="75">
        <f t="shared" si="278"/>
        <v>0</v>
      </c>
      <c r="D1178" s="75">
        <f t="shared" ref="D1178" si="283">IF(ABS(B1178-B1126)&lt;0.05,0,B1178-B1126)</f>
        <v>0</v>
      </c>
      <c r="E1178" s="74">
        <v>52.95</v>
      </c>
      <c r="F1178" s="74">
        <v>20</v>
      </c>
      <c r="G1178" s="74">
        <v>142.60810999999998</v>
      </c>
      <c r="H1178" s="75">
        <f t="shared" si="275"/>
        <v>0.22950099999997065</v>
      </c>
      <c r="I1178" s="75">
        <f t="shared" ref="I1178" si="284">IF(ABS(G1178-G1126)&lt;0.05,0,G1178-G1126)</f>
        <v>2.7641519999999957</v>
      </c>
      <c r="J1178" s="74">
        <v>52.95</v>
      </c>
      <c r="K1178" s="74">
        <v>20</v>
      </c>
    </row>
    <row r="1179" spans="1:11" ht="14" x14ac:dyDescent="0.25">
      <c r="A1179" s="77">
        <v>45971</v>
      </c>
      <c r="B1179" s="74">
        <v>134.64813899999999</v>
      </c>
      <c r="C1179" s="75">
        <f t="shared" si="278"/>
        <v>0.26685100000000261</v>
      </c>
      <c r="D1179" s="75">
        <f t="shared" ref="D1179" si="285">IF(ABS(B1179-B1127)&lt;0.05,0,B1179-B1127)</f>
        <v>5.3478999999981625E-2</v>
      </c>
      <c r="E1179" s="74">
        <v>52.95</v>
      </c>
      <c r="F1179" s="74">
        <v>20</v>
      </c>
      <c r="G1179" s="74">
        <v>143.30982399999999</v>
      </c>
      <c r="H1179" s="75">
        <f t="shared" ref="H1179:H1184" si="286">IF(ABS(G1179-G1178)&lt;0.05,0,G1179-G1178)</f>
        <v>0.70171400000000972</v>
      </c>
      <c r="I1179" s="75">
        <f t="shared" ref="I1179" si="287">IF(ABS(G1179-G1127)&lt;0.05,0,G1179-G1127)</f>
        <v>3.1756009999999719</v>
      </c>
      <c r="J1179" s="74">
        <v>52.95</v>
      </c>
      <c r="K1179" s="74">
        <v>20</v>
      </c>
    </row>
    <row r="1180" spans="1:11" ht="14" x14ac:dyDescent="0.25">
      <c r="A1180" s="77">
        <v>45978</v>
      </c>
      <c r="B1180" s="74">
        <v>135.07288800000001</v>
      </c>
      <c r="C1180" s="75">
        <f t="shared" si="278"/>
        <v>0.42474900000001981</v>
      </c>
      <c r="D1180" s="75">
        <f t="shared" ref="D1180" si="288">IF(ABS(B1180-B1128)&lt;0.05,0,B1180-B1128)</f>
        <v>0.22445600000000354</v>
      </c>
      <c r="E1180" s="74">
        <v>52.95</v>
      </c>
      <c r="F1180" s="74">
        <v>20</v>
      </c>
      <c r="G1180" s="74">
        <v>143.97318100000001</v>
      </c>
      <c r="H1180" s="75">
        <f t="shared" si="286"/>
        <v>0.66335700000001907</v>
      </c>
      <c r="I1180" s="75">
        <f t="shared" ref="I1180" si="289">IF(ABS(G1180-G1128)&lt;0.05,0,G1180-G1128)</f>
        <v>3.4858020000000352</v>
      </c>
      <c r="J1180" s="74">
        <v>52.95</v>
      </c>
      <c r="K1180" s="74">
        <v>20</v>
      </c>
    </row>
    <row r="1181" spans="1:11" ht="14" x14ac:dyDescent="0.25">
      <c r="A1181" s="77">
        <v>45985</v>
      </c>
      <c r="B1181" s="74">
        <v>136.07401099999998</v>
      </c>
      <c r="C1181" s="75">
        <f>IF(ABS(B1181-B1180)&lt;0.05,0,B1181-B1180)</f>
        <v>1.0011229999999784</v>
      </c>
      <c r="D1181" s="75">
        <f t="shared" ref="D1181" si="290">IF(ABS(B1181-B1129)&lt;0.05,0,B1181-B1129)</f>
        <v>0.70805099999998333</v>
      </c>
      <c r="E1181" s="74">
        <v>52.95</v>
      </c>
      <c r="F1181" s="74">
        <v>20</v>
      </c>
      <c r="G1181" s="74">
        <v>145.39935000000003</v>
      </c>
      <c r="H1181" s="75">
        <f t="shared" si="286"/>
        <v>1.4261690000000158</v>
      </c>
      <c r="I1181" s="75">
        <f t="shared" ref="I1181" si="291">IF(ABS(G1181-G1129)&lt;0.05,0,G1181-G1129)</f>
        <v>3.9945100000000195</v>
      </c>
      <c r="J1181" s="74">
        <v>52.95</v>
      </c>
      <c r="K1181" s="74">
        <v>20</v>
      </c>
    </row>
    <row r="1182" spans="1:11" ht="14" x14ac:dyDescent="0.25">
      <c r="A1182" s="77">
        <v>45992</v>
      </c>
      <c r="B1182" s="74">
        <v>136.61131399999999</v>
      </c>
      <c r="C1182" s="75">
        <f>IF(ABS(B1182-B1181)&lt;0.05,0,B1182-B1181)</f>
        <v>0.53730300000000852</v>
      </c>
      <c r="D1182" s="75">
        <f t="shared" ref="D1182" si="292">IF(ABS(B1182-B1130)&lt;0.05,0,B1182-B1130)</f>
        <v>0.68547300000000178</v>
      </c>
      <c r="E1182" s="74">
        <v>52.95</v>
      </c>
      <c r="F1182" s="74">
        <v>20</v>
      </c>
      <c r="G1182" s="74">
        <v>146.19905800000001</v>
      </c>
      <c r="H1182" s="75">
        <f t="shared" si="286"/>
        <v>0.79970799999998121</v>
      </c>
      <c r="I1182" s="75">
        <f t="shared" ref="I1182" si="293">IF(ABS(G1182-G1130)&lt;0.05,0,G1182-G1130)</f>
        <v>4.1589130000000409</v>
      </c>
      <c r="J1182" s="74">
        <v>52.95</v>
      </c>
      <c r="K1182" s="74">
        <v>20</v>
      </c>
    </row>
    <row r="1183" spans="1:11" ht="14" x14ac:dyDescent="0.25">
      <c r="A1183" s="77">
        <v>45999</v>
      </c>
      <c r="B1183" s="74">
        <v>136.67733200000001</v>
      </c>
      <c r="C1183" s="75">
        <f>IF(ABS(B1183-B1182)&lt;0.05,0,B1183-B1182)</f>
        <v>6.6018000000013899E-2</v>
      </c>
      <c r="D1183" s="75">
        <f t="shared" ref="D1183" si="294">IF(ABS(B1183-B1131)&lt;0.05,0,B1183-B1131)</f>
        <v>0.45088200000000711</v>
      </c>
      <c r="E1183" s="74">
        <v>52.95</v>
      </c>
      <c r="F1183" s="74">
        <v>20</v>
      </c>
      <c r="G1183" s="74">
        <v>146.23381900000001</v>
      </c>
      <c r="H1183" s="75">
        <f t="shared" si="286"/>
        <v>0</v>
      </c>
      <c r="I1183" s="75">
        <f t="shared" ref="I1183" si="295">IF(ABS(G1183-G1131)&lt;0.05,0,G1183-G1131)</f>
        <v>3.746532000000002</v>
      </c>
      <c r="J1183" s="74">
        <v>52.95</v>
      </c>
      <c r="K1183" s="74">
        <v>20</v>
      </c>
    </row>
    <row r="1184" spans="1:11" ht="14" x14ac:dyDescent="0.25">
      <c r="A1184" s="77">
        <v>46006</v>
      </c>
      <c r="B1184" s="74">
        <v>136.83113299999999</v>
      </c>
      <c r="C1184" s="75">
        <f>IF(ABS(B1184-B1183)&lt;0.05,0,B1184-B1183)</f>
        <v>0.1538009999999872</v>
      </c>
      <c r="D1184" s="75">
        <f t="shared" ref="D1184" si="296">IF(ABS(B1184-B1132)&lt;0.05,0,B1184-B1132)</f>
        <v>0.43985200000000191</v>
      </c>
      <c r="E1184" s="74">
        <v>52.95</v>
      </c>
      <c r="F1184" s="74">
        <v>20</v>
      </c>
      <c r="G1184" s="74">
        <v>146.14285699999999</v>
      </c>
      <c r="H1184" s="75">
        <f t="shared" si="286"/>
        <v>-9.0962000000018861E-2</v>
      </c>
      <c r="I1184" s="75">
        <f t="shared" ref="I1184" si="297">IF(ABS(G1184-G1132)&lt;0.05,0,G1184-G1132)</f>
        <v>3.4337419999999668</v>
      </c>
      <c r="J1184" s="74">
        <v>52.95</v>
      </c>
      <c r="K1184" s="74">
        <v>20</v>
      </c>
    </row>
    <row r="1185" spans="1:11" ht="14" x14ac:dyDescent="0.25">
      <c r="A1185" s="77">
        <v>46013</v>
      </c>
      <c r="B1185" s="74">
        <v>136.22822000000002</v>
      </c>
      <c r="C1185" s="75">
        <f>IF(ABS(B1185-B1184)&lt;0.05,0,B1185-B1184)</f>
        <v>-0.6029129999999725</v>
      </c>
      <c r="D1185" s="75">
        <f>IF(ABS(B1185-B1133)&lt;0.05,0,B1185-B1133)</f>
        <v>-0.15680899999998132</v>
      </c>
      <c r="E1185" s="74">
        <v>52.95</v>
      </c>
      <c r="F1185" s="74">
        <v>20</v>
      </c>
      <c r="G1185" s="74">
        <v>145.44801899999999</v>
      </c>
      <c r="H1185" s="75">
        <f>IF(ABS(G1185-G1184)&lt;0.05,0,G1185-G1184)</f>
        <v>-0.69483800000000429</v>
      </c>
      <c r="I1185" s="75">
        <f>IF(ABS(G1185-G1133)&lt;0.05,0,G1185-G1133)</f>
        <v>2.5999459999999885</v>
      </c>
      <c r="J1185" s="74">
        <v>52.95</v>
      </c>
      <c r="K1185" s="74">
        <v>20</v>
      </c>
    </row>
    <row r="1186" spans="1:11" ht="14" x14ac:dyDescent="0.25">
      <c r="A1186" s="77">
        <v>46020</v>
      </c>
      <c r="B1186" s="74">
        <v>135.338199</v>
      </c>
      <c r="C1186" s="75">
        <f t="shared" ref="C1186:C1187" si="298">IF(ABS(B1186-B1185)&lt;0.05,0,B1186-B1185)</f>
        <v>-0.8900210000000186</v>
      </c>
      <c r="D1186" s="75">
        <f t="shared" ref="D1186:D1187" si="299">IF(ABS(B1186-B1134)&lt;0.05,0,B1186-B1134)</f>
        <v>-1.1531090000000006</v>
      </c>
      <c r="E1186" s="74">
        <v>52.95</v>
      </c>
      <c r="F1186" s="74">
        <v>20</v>
      </c>
      <c r="G1186" s="74">
        <v>144.58739800000001</v>
      </c>
      <c r="H1186" s="75">
        <f t="shared" ref="H1186:H1187" si="300">IF(ABS(G1186-G1185)&lt;0.05,0,G1186-G1185)</f>
        <v>-0.86062099999998054</v>
      </c>
      <c r="I1186" s="75">
        <f t="shared" ref="I1186:I1187" si="301">IF(ABS(G1186-G1134)&lt;0.05,0,G1186-G1134)</f>
        <v>1.6063810000000274</v>
      </c>
      <c r="J1186" s="74">
        <v>52.95</v>
      </c>
      <c r="K1186" s="74">
        <v>20</v>
      </c>
    </row>
    <row r="1187" spans="1:11" ht="14" x14ac:dyDescent="0.25">
      <c r="A1187" s="77">
        <v>46027</v>
      </c>
      <c r="B1187" s="74">
        <v>134.89606800000001</v>
      </c>
      <c r="C1187" s="75">
        <f t="shared" si="298"/>
        <v>-0.44213099999998917</v>
      </c>
      <c r="D1187" s="75">
        <f t="shared" si="299"/>
        <v>-1.707178999999968</v>
      </c>
      <c r="E1187" s="74">
        <v>52.95</v>
      </c>
      <c r="F1187" s="74">
        <v>20</v>
      </c>
      <c r="G1187" s="74">
        <v>144.18756299999998</v>
      </c>
      <c r="H1187" s="75">
        <f t="shared" si="300"/>
        <v>-0.39983500000002437</v>
      </c>
      <c r="I1187" s="75">
        <f t="shared" si="301"/>
        <v>0.89232099999998127</v>
      </c>
      <c r="J1187" s="74">
        <v>52.95</v>
      </c>
      <c r="K1187" s="74">
        <v>20</v>
      </c>
    </row>
    <row r="1188" spans="1:11" ht="14" x14ac:dyDescent="0.25">
      <c r="A1188" s="77">
        <v>46034</v>
      </c>
      <c r="B1188" s="74">
        <v>133.43266399999999</v>
      </c>
      <c r="C1188" s="75">
        <f>IF(ABS(B1188-B1187)&lt;0.05,0,B1188-B1187)</f>
        <v>-1.4634040000000255</v>
      </c>
      <c r="D1188" s="75">
        <f t="shared" ref="D1188" si="302">IF(ABS(B1188-B1136)&lt;0.05,0,B1188-B1136)</f>
        <v>-3.077321000000012</v>
      </c>
      <c r="E1188" s="74">
        <v>52.95</v>
      </c>
      <c r="F1188" s="74">
        <v>20</v>
      </c>
      <c r="G1188" s="74">
        <v>142.62878900000001</v>
      </c>
      <c r="H1188" s="75">
        <f t="shared" ref="H1188" si="303">IF(ABS(G1188-G1187)&lt;0.05,0,G1188-G1187)</f>
        <v>-1.5587739999999712</v>
      </c>
      <c r="I1188" s="75">
        <f t="shared" ref="I1188" si="304">IF(ABS(G1188-G1136)&lt;0.05,0,G1188-G1136)</f>
        <v>-0.699641999999983</v>
      </c>
      <c r="J1188" s="74">
        <v>52.95</v>
      </c>
      <c r="K1188" s="74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81640625" defaultRowHeight="12.5" x14ac:dyDescent="0.25"/>
  <cols>
    <col min="5" max="5" width="10.81640625" customWidth="1"/>
  </cols>
  <sheetData>
    <row r="1" spans="1:5" s="3" customFormat="1" ht="18" customHeight="1" x14ac:dyDescent="0.35">
      <c r="A1" s="89" t="s">
        <v>48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35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81640625" defaultRowHeight="12.5" x14ac:dyDescent="0.25"/>
  <cols>
    <col min="1" max="1" width="48.81640625" style="3" customWidth="1"/>
    <col min="2" max="2" width="9.1796875" style="3" customWidth="1"/>
    <col min="3" max="16384" width="8.81640625" style="3"/>
  </cols>
  <sheetData>
    <row r="1" spans="1:4" ht="18" customHeight="1" x14ac:dyDescent="0.25">
      <c r="A1" s="88" t="s">
        <v>49</v>
      </c>
    </row>
    <row r="2" spans="1:4" ht="18" customHeight="1" x14ac:dyDescent="0.25">
      <c r="A2" s="19" t="s">
        <v>50</v>
      </c>
    </row>
    <row r="3" spans="1:4" ht="18" customHeight="1" x14ac:dyDescent="0.25">
      <c r="A3" s="19" t="s">
        <v>109</v>
      </c>
    </row>
    <row r="4" spans="1:4" ht="18" customHeight="1" x14ac:dyDescent="0.25">
      <c r="A4" s="19" t="s">
        <v>110</v>
      </c>
    </row>
    <row r="5" spans="1:4" ht="18" customHeight="1" x14ac:dyDescent="0.25">
      <c r="A5" s="24" t="s">
        <v>114</v>
      </c>
    </row>
    <row r="6" spans="1:4" ht="18" customHeight="1" x14ac:dyDescent="0.25">
      <c r="A6" s="98" t="s">
        <v>111</v>
      </c>
    </row>
    <row r="7" spans="1:4" ht="18" customHeight="1" x14ac:dyDescent="0.25">
      <c r="A7" s="24" t="s">
        <v>112</v>
      </c>
    </row>
    <row r="8" spans="1:4" ht="18" customHeight="1" x14ac:dyDescent="0.25">
      <c r="A8" s="24" t="s">
        <v>113</v>
      </c>
    </row>
    <row r="9" spans="1:4" ht="18" customHeight="1" x14ac:dyDescent="0.25">
      <c r="A9" s="19" t="s">
        <v>115</v>
      </c>
      <c r="B9"/>
    </row>
    <row r="10" spans="1:4" ht="18" customHeight="1" x14ac:dyDescent="0.25">
      <c r="A10" s="58" t="s">
        <v>51</v>
      </c>
      <c r="B10"/>
    </row>
    <row r="11" spans="1:4" ht="18" customHeight="1" x14ac:dyDescent="0.25">
      <c r="A11" s="33" t="s">
        <v>52</v>
      </c>
    </row>
    <row r="12" spans="1:4" ht="18" customHeight="1" x14ac:dyDescent="0.25">
      <c r="A12" s="20" t="s">
        <v>53</v>
      </c>
    </row>
    <row r="13" spans="1:4" ht="18" customHeight="1" x14ac:dyDescent="0.25">
      <c r="A13" s="20" t="s">
        <v>54</v>
      </c>
    </row>
    <row r="14" spans="1:4" ht="18" customHeight="1" x14ac:dyDescent="0.35">
      <c r="A14" s="1" t="s">
        <v>55</v>
      </c>
      <c r="B14" s="14"/>
      <c r="C14" s="2"/>
      <c r="D14" s="2"/>
    </row>
    <row r="15" spans="1:4" s="69" customFormat="1" ht="18" customHeight="1" x14ac:dyDescent="0.25">
      <c r="A15" s="71" t="s">
        <v>36</v>
      </c>
      <c r="B15" s="72" t="s">
        <v>56</v>
      </c>
      <c r="C15" s="70"/>
      <c r="D15" s="70"/>
    </row>
    <row r="16" spans="1:4" s="69" customFormat="1" ht="18" customHeight="1" x14ac:dyDescent="0.25">
      <c r="A16" s="70" t="s">
        <v>37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38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39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40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41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42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43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44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45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46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47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57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35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08" zoomScale="85" zoomScaleNormal="85" workbookViewId="0">
      <selection activeCell="K723" sqref="K723"/>
    </sheetView>
  </sheetViews>
  <sheetFormatPr defaultRowHeight="12.5" x14ac:dyDescent="0.25"/>
  <cols>
    <col min="1" max="1" width="26.81640625" customWidth="1"/>
    <col min="2" max="3" width="10.81640625" customWidth="1"/>
    <col min="5" max="6" width="2.81640625" customWidth="1"/>
    <col min="7" max="7" width="21.453125" customWidth="1"/>
    <col min="8" max="9" width="10" customWidth="1"/>
    <col min="10" max="10" width="2.81640625" customWidth="1"/>
    <col min="11" max="16" width="12.81640625" customWidth="1"/>
    <col min="17" max="18" width="2.81640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107</v>
      </c>
      <c r="B1" s="31"/>
      <c r="C1" s="31"/>
      <c r="D1" s="28"/>
      <c r="E1" s="28"/>
      <c r="F1" s="28"/>
      <c r="G1" s="31" t="s">
        <v>108</v>
      </c>
      <c r="H1" s="28"/>
      <c r="I1" s="28"/>
      <c r="J1" s="28"/>
      <c r="K1" s="31" t="s">
        <v>70</v>
      </c>
      <c r="L1" s="31"/>
      <c r="M1" s="31"/>
      <c r="N1" s="93"/>
      <c r="O1" s="93"/>
      <c r="P1" s="93"/>
      <c r="Q1" s="93"/>
      <c r="R1" s="28"/>
      <c r="S1" s="31" t="s">
        <v>71</v>
      </c>
      <c r="T1" s="28"/>
    </row>
    <row r="2" spans="1:20" ht="32.15" customHeight="1" x14ac:dyDescent="0.25">
      <c r="A2" s="33"/>
      <c r="B2" s="31" t="s">
        <v>72</v>
      </c>
      <c r="C2" s="94"/>
      <c r="D2" s="31" t="s">
        <v>73</v>
      </c>
      <c r="E2" s="28"/>
      <c r="F2" s="28"/>
      <c r="G2" s="38" t="s">
        <v>74</v>
      </c>
      <c r="H2" s="31" t="s">
        <v>72</v>
      </c>
      <c r="I2" s="94"/>
      <c r="J2" s="94"/>
      <c r="K2" s="31" t="s">
        <v>72</v>
      </c>
      <c r="L2" s="31"/>
      <c r="M2" s="31"/>
      <c r="N2" s="93"/>
      <c r="O2" s="93"/>
      <c r="P2" s="93"/>
      <c r="Q2" s="93"/>
      <c r="R2" s="28"/>
      <c r="S2" s="31" t="s">
        <v>75</v>
      </c>
      <c r="T2" s="28"/>
    </row>
    <row r="3" spans="1:20" ht="32.15" customHeight="1" x14ac:dyDescent="0.25">
      <c r="A3" s="38" t="s">
        <v>4</v>
      </c>
      <c r="B3" s="95" t="s">
        <v>32</v>
      </c>
      <c r="C3" s="95" t="s">
        <v>34</v>
      </c>
      <c r="D3" s="28"/>
      <c r="E3" s="28"/>
      <c r="F3" s="28"/>
      <c r="G3" s="38"/>
      <c r="H3" s="95" t="s">
        <v>32</v>
      </c>
      <c r="I3" s="95" t="s">
        <v>34</v>
      </c>
      <c r="J3" s="95"/>
      <c r="K3" s="95" t="s">
        <v>32</v>
      </c>
      <c r="L3" s="96" t="s">
        <v>76</v>
      </c>
      <c r="M3" s="96" t="s">
        <v>77</v>
      </c>
      <c r="N3" s="95" t="s">
        <v>34</v>
      </c>
      <c r="O3" s="96" t="s">
        <v>76</v>
      </c>
      <c r="P3" s="96" t="s">
        <v>77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45670</v>
      </c>
      <c r="B4" s="8">
        <f>INDEX(Data!B:B,MATCH(MAX(Data!$A:$A),Data!$A:$A,0)-$D4)</f>
        <v>136.509985</v>
      </c>
      <c r="C4" s="8">
        <f>INDEX(Data!G:G,MATCH(MAX(Data!$A:$A),Data!$A:$A,0)-$D4)</f>
        <v>143.32843099999999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133.43266399999999</v>
      </c>
      <c r="L4" s="15">
        <f>INDEX(Data!C:C,MATCH(MAX(Data!$A:$A),Data!$A:$A,0))</f>
        <v>-1.4634040000000255</v>
      </c>
      <c r="M4" s="15">
        <f>INDEX(Data!D:D,MATCH(MAX(Data!$A:$A),Data!$A:$A,0))</f>
        <v>-3.077321000000012</v>
      </c>
      <c r="N4" s="13">
        <f>INDEX(Data!G:G,MATCH(MAX(Data!$A:$A),Data!$A:$A,0))</f>
        <v>142.62878900000001</v>
      </c>
      <c r="O4" s="15">
        <f>INDEX(Data!H:H,MATCH(MAX(Data!$A:$A),Data!$A:$A,0))</f>
        <v>-1.5587739999999712</v>
      </c>
      <c r="P4" s="15">
        <f>INDEX(Data!I:I,MATCH(MAX(Data!$A:$A),Data!$A:$A,0))</f>
        <v>-0.699641999999983</v>
      </c>
      <c r="Q4" s="5"/>
      <c r="S4" s="11" t="s">
        <v>78</v>
      </c>
      <c r="T4" s="11" t="s">
        <v>79</v>
      </c>
    </row>
    <row r="5" spans="1:20" ht="15.5" x14ac:dyDescent="0.35">
      <c r="A5" s="9">
        <f>INDEX(Data!A:A,MATCH(MAX(Data!$A:$A),Data!$A:$A,0)-$D5)</f>
        <v>45677</v>
      </c>
      <c r="B5" s="8">
        <f>INDEX(Data!B:B,MATCH(MAX(Data!$A:$A),Data!$A:$A,0)-$D5)</f>
        <v>136.96904999999998</v>
      </c>
      <c r="C5" s="8">
        <f>INDEX(Data!G:G,MATCH(MAX(Data!$A:$A),Data!$A:$A,0)-$D5)</f>
        <v>144.26750099999998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80</v>
      </c>
      <c r="T5" s="11" t="s">
        <v>81</v>
      </c>
    </row>
    <row r="6" spans="1:20" ht="15.5" x14ac:dyDescent="0.35">
      <c r="A6" s="9">
        <f>INDEX(Data!A:A,MATCH(MAX(Data!$A:$A),Data!$A:$A,0)-$D6)</f>
        <v>45684</v>
      </c>
      <c r="B6" s="8">
        <f>INDEX(Data!B:B,MATCH(MAX(Data!$A:$A),Data!$A:$A,0)-$D6)</f>
        <v>138.36296499999997</v>
      </c>
      <c r="C6" s="8">
        <f>INDEX(Data!G:G,MATCH(MAX(Data!$A:$A),Data!$A:$A,0)-$D6)</f>
        <v>145.574793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82</v>
      </c>
      <c r="T6" s="11" t="str">
        <f>INDEX($T$17:$T$28,MONTH(MIN(A:A)))</f>
        <v>January</v>
      </c>
    </row>
    <row r="7" spans="1:20" ht="15.5" x14ac:dyDescent="0.35">
      <c r="A7" s="9">
        <f>INDEX(Data!A:A,MATCH(MAX(Data!$A:$A),Data!$A:$A,0)-$D7)</f>
        <v>45691</v>
      </c>
      <c r="B7" s="8">
        <f>INDEX(Data!B:B,MATCH(MAX(Data!$A:$A),Data!$A:$A,0)-$D7)</f>
        <v>138.741411</v>
      </c>
      <c r="C7" s="8">
        <f>INDEX(Data!G:G,MATCH(MAX(Data!$A:$A),Data!$A:$A,0)-$D7)</f>
        <v>146.13087400000001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80</v>
      </c>
      <c r="T7" s="11"/>
    </row>
    <row r="8" spans="1:20" ht="15.5" x14ac:dyDescent="0.35">
      <c r="A8" s="9">
        <f>INDEX(Data!A:A,MATCH(MAX(Data!$A:$A),Data!$A:$A,0)-$D8)</f>
        <v>45698</v>
      </c>
      <c r="B8" s="8">
        <f>INDEX(Data!B:B,MATCH(MAX(Data!$A:$A),Data!$A:$A,0)-$D8)</f>
        <v>139.021659</v>
      </c>
      <c r="C8" s="8">
        <f>INDEX(Data!G:G,MATCH(MAX(Data!$A:$A),Data!$A:$A,0)-$D8)</f>
        <v>146.29333200000002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83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45705</v>
      </c>
      <c r="B9" s="8">
        <f>INDEX(Data!B:B,MATCH(MAX(Data!$A:$A),Data!$A:$A,0)-$D9)</f>
        <v>139.217579</v>
      </c>
      <c r="C9" s="8">
        <f>INDEX(Data!G:G,MATCH(MAX(Data!$A:$A),Data!$A:$A,0)-$D9)</f>
        <v>146.44771800000001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84</v>
      </c>
      <c r="T9" s="11" t="str">
        <f>DAY(MAX(A:A))&amp;" "</f>
        <v xml:space="preserve">12 </v>
      </c>
    </row>
    <row r="10" spans="1:20" ht="15.5" x14ac:dyDescent="0.35">
      <c r="A10" s="9">
        <f>INDEX(Data!A:A,MATCH(MAX(Data!$A:$A),Data!$A:$A,0)-$D10)</f>
        <v>45712</v>
      </c>
      <c r="B10" s="8">
        <f>INDEX(Data!B:B,MATCH(MAX(Data!$A:$A),Data!$A:$A,0)-$D10)</f>
        <v>139.62223799999998</v>
      </c>
      <c r="C10" s="8">
        <f>INDEX(Data!G:G,MATCH(MAX(Data!$A:$A),Data!$A:$A,0)-$D10)</f>
        <v>146.82192700000002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82</v>
      </c>
      <c r="T10" s="11" t="str">
        <f>INDEX($T$17:$T$28,MONTH(MAX(A:A)))</f>
        <v>January</v>
      </c>
    </row>
    <row r="11" spans="1:20" ht="15.5" x14ac:dyDescent="0.35">
      <c r="A11" s="9">
        <f>INDEX(Data!A:A,MATCH(MAX(Data!$A:$A),Data!$A:$A,0)-$D11)</f>
        <v>45719</v>
      </c>
      <c r="B11" s="8">
        <f>INDEX(Data!B:B,MATCH(MAX(Data!$A:$A),Data!$A:$A,0)-$D11)</f>
        <v>139.612483</v>
      </c>
      <c r="C11" s="8">
        <f>INDEX(Data!G:G,MATCH(MAX(Data!$A:$A),Data!$A:$A,0)-$D11)</f>
        <v>146.884027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80</v>
      </c>
      <c r="T11" s="11" t="s">
        <v>81</v>
      </c>
    </row>
    <row r="12" spans="1:20" ht="15.5" x14ac:dyDescent="0.35">
      <c r="A12" s="9">
        <f>INDEX(Data!A:A,MATCH(MAX(Data!$A:$A),Data!$A:$A,0)-$D12)</f>
        <v>45726</v>
      </c>
      <c r="B12" s="8">
        <f>INDEX(Data!B:B,MATCH(MAX(Data!$A:$A),Data!$A:$A,0)-$D12)</f>
        <v>139.41696999999999</v>
      </c>
      <c r="C12" s="8">
        <f>INDEX(Data!G:G,MATCH(MAX(Data!$A:$A),Data!$A:$A,0)-$D12)</f>
        <v>146.57529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83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45733</v>
      </c>
      <c r="B13" s="8">
        <f>INDEX(Data!B:B,MATCH(MAX(Data!$A:$A),Data!$A:$A,0)-$D13)</f>
        <v>137.971654</v>
      </c>
      <c r="C13" s="8">
        <f>INDEX(Data!G:G,MATCH(MAX(Data!$A:$A),Data!$A:$A,0)-$D13)</f>
        <v>145.38482700000003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45740</v>
      </c>
      <c r="B14" s="8">
        <f>INDEX(Data!B:B,MATCH(MAX(Data!$A:$A),Data!$A:$A,0)-$D14)</f>
        <v>135.607957</v>
      </c>
      <c r="C14" s="8">
        <f>INDEX(Data!G:G,MATCH(MAX(Data!$A:$A),Data!$A:$A,0)-$D14)</f>
        <v>143.07308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12 January 2026</v>
      </c>
      <c r="T14" s="4"/>
    </row>
    <row r="15" spans="1:20" ht="15.5" x14ac:dyDescent="0.35">
      <c r="A15" s="9">
        <f>INDEX(Data!A:A,MATCH(MAX(Data!$A:$A),Data!$A:$A,0)-$D15)</f>
        <v>45747</v>
      </c>
      <c r="B15" s="8">
        <f>INDEX(Data!B:B,MATCH(MAX(Data!$A:$A),Data!$A:$A,0)-$D15)</f>
        <v>134.907432</v>
      </c>
      <c r="C15" s="8">
        <f>INDEX(Data!G:G,MATCH(MAX(Data!$A:$A),Data!$A:$A,0)-$D15)</f>
        <v>142.255009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45754</v>
      </c>
      <c r="B16" s="8">
        <f>INDEX(Data!B:B,MATCH(MAX(Data!$A:$A),Data!$A:$A,0)-$D16)</f>
        <v>135.24951899999999</v>
      </c>
      <c r="C16" s="8">
        <f>INDEX(Data!G:G,MATCH(MAX(Data!$A:$A),Data!$A:$A,0)-$D16)</f>
        <v>142.54169199999998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85</v>
      </c>
      <c r="T16" s="4"/>
    </row>
    <row r="17" spans="1:20" ht="15.5" x14ac:dyDescent="0.35">
      <c r="A17" s="9">
        <f>INDEX(Data!A:A,MATCH(MAX(Data!$A:$A),Data!$A:$A,0)-$D17)</f>
        <v>45761</v>
      </c>
      <c r="B17" s="8">
        <f>INDEX(Data!B:B,MATCH(MAX(Data!$A:$A),Data!$A:$A,0)-$D17)</f>
        <v>134.847714</v>
      </c>
      <c r="C17" s="8">
        <f>INDEX(Data!G:G,MATCH(MAX(Data!$A:$A),Data!$A:$A,0)-$D17)</f>
        <v>141.97461799999999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86</v>
      </c>
    </row>
    <row r="18" spans="1:20" ht="15.5" x14ac:dyDescent="0.35">
      <c r="A18" s="9">
        <f>INDEX(Data!A:A,MATCH(MAX(Data!$A:$A),Data!$A:$A,0)-$D18)</f>
        <v>45768</v>
      </c>
      <c r="B18" s="8">
        <f>INDEX(Data!B:B,MATCH(MAX(Data!$A:$A),Data!$A:$A,0)-$D18)</f>
        <v>134.26116099999999</v>
      </c>
      <c r="C18" s="8">
        <f>INDEX(Data!G:G,MATCH(MAX(Data!$A:$A),Data!$A:$A,0)-$D18)</f>
        <v>141.44217399999999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87</v>
      </c>
    </row>
    <row r="19" spans="1:20" ht="15.5" x14ac:dyDescent="0.35">
      <c r="A19" s="9">
        <f>INDEX(Data!A:A,MATCH(MAX(Data!$A:$A),Data!$A:$A,0)-$D19)</f>
        <v>45775</v>
      </c>
      <c r="B19" s="8">
        <f>INDEX(Data!B:B,MATCH(MAX(Data!$A:$A),Data!$A:$A,0)-$D19)</f>
        <v>133.8357</v>
      </c>
      <c r="C19" s="8">
        <f>INDEX(Data!G:G,MATCH(MAX(Data!$A:$A),Data!$A:$A,0)-$D19)</f>
        <v>140.81097600000001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88</v>
      </c>
    </row>
    <row r="20" spans="1:20" ht="15.5" x14ac:dyDescent="0.35">
      <c r="A20" s="9">
        <f>INDEX(Data!A:A,MATCH(MAX(Data!$A:$A),Data!$A:$A,0)-$D20)</f>
        <v>45782</v>
      </c>
      <c r="B20" s="8">
        <f>INDEX(Data!B:B,MATCH(MAX(Data!$A:$A),Data!$A:$A,0)-$D20)</f>
        <v>133.18171299999997</v>
      </c>
      <c r="C20" s="8">
        <f>INDEX(Data!G:G,MATCH(MAX(Data!$A:$A),Data!$A:$A,0)-$D20)</f>
        <v>140.05547999999999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89</v>
      </c>
    </row>
    <row r="21" spans="1:20" ht="15.5" x14ac:dyDescent="0.35">
      <c r="A21" s="9">
        <f>INDEX(Data!A:A,MATCH(MAX(Data!$A:$A),Data!$A:$A,0)-$D21)</f>
        <v>45789</v>
      </c>
      <c r="B21" s="8">
        <f>INDEX(Data!B:B,MATCH(MAX(Data!$A:$A),Data!$A:$A,0)-$D21)</f>
        <v>132.31878399999999</v>
      </c>
      <c r="C21" s="8">
        <f>INDEX(Data!G:G,MATCH(MAX(Data!$A:$A),Data!$A:$A,0)-$D21)</f>
        <v>139.19787699999998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90</v>
      </c>
    </row>
    <row r="22" spans="1:20" ht="15.5" x14ac:dyDescent="0.35">
      <c r="A22" s="9">
        <f>INDEX(Data!A:A,MATCH(MAX(Data!$A:$A),Data!$A:$A,0)-$D22)</f>
        <v>45796</v>
      </c>
      <c r="B22" s="8">
        <f>INDEX(Data!B:B,MATCH(MAX(Data!$A:$A),Data!$A:$A,0)-$D22)</f>
        <v>132.074648</v>
      </c>
      <c r="C22" s="8">
        <f>INDEX(Data!G:G,MATCH(MAX(Data!$A:$A),Data!$A:$A,0)-$D22)</f>
        <v>138.57350100000002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91</v>
      </c>
    </row>
    <row r="23" spans="1:20" ht="15.5" x14ac:dyDescent="0.35">
      <c r="A23" s="9">
        <f>INDEX(Data!A:A,MATCH(MAX(Data!$A:$A),Data!$A:$A,0)-$D23)</f>
        <v>45803</v>
      </c>
      <c r="B23" s="8">
        <f>INDEX(Data!B:B,MATCH(MAX(Data!$A:$A),Data!$A:$A,0)-$D23)</f>
        <v>131.98617000000002</v>
      </c>
      <c r="C23" s="8">
        <f>INDEX(Data!G:G,MATCH(MAX(Data!$A:$A),Data!$A:$A,0)-$D23)</f>
        <v>138.367391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92</v>
      </c>
    </row>
    <row r="24" spans="1:20" ht="15.5" x14ac:dyDescent="0.35">
      <c r="A24" s="9">
        <f>INDEX(Data!A:A,MATCH(MAX(Data!$A:$A),Data!$A:$A,0)-$D24)</f>
        <v>45810</v>
      </c>
      <c r="B24" s="8">
        <f>INDEX(Data!B:B,MATCH(MAX(Data!$A:$A),Data!$A:$A,0)-$D24)</f>
        <v>131.45446399999997</v>
      </c>
      <c r="C24" s="8">
        <f>INDEX(Data!G:G,MATCH(MAX(Data!$A:$A),Data!$A:$A,0)-$D24)</f>
        <v>138.08744300000001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93</v>
      </c>
    </row>
    <row r="25" spans="1:20" ht="15.5" x14ac:dyDescent="0.35">
      <c r="A25" s="9">
        <f>INDEX(Data!A:A,MATCH(MAX(Data!$A:$A),Data!$A:$A,0)-$D25)</f>
        <v>45817</v>
      </c>
      <c r="B25" s="8">
        <f>INDEX(Data!B:B,MATCH(MAX(Data!$A:$A),Data!$A:$A,0)-$D25)</f>
        <v>131.347556</v>
      </c>
      <c r="C25" s="8">
        <f>INDEX(Data!G:G,MATCH(MAX(Data!$A:$A),Data!$A:$A,0)-$D25)</f>
        <v>137.53903200000002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94</v>
      </c>
    </row>
    <row r="26" spans="1:20" ht="15.5" x14ac:dyDescent="0.35">
      <c r="A26" s="9">
        <f>INDEX(Data!A:A,MATCH(MAX(Data!$A:$A),Data!$A:$A,0)-$D26)</f>
        <v>45824</v>
      </c>
      <c r="B26" s="8">
        <f>INDEX(Data!B:B,MATCH(MAX(Data!$A:$A),Data!$A:$A,0)-$D26)</f>
        <v>131.39140800000001</v>
      </c>
      <c r="C26" s="8">
        <f>INDEX(Data!G:G,MATCH(MAX(Data!$A:$A),Data!$A:$A,0)-$D26)</f>
        <v>137.542314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95</v>
      </c>
    </row>
    <row r="27" spans="1:20" ht="15.5" x14ac:dyDescent="0.35">
      <c r="A27" s="9">
        <f>INDEX(Data!A:A,MATCH(MAX(Data!$A:$A),Data!$A:$A,0)-$D27)</f>
        <v>45831</v>
      </c>
      <c r="B27" s="8">
        <f>INDEX(Data!B:B,MATCH(MAX(Data!$A:$A),Data!$A:$A,0)-$D27)</f>
        <v>132.329373</v>
      </c>
      <c r="C27" s="8">
        <f>INDEX(Data!G:G,MATCH(MAX(Data!$A:$A),Data!$A:$A,0)-$D27)</f>
        <v>139.02959200000001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96</v>
      </c>
    </row>
    <row r="28" spans="1:20" ht="15.5" x14ac:dyDescent="0.35">
      <c r="A28" s="9">
        <f>INDEX(Data!A:A,MATCH(MAX(Data!$A:$A),Data!$A:$A,0)-$D28)</f>
        <v>45838</v>
      </c>
      <c r="B28" s="8">
        <f>INDEX(Data!B:B,MATCH(MAX(Data!$A:$A),Data!$A:$A,0)-$D28)</f>
        <v>132.95441300000002</v>
      </c>
      <c r="C28" s="8">
        <f>INDEX(Data!G:G,MATCH(MAX(Data!$A:$A),Data!$A:$A,0)-$D28)</f>
        <v>140.26409099999998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97</v>
      </c>
    </row>
    <row r="29" spans="1:20" ht="15.5" x14ac:dyDescent="0.35">
      <c r="A29" s="9">
        <f>INDEX(Data!A:A,MATCH(MAX(Data!$A:$A),Data!$A:$A,0)-$D29)</f>
        <v>45845</v>
      </c>
      <c r="B29" s="8">
        <f>INDEX(Data!B:B,MATCH(MAX(Data!$A:$A),Data!$A:$A,0)-$D29)</f>
        <v>133.18821600000001</v>
      </c>
      <c r="C29" s="8">
        <f>INDEX(Data!G:G,MATCH(MAX(Data!$A:$A),Data!$A:$A,0)-$D29)</f>
        <v>140.57684799999998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45852</v>
      </c>
      <c r="B30" s="8">
        <f>INDEX(Data!B:B,MATCH(MAX(Data!$A:$A),Data!$A:$A,0)-$D30)</f>
        <v>133.945447</v>
      </c>
      <c r="C30" s="8">
        <f>INDEX(Data!G:G,MATCH(MAX(Data!$A:$A),Data!$A:$A,0)-$D30)</f>
        <v>141.10385300000002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45859</v>
      </c>
      <c r="B31" s="8">
        <f>INDEX(Data!B:B,MATCH(MAX(Data!$A:$A),Data!$A:$A,0)-$D31)</f>
        <v>134.09445300000002</v>
      </c>
      <c r="C31" s="8">
        <f>INDEX(Data!G:G,MATCH(MAX(Data!$A:$A),Data!$A:$A,0)-$D31)</f>
        <v>141.850977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45866</v>
      </c>
      <c r="B32" s="8">
        <f>INDEX(Data!B:B,MATCH(MAX(Data!$A:$A),Data!$A:$A,0)-$D32)</f>
        <v>134.243922</v>
      </c>
      <c r="C32" s="8">
        <f>INDEX(Data!G:G,MATCH(MAX(Data!$A:$A),Data!$A:$A,0)-$D32)</f>
        <v>142.00014199999998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45873</v>
      </c>
      <c r="B33" s="8">
        <f>INDEX(Data!B:B,MATCH(MAX(Data!$A:$A),Data!$A:$A,0)-$D33)</f>
        <v>134.29653199999998</v>
      </c>
      <c r="C33" s="8">
        <f>INDEX(Data!G:G,MATCH(MAX(Data!$A:$A),Data!$A:$A,0)-$D33)</f>
        <v>142.130449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45880</v>
      </c>
      <c r="B34" s="8">
        <f>INDEX(Data!B:B,MATCH(MAX(Data!$A:$A),Data!$A:$A,0)-$D34)</f>
        <v>134.38629299999999</v>
      </c>
      <c r="C34" s="8">
        <f>INDEX(Data!G:G,MATCH(MAX(Data!$A:$A),Data!$A:$A,0)-$D34)</f>
        <v>142.48968600000001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45887</v>
      </c>
      <c r="B35" s="8">
        <f>INDEX(Data!B:B,MATCH(MAX(Data!$A:$A),Data!$A:$A,0)-$D35)</f>
        <v>134.30053199999998</v>
      </c>
      <c r="C35" s="8">
        <f>INDEX(Data!G:G,MATCH(MAX(Data!$A:$A),Data!$A:$A,0)-$D35)</f>
        <v>142.16559099999998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45894</v>
      </c>
      <c r="B36" s="8">
        <f>INDEX(Data!B:B,MATCH(MAX(Data!$A:$A),Data!$A:$A,0)-$D36)</f>
        <v>133.91452700000002</v>
      </c>
      <c r="C36" s="8">
        <f>INDEX(Data!G:G,MATCH(MAX(Data!$A:$A),Data!$A:$A,0)-$D36)</f>
        <v>141.917306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45901</v>
      </c>
      <c r="B37" s="8">
        <f>INDEX(Data!B:B,MATCH(MAX(Data!$A:$A),Data!$A:$A,0)-$D37)</f>
        <v>133.860963</v>
      </c>
      <c r="C37" s="8">
        <f>INDEX(Data!G:G,MATCH(MAX(Data!$A:$A),Data!$A:$A,0)-$D37)</f>
        <v>141.65410799999998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45908</v>
      </c>
      <c r="B38" s="8">
        <f>INDEX(Data!B:B,MATCH(MAX(Data!$A:$A),Data!$A:$A,0)-$D38)</f>
        <v>133.724233</v>
      </c>
      <c r="C38" s="8">
        <f>INDEX(Data!G:G,MATCH(MAX(Data!$A:$A),Data!$A:$A,0)-$D38)</f>
        <v>141.58071000000001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45915</v>
      </c>
      <c r="B39" s="8">
        <f>INDEX(Data!B:B,MATCH(MAX(Data!$A:$A),Data!$A:$A,0)-$D39)</f>
        <v>133.812353</v>
      </c>
      <c r="C39" s="8">
        <f>INDEX(Data!G:G,MATCH(MAX(Data!$A:$A),Data!$A:$A,0)-$D39)</f>
        <v>141.68569500000001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45922</v>
      </c>
      <c r="B40" s="8">
        <f>INDEX(Data!B:B,MATCH(MAX(Data!$A:$A),Data!$A:$A,0)-$D40)</f>
        <v>134.14521299999998</v>
      </c>
      <c r="C40" s="8">
        <f>INDEX(Data!G:G,MATCH(MAX(Data!$A:$A),Data!$A:$A,0)-$D40)</f>
        <v>142.024261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45929</v>
      </c>
      <c r="B41" s="8">
        <f>INDEX(Data!B:B,MATCH(MAX(Data!$A:$A),Data!$A:$A,0)-$D41)</f>
        <v>134.36203600000002</v>
      </c>
      <c r="C41" s="8">
        <f>INDEX(Data!G:G,MATCH(MAX(Data!$A:$A),Data!$A:$A,0)-$D41)</f>
        <v>142.23597000000001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45936</v>
      </c>
      <c r="B42" s="8">
        <f>INDEX(Data!B:B,MATCH(MAX(Data!$A:$A),Data!$A:$A,0)-$D42)</f>
        <v>134.76431600000001</v>
      </c>
      <c r="C42" s="8">
        <f>INDEX(Data!G:G,MATCH(MAX(Data!$A:$A),Data!$A:$A,0)-$D42)</f>
        <v>142.917157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45943</v>
      </c>
      <c r="B43" s="8">
        <f>INDEX(Data!B:B,MATCH(MAX(Data!$A:$A),Data!$A:$A,0)-$D43)</f>
        <v>134.81126799999998</v>
      </c>
      <c r="C43" s="8">
        <f>INDEX(Data!G:G,MATCH(MAX(Data!$A:$A),Data!$A:$A,0)-$D43)</f>
        <v>142.98682199999999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45950</v>
      </c>
      <c r="B44" s="8">
        <f>INDEX(Data!B:B,MATCH(MAX(Data!$A:$A),Data!$A:$A,0)-$D44)</f>
        <v>134.69223</v>
      </c>
      <c r="C44" s="8">
        <f>INDEX(Data!G:G,MATCH(MAX(Data!$A:$A),Data!$A:$A,0)-$D44)</f>
        <v>142.81489199999999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45957</v>
      </c>
      <c r="B45" s="8">
        <f>INDEX(Data!B:B,MATCH(MAX(Data!$A:$A),Data!$A:$A,0)-$D45)</f>
        <v>134.40487300000001</v>
      </c>
      <c r="C45" s="8">
        <f>INDEX(Data!G:G,MATCH(MAX(Data!$A:$A),Data!$A:$A,0)-$D45)</f>
        <v>142.37860900000001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45964</v>
      </c>
      <c r="B46" s="8">
        <f>INDEX(Data!B:B,MATCH(MAX(Data!$A:$A),Data!$A:$A,0)-$D46)</f>
        <v>134.38128799999998</v>
      </c>
      <c r="C46" s="8">
        <f>INDEX(Data!G:G,MATCH(MAX(Data!$A:$A),Data!$A:$A,0)-$D46)</f>
        <v>142.60810999999998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45971</v>
      </c>
      <c r="B47" s="8">
        <f>INDEX(Data!B:B,MATCH(MAX(Data!$A:$A),Data!$A:$A,0)-$D47)</f>
        <v>134.64813899999999</v>
      </c>
      <c r="C47" s="8">
        <f>INDEX(Data!G:G,MATCH(MAX(Data!$A:$A),Data!$A:$A,0)-$D47)</f>
        <v>143.30982399999999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45978</v>
      </c>
      <c r="B48" s="8">
        <f>INDEX(Data!B:B,MATCH(MAX(Data!$A:$A),Data!$A:$A,0)-$D48)</f>
        <v>135.07288800000001</v>
      </c>
      <c r="C48" s="8">
        <f>INDEX(Data!G:G,MATCH(MAX(Data!$A:$A),Data!$A:$A,0)-$D48)</f>
        <v>143.97318100000001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45985</v>
      </c>
      <c r="B49" s="8">
        <f>INDEX(Data!B:B,MATCH(MAX(Data!$A:$A),Data!$A:$A,0)-$D49)</f>
        <v>136.07401099999998</v>
      </c>
      <c r="C49" s="8">
        <f>INDEX(Data!G:G,MATCH(MAX(Data!$A:$A),Data!$A:$A,0)-$D49)</f>
        <v>145.39935000000003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45992</v>
      </c>
      <c r="B50" s="8">
        <f>INDEX(Data!B:B,MATCH(MAX(Data!$A:$A),Data!$A:$A,0)-$D50)</f>
        <v>136.61131399999999</v>
      </c>
      <c r="C50" s="8">
        <f>INDEX(Data!G:G,MATCH(MAX(Data!$A:$A),Data!$A:$A,0)-$D50)</f>
        <v>146.19905800000001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45999</v>
      </c>
      <c r="B51" s="8">
        <f>INDEX(Data!B:B,MATCH(MAX(Data!$A:$A),Data!$A:$A,0)-$D51)</f>
        <v>136.67733200000001</v>
      </c>
      <c r="C51" s="8">
        <f>INDEX(Data!G:G,MATCH(MAX(Data!$A:$A),Data!$A:$A,0)-$D51)</f>
        <v>146.23381900000001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46006</v>
      </c>
      <c r="B52" s="8">
        <f>INDEX(Data!B:B,MATCH(MAX(Data!$A:$A),Data!$A:$A,0)-$D52)</f>
        <v>136.83113299999999</v>
      </c>
      <c r="C52" s="8">
        <f>INDEX(Data!G:G,MATCH(MAX(Data!$A:$A),Data!$A:$A,0)-$D52)</f>
        <v>146.14285699999999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46013</v>
      </c>
      <c r="B53" s="8">
        <f>INDEX(Data!B:B,MATCH(MAX(Data!$A:$A),Data!$A:$A,0)-$D53)</f>
        <v>136.22822000000002</v>
      </c>
      <c r="C53" s="8">
        <f>INDEX(Data!G:G,MATCH(MAX(Data!$A:$A),Data!$A:$A,0)-$D53)</f>
        <v>145.44801899999999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46020</v>
      </c>
      <c r="B54" s="8">
        <f>INDEX(Data!B:B,MATCH(MAX(Data!$A:$A),Data!$A:$A,0)-$D54)</f>
        <v>135.338199</v>
      </c>
      <c r="C54" s="8">
        <f>INDEX(Data!G:G,MATCH(MAX(Data!$A:$A),Data!$A:$A,0)-$D54)</f>
        <v>144.58739800000001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46027</v>
      </c>
      <c r="B55" s="8">
        <f>INDEX(Data!B:B,MATCH(MAX(Data!$A:$A),Data!$A:$A,0)-$D55)</f>
        <v>134.89606800000001</v>
      </c>
      <c r="C55" s="8">
        <f>INDEX(Data!G:G,MATCH(MAX(Data!$A:$A),Data!$A:$A,0)-$D55)</f>
        <v>144.18756299999998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46034</v>
      </c>
      <c r="B56" s="8">
        <f>INDEX(Data!B:B,MATCH(MAX(Data!$A:$A),Data!$A:$A,0)-$D56)</f>
        <v>133.43266399999999</v>
      </c>
      <c r="C56" s="8">
        <f>INDEX(Data!G:G,MATCH(MAX(Data!$A:$A),Data!$A:$A,0)-$D56)</f>
        <v>142.62878900000001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2026-01-12T16:00:55Z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