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mc:AlternateContent xmlns:mc="http://schemas.openxmlformats.org/markup-compatibility/2006">
    <mc:Choice Requires="x15">
      <x15ac:absPath xmlns:x15ac="http://schemas.microsoft.com/office/spreadsheetml/2010/11/ac" url="https://departmentfortransportuk.sharepoint.com/sites/LocalRegTransAnlys/Analytical Advice/Buses/Bus Concessionary Travel/Calculators and Guidance/Calculator and Guidance from 2024-25/2026-2027 Guidance, User Guide, Calculator/"/>
    </mc:Choice>
  </mc:AlternateContent>
  <xr:revisionPtr revIDLastSave="0" documentId="8_{5F9FBB31-A9B3-4AF0-9A18-6D4C4A2CD881}" xr6:coauthVersionLast="47" xr6:coauthVersionMax="47" xr10:uidLastSave="{00000000-0000-0000-0000-000000000000}"/>
  <bookViews>
    <workbookView xWindow="-110" yWindow="-110" windowWidth="19420" windowHeight="12300" tabRatio="843" firstSheet="8" activeTab="8" xr2:uid="{0D9377CD-7030-47D2-BD2A-D700E21C2502}"/>
  </bookViews>
  <sheets>
    <sheet name="Contents" sheetId="41" r:id="rId1"/>
    <sheet name="Instructions" sheetId="8" r:id="rId2"/>
    <sheet name="Lists" sheetId="15" r:id="rId3"/>
    <sheet name="Inputs &gt;" sheetId="1" r:id="rId4"/>
    <sheet name="General Inputs" sheetId="17" r:id="rId5"/>
    <sheet name="AF - Basket of Fares" sheetId="24" r:id="rId6"/>
    <sheet name="AF - Discount Factor" sheetId="22" r:id="rId7"/>
    <sheet name="Marginal Capacity Costs Inputs" sheetId="32" r:id="rId8"/>
    <sheet name="Inflation" sheetId="34" r:id="rId9"/>
    <sheet name="Outputs &gt;" sheetId="37" r:id="rId10"/>
    <sheet name="Outputs" sheetId="38" r:id="rId11"/>
    <sheet name="Marginal Capacity Costs Outputs" sheetId="43" r:id="rId12"/>
    <sheet name="Model Inputs &gt;" sheetId="42" r:id="rId13"/>
    <sheet name="Lookup Tables Options" sheetId="39" r:id="rId14"/>
    <sheet name="Calculation Parameters" sheetId="40" r:id="rId15"/>
    <sheet name="Calculations &gt;" sheetId="16" r:id="rId16"/>
    <sheet name="Basket of Fares - Calculations" sheetId="31" r:id="rId17"/>
    <sheet name="Discount Factor - Calculations" sheetId="30" r:id="rId18"/>
    <sheet name="RF - Calculations" sheetId="28" r:id="rId19"/>
    <sheet name="MOC - Calculations" sheetId="35" r:id="rId20"/>
    <sheet name="MCC - Calculations" sheetId="33" r:id="rId21"/>
    <sheet name="Inflation - Calculations" sheetId="36" r:id="rId22"/>
    <sheet name="Lookup Table" sheetId="26" r:id="rId23"/>
  </sheets>
  <definedNames>
    <definedName name="AF_Method">'General Inputs'!$F$14</definedName>
    <definedName name="BoF">'AF - Basket of Fares'!$D$18</definedName>
    <definedName name="Custom">'Lookup Tables Options'!$D$196</definedName>
    <definedName name="DFM_Direct">'AF - Discount Factor'!$D$19</definedName>
    <definedName name="DFM_Template">'AF - Discount Factor'!$D$30</definedName>
    <definedName name="Gen_Input">'General Inputs'!$D$4</definedName>
    <definedName name="Instructions">Instructions!$A$1</definedName>
    <definedName name="MCC_Choice">'General Inputs'!$F$32</definedName>
    <definedName name="MCC_Input">'Marginal Capacity Costs Inputs'!$D$16</definedName>
    <definedName name="MCC_Outputs">'Marginal Capacity Costs Outputs'!$D$12</definedName>
    <definedName name="Outputs">Outputs!$D$12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39" l="1" a="1"/>
  <c r="D3" i="39" s="1"/>
  <c r="J81" i="30"/>
  <c r="D22" i="17"/>
  <c r="F28" i="22" a="1"/>
  <c r="F17" i="22" a="1"/>
  <c r="D8" i="22" a="1"/>
  <c r="D8" i="22" l="1"/>
  <c r="F28" i="22"/>
  <c r="F17" i="22"/>
  <c r="H32" i="22"/>
  <c r="F19" i="22"/>
  <c r="E40" i="41" l="1"/>
  <c r="E115" i="43"/>
  <c r="H115" i="43" s="1"/>
  <c r="E113" i="43"/>
  <c r="H113" i="43" s="1"/>
  <c r="E111" i="43"/>
  <c r="H111" i="43" s="1"/>
  <c r="E109" i="43"/>
  <c r="H109" i="43" s="1"/>
  <c r="E107" i="43"/>
  <c r="H107" i="43" s="1"/>
  <c r="E105" i="43"/>
  <c r="H105" i="43" s="1"/>
  <c r="E103" i="43"/>
  <c r="H103" i="43" s="1"/>
  <c r="E101" i="43"/>
  <c r="H101" i="43" s="1"/>
  <c r="E99" i="43"/>
  <c r="H99" i="43" s="1"/>
  <c r="E97" i="43"/>
  <c r="H97" i="43" s="1"/>
  <c r="E95" i="43"/>
  <c r="H95" i="43" s="1"/>
  <c r="E93" i="43"/>
  <c r="H93" i="43" s="1"/>
  <c r="E91" i="43"/>
  <c r="H91" i="43" s="1"/>
  <c r="E89" i="43"/>
  <c r="H89" i="43" s="1"/>
  <c r="E87" i="43"/>
  <c r="H87" i="43" s="1"/>
  <c r="E85" i="43"/>
  <c r="H85" i="43" s="1"/>
  <c r="E83" i="43"/>
  <c r="H83" i="43" s="1"/>
  <c r="E81" i="43"/>
  <c r="H81" i="43" s="1"/>
  <c r="E79" i="43"/>
  <c r="H79" i="43" s="1"/>
  <c r="E77" i="43"/>
  <c r="H77" i="43" s="1"/>
  <c r="E75" i="43"/>
  <c r="H75" i="43" s="1"/>
  <c r="E73" i="43"/>
  <c r="H73" i="43" s="1"/>
  <c r="E71" i="43"/>
  <c r="H71" i="43" s="1"/>
  <c r="E69" i="43"/>
  <c r="H69" i="43" s="1"/>
  <c r="E67" i="43"/>
  <c r="H67" i="43" s="1"/>
  <c r="E65" i="43"/>
  <c r="H65" i="43" s="1"/>
  <c r="E63" i="43"/>
  <c r="H63" i="43" s="1"/>
  <c r="E61" i="43"/>
  <c r="H61" i="43" s="1"/>
  <c r="E59" i="43"/>
  <c r="H59" i="43" s="1"/>
  <c r="E57" i="43"/>
  <c r="H57" i="43" s="1"/>
  <c r="E55" i="43"/>
  <c r="H55" i="43" s="1"/>
  <c r="E53" i="43"/>
  <c r="H53" i="43" s="1"/>
  <c r="E51" i="43"/>
  <c r="H51" i="43" s="1"/>
  <c r="E49" i="43"/>
  <c r="H49" i="43" s="1"/>
  <c r="E47" i="43"/>
  <c r="H47" i="43" s="1"/>
  <c r="E45" i="43"/>
  <c r="H45" i="43" s="1"/>
  <c r="E43" i="43"/>
  <c r="H43" i="43" s="1"/>
  <c r="E41" i="43"/>
  <c r="H41" i="43" s="1"/>
  <c r="E39" i="43"/>
  <c r="H39" i="43" s="1"/>
  <c r="E37" i="43"/>
  <c r="H37" i="43" s="1"/>
  <c r="E35" i="43"/>
  <c r="H35" i="43" s="1"/>
  <c r="E33" i="43"/>
  <c r="H33" i="43" s="1"/>
  <c r="E31" i="43"/>
  <c r="H31" i="43" s="1"/>
  <c r="E29" i="43"/>
  <c r="H29" i="43" s="1"/>
  <c r="E27" i="43"/>
  <c r="H27" i="43" s="1"/>
  <c r="E25" i="43"/>
  <c r="H25" i="43" s="1"/>
  <c r="E23" i="43"/>
  <c r="E21" i="43"/>
  <c r="E19" i="43"/>
  <c r="E17" i="43"/>
  <c r="F17" i="43" s="1"/>
  <c r="D14" i="43"/>
  <c r="P15" i="36"/>
  <c r="O15" i="36"/>
  <c r="K15" i="36"/>
  <c r="J15" i="36"/>
  <c r="F16" i="36"/>
  <c r="F15" i="36"/>
  <c r="E15" i="36"/>
  <c r="E16" i="36"/>
  <c r="D10" i="38" a="1"/>
  <c r="D7" i="24" a="1"/>
  <c r="D40" i="41" a="1"/>
  <c r="D11" i="22" a="1"/>
  <c r="D9" i="43" a="1"/>
  <c r="D11" i="24" a="1"/>
  <c r="D46" i="17" a="1"/>
  <c r="D10" i="43" a="1"/>
  <c r="D11" i="34" a="1"/>
  <c r="D10" i="32" a="1"/>
  <c r="D7" i="32" a="1"/>
  <c r="D8" i="43" a="1"/>
  <c r="D7" i="22" a="1"/>
  <c r="D7" i="34" a="1"/>
  <c r="D6" i="43" a="1"/>
  <c r="D7" i="43" a="1"/>
  <c r="G15" i="36" l="1"/>
  <c r="H15" i="36" s="1"/>
  <c r="Q15" i="36"/>
  <c r="R15" i="36" s="1"/>
  <c r="D40" i="41"/>
  <c r="D8" i="43"/>
  <c r="D7" i="24"/>
  <c r="D7" i="22"/>
  <c r="D7" i="34"/>
  <c r="D7" i="32"/>
  <c r="D10" i="38"/>
  <c r="D11" i="34"/>
  <c r="D10" i="32"/>
  <c r="D11" i="22"/>
  <c r="D11" i="24"/>
  <c r="D9" i="43"/>
  <c r="D46" i="17"/>
  <c r="F21" i="43"/>
  <c r="F25" i="43"/>
  <c r="F29" i="43"/>
  <c r="F33" i="43"/>
  <c r="F37" i="43"/>
  <c r="F41" i="43"/>
  <c r="F45" i="43"/>
  <c r="F49" i="43"/>
  <c r="F53" i="43"/>
  <c r="F57" i="43"/>
  <c r="F61" i="43"/>
  <c r="F65" i="43"/>
  <c r="F69" i="43"/>
  <c r="F73" i="43"/>
  <c r="F77" i="43"/>
  <c r="F81" i="43"/>
  <c r="F85" i="43"/>
  <c r="F89" i="43"/>
  <c r="F93" i="43"/>
  <c r="F97" i="43"/>
  <c r="F101" i="43"/>
  <c r="F105" i="43"/>
  <c r="F109" i="43"/>
  <c r="F113" i="43"/>
  <c r="G33" i="43"/>
  <c r="G41" i="43"/>
  <c r="G45" i="43"/>
  <c r="G49" i="43"/>
  <c r="G53" i="43"/>
  <c r="G57" i="43"/>
  <c r="G61" i="43"/>
  <c r="G65" i="43"/>
  <c r="G69" i="43"/>
  <c r="G73" i="43"/>
  <c r="G77" i="43"/>
  <c r="G81" i="43"/>
  <c r="G85" i="43"/>
  <c r="G89" i="43"/>
  <c r="G93" i="43"/>
  <c r="G97" i="43"/>
  <c r="G101" i="43"/>
  <c r="G105" i="43"/>
  <c r="G109" i="43"/>
  <c r="G113" i="43"/>
  <c r="G25" i="43"/>
  <c r="G29" i="43"/>
  <c r="G37" i="43"/>
  <c r="F19" i="43"/>
  <c r="F23" i="43"/>
  <c r="F27" i="43"/>
  <c r="F31" i="43"/>
  <c r="F35" i="43"/>
  <c r="F39" i="43"/>
  <c r="F43" i="43"/>
  <c r="F47" i="43"/>
  <c r="F51" i="43"/>
  <c r="F55" i="43"/>
  <c r="F59" i="43"/>
  <c r="F63" i="43"/>
  <c r="F67" i="43"/>
  <c r="F71" i="43"/>
  <c r="F75" i="43"/>
  <c r="F79" i="43"/>
  <c r="F83" i="43"/>
  <c r="F87" i="43"/>
  <c r="F91" i="43"/>
  <c r="F95" i="43"/>
  <c r="F99" i="43"/>
  <c r="F103" i="43"/>
  <c r="F107" i="43"/>
  <c r="F111" i="43"/>
  <c r="F115" i="43"/>
  <c r="G27" i="43"/>
  <c r="G31" i="43"/>
  <c r="G35" i="43"/>
  <c r="G39" i="43"/>
  <c r="G43" i="43"/>
  <c r="G47" i="43"/>
  <c r="G51" i="43"/>
  <c r="G55" i="43"/>
  <c r="G59" i="43"/>
  <c r="G63" i="43"/>
  <c r="G67" i="43"/>
  <c r="G71" i="43"/>
  <c r="G75" i="43"/>
  <c r="G79" i="43"/>
  <c r="G83" i="43"/>
  <c r="G87" i="43"/>
  <c r="G91" i="43"/>
  <c r="G95" i="43"/>
  <c r="G99" i="43"/>
  <c r="G103" i="43"/>
  <c r="G107" i="43"/>
  <c r="G111" i="43"/>
  <c r="G115" i="43"/>
  <c r="D6" i="43"/>
  <c r="D10" i="43"/>
  <c r="D7" i="43"/>
  <c r="L15" i="36"/>
  <c r="W29" i="36" l="1"/>
  <c r="V29" i="36"/>
  <c r="F16" i="34"/>
  <c r="D14" i="32"/>
  <c r="D15" i="24"/>
  <c r="D15" i="22"/>
  <c r="D26" i="22"/>
  <c r="E21" i="30" l="1"/>
  <c r="D29" i="41" a="1"/>
  <c r="D29" i="41" s="1"/>
  <c r="E51" i="41"/>
  <c r="E50" i="41"/>
  <c r="E48" i="41"/>
  <c r="E47" i="41"/>
  <c r="E46" i="41"/>
  <c r="E45" i="41"/>
  <c r="E44" i="41"/>
  <c r="E43" i="41"/>
  <c r="E42" i="41"/>
  <c r="E39" i="41"/>
  <c r="E37" i="41"/>
  <c r="E36" i="41"/>
  <c r="E35" i="41"/>
  <c r="E34" i="41"/>
  <c r="E33" i="41"/>
  <c r="E31" i="41"/>
  <c r="E30" i="41"/>
  <c r="D6" i="32" a="1"/>
  <c r="D6" i="38" a="1"/>
  <c r="D34" i="41" a="1"/>
  <c r="D6" i="34" a="1"/>
  <c r="D7" i="38" a="1"/>
  <c r="D47" i="41" a="1"/>
  <c r="D42" i="17" a="1"/>
  <c r="D30" i="41" a="1"/>
  <c r="D31" i="41" a="1"/>
  <c r="D50" i="41" a="1"/>
  <c r="D43" i="41" a="1"/>
  <c r="D35" i="41" a="1"/>
  <c r="D39" i="41" a="1"/>
  <c r="D45" i="41" a="1"/>
  <c r="D33" i="41" a="1"/>
  <c r="D48" i="41" a="1"/>
  <c r="D46" i="41" a="1"/>
  <c r="D51" i="41" a="1"/>
  <c r="D37" i="41" a="1"/>
  <c r="D6" i="24" a="1"/>
  <c r="D6" i="22" a="1"/>
  <c r="D44" i="41" a="1"/>
  <c r="D42" i="41" a="1"/>
  <c r="D36" i="41" a="1"/>
  <c r="D42" i="17" l="1"/>
  <c r="D6" i="38"/>
  <c r="D6" i="24"/>
  <c r="D7" i="38"/>
  <c r="D6" i="22"/>
  <c r="D6" i="32"/>
  <c r="D6" i="34"/>
  <c r="E29" i="41"/>
  <c r="D51" i="41"/>
  <c r="D50" i="41"/>
  <c r="D48" i="41"/>
  <c r="D47" i="41"/>
  <c r="D46" i="41"/>
  <c r="D45" i="41"/>
  <c r="D44" i="41"/>
  <c r="D43" i="41"/>
  <c r="D42" i="41"/>
  <c r="D39" i="41"/>
  <c r="D37" i="41"/>
  <c r="D36" i="41"/>
  <c r="D35" i="41"/>
  <c r="D34" i="41"/>
  <c r="D33" i="41"/>
  <c r="D31" i="41"/>
  <c r="D30" i="41"/>
  <c r="U29" i="36"/>
  <c r="N14" i="33"/>
  <c r="M14" i="33"/>
  <c r="L14" i="33"/>
  <c r="K14" i="33"/>
  <c r="J14" i="33"/>
  <c r="I14" i="33"/>
  <c r="H14" i="33"/>
  <c r="G14" i="33"/>
  <c r="F14" i="33"/>
  <c r="E14" i="33"/>
  <c r="N13" i="33"/>
  <c r="M13" i="33"/>
  <c r="L13" i="33"/>
  <c r="K13" i="33"/>
  <c r="J13" i="33"/>
  <c r="I13" i="33"/>
  <c r="H13" i="33"/>
  <c r="G13" i="33"/>
  <c r="F13" i="33"/>
  <c r="E13" i="33"/>
  <c r="E12" i="35"/>
  <c r="E11" i="35"/>
  <c r="E10" i="35"/>
  <c r="E11" i="28"/>
  <c r="F11" i="28"/>
  <c r="E12" i="28"/>
  <c r="F12" i="28"/>
  <c r="E6" i="26" l="1"/>
  <c r="AM54" i="26" l="1"/>
  <c r="AE54" i="26"/>
  <c r="W54" i="26"/>
  <c r="O54" i="26"/>
  <c r="G54" i="26"/>
  <c r="AH53" i="26"/>
  <c r="Z53" i="26"/>
  <c r="R53" i="26"/>
  <c r="J53" i="26"/>
  <c r="AK52" i="26"/>
  <c r="AC52" i="26"/>
  <c r="U52" i="26"/>
  <c r="M52" i="26"/>
  <c r="E52" i="26"/>
  <c r="AF51" i="26"/>
  <c r="X51" i="26"/>
  <c r="P51" i="26"/>
  <c r="H51" i="26"/>
  <c r="AI50" i="26"/>
  <c r="AA50" i="26"/>
  <c r="S50" i="26"/>
  <c r="K50" i="26"/>
  <c r="AL49" i="26"/>
  <c r="AD49" i="26"/>
  <c r="V49" i="26"/>
  <c r="N49" i="26"/>
  <c r="F49" i="26"/>
  <c r="AG48" i="26"/>
  <c r="Y48" i="26"/>
  <c r="Q48" i="26"/>
  <c r="I48" i="26"/>
  <c r="AJ47" i="26"/>
  <c r="AB47" i="26"/>
  <c r="T47" i="26"/>
  <c r="L47" i="26"/>
  <c r="AM46" i="26"/>
  <c r="AE46" i="26"/>
  <c r="W46" i="26"/>
  <c r="O46" i="26"/>
  <c r="G46" i="26"/>
  <c r="AL54" i="26"/>
  <c r="AD54" i="26"/>
  <c r="V54" i="26"/>
  <c r="N54" i="26"/>
  <c r="F54" i="26"/>
  <c r="AG53" i="26"/>
  <c r="Y53" i="26"/>
  <c r="Q53" i="26"/>
  <c r="I53" i="26"/>
  <c r="AJ52" i="26"/>
  <c r="AB52" i="26"/>
  <c r="T52" i="26"/>
  <c r="L52" i="26"/>
  <c r="AM51" i="26"/>
  <c r="AE51" i="26"/>
  <c r="W51" i="26"/>
  <c r="O51" i="26"/>
  <c r="G51" i="26"/>
  <c r="AH50" i="26"/>
  <c r="Z50" i="26"/>
  <c r="R50" i="26"/>
  <c r="J50" i="26"/>
  <c r="AK49" i="26"/>
  <c r="AC49" i="26"/>
  <c r="U49" i="26"/>
  <c r="M49" i="26"/>
  <c r="E49" i="26"/>
  <c r="AF48" i="26"/>
  <c r="X48" i="26"/>
  <c r="P48" i="26"/>
  <c r="H48" i="26"/>
  <c r="AI47" i="26"/>
  <c r="AA47" i="26"/>
  <c r="S47" i="26"/>
  <c r="K47" i="26"/>
  <c r="AL46" i="26"/>
  <c r="AD46" i="26"/>
  <c r="V46" i="26"/>
  <c r="AK54" i="26"/>
  <c r="AC54" i="26"/>
  <c r="U54" i="26"/>
  <c r="M54" i="26"/>
  <c r="E54" i="26"/>
  <c r="AF53" i="26"/>
  <c r="X53" i="26"/>
  <c r="P53" i="26"/>
  <c r="H53" i="26"/>
  <c r="AI52" i="26"/>
  <c r="AA52" i="26"/>
  <c r="S52" i="26"/>
  <c r="K52" i="26"/>
  <c r="AL51" i="26"/>
  <c r="AD51" i="26"/>
  <c r="V51" i="26"/>
  <c r="N51" i="26"/>
  <c r="F51" i="26"/>
  <c r="AG50" i="26"/>
  <c r="Y50" i="26"/>
  <c r="Q50" i="26"/>
  <c r="I50" i="26"/>
  <c r="AJ49" i="26"/>
  <c r="AB49" i="26"/>
  <c r="T49" i="26"/>
  <c r="L49" i="26"/>
  <c r="AM48" i="26"/>
  <c r="AE48" i="26"/>
  <c r="W48" i="26"/>
  <c r="O48" i="26"/>
  <c r="G48" i="26"/>
  <c r="AH47" i="26"/>
  <c r="Z47" i="26"/>
  <c r="R47" i="26"/>
  <c r="J47" i="26"/>
  <c r="AK46" i="26"/>
  <c r="AC46" i="26"/>
  <c r="U46" i="26"/>
  <c r="AJ54" i="26"/>
  <c r="AB54" i="26"/>
  <c r="T54" i="26"/>
  <c r="L54" i="26"/>
  <c r="AM53" i="26"/>
  <c r="AE53" i="26"/>
  <c r="W53" i="26"/>
  <c r="O53" i="26"/>
  <c r="G53" i="26"/>
  <c r="AH52" i="26"/>
  <c r="Z52" i="26"/>
  <c r="R52" i="26"/>
  <c r="J52" i="26"/>
  <c r="AK51" i="26"/>
  <c r="AC51" i="26"/>
  <c r="U51" i="26"/>
  <c r="M51" i="26"/>
  <c r="E51" i="26"/>
  <c r="AF50" i="26"/>
  <c r="X50" i="26"/>
  <c r="P50" i="26"/>
  <c r="H50" i="26"/>
  <c r="AI49" i="26"/>
  <c r="AA49" i="26"/>
  <c r="S49" i="26"/>
  <c r="K49" i="26"/>
  <c r="AL48" i="26"/>
  <c r="AD48" i="26"/>
  <c r="V48" i="26"/>
  <c r="N48" i="26"/>
  <c r="F48" i="26"/>
  <c r="AG47" i="26"/>
  <c r="Y47" i="26"/>
  <c r="Q47" i="26"/>
  <c r="I47" i="26"/>
  <c r="AJ46" i="26"/>
  <c r="AB46" i="26"/>
  <c r="T46" i="26"/>
  <c r="L46" i="26"/>
  <c r="AM45" i="26"/>
  <c r="AE45" i="26"/>
  <c r="W45" i="26"/>
  <c r="O45" i="26"/>
  <c r="G45" i="26"/>
  <c r="AH44" i="26"/>
  <c r="Z44" i="26"/>
  <c r="R44" i="26"/>
  <c r="J44" i="26"/>
  <c r="AK43" i="26"/>
  <c r="AC43" i="26"/>
  <c r="U43" i="26"/>
  <c r="M43" i="26"/>
  <c r="E43" i="26"/>
  <c r="AF42" i="26"/>
  <c r="X42" i="26"/>
  <c r="P42" i="26"/>
  <c r="H42" i="26"/>
  <c r="AI41" i="26"/>
  <c r="AA41" i="26"/>
  <c r="S41" i="26"/>
  <c r="K41" i="26"/>
  <c r="AL40" i="26"/>
  <c r="AD40" i="26"/>
  <c r="V40" i="26"/>
  <c r="N40" i="26"/>
  <c r="F40" i="26"/>
  <c r="AG39" i="26"/>
  <c r="Y39" i="26"/>
  <c r="Q39" i="26"/>
  <c r="I39" i="26"/>
  <c r="AJ38" i="26"/>
  <c r="AB38" i="26"/>
  <c r="T38" i="26"/>
  <c r="L38" i="26"/>
  <c r="AM37" i="26"/>
  <c r="AE37" i="26"/>
  <c r="W37" i="26"/>
  <c r="O37" i="26"/>
  <c r="G37" i="26"/>
  <c r="AH36" i="26"/>
  <c r="Z36" i="26"/>
  <c r="R36" i="26"/>
  <c r="J36" i="26"/>
  <c r="AK35" i="26"/>
  <c r="AC35" i="26"/>
  <c r="AI54" i="26"/>
  <c r="AA54" i="26"/>
  <c r="S54" i="26"/>
  <c r="K54" i="26"/>
  <c r="AL53" i="26"/>
  <c r="AD53" i="26"/>
  <c r="V53" i="26"/>
  <c r="N53" i="26"/>
  <c r="F53" i="26"/>
  <c r="AG52" i="26"/>
  <c r="Y52" i="26"/>
  <c r="Q52" i="26"/>
  <c r="I52" i="26"/>
  <c r="AJ51" i="26"/>
  <c r="AB51" i="26"/>
  <c r="T51" i="26"/>
  <c r="L51" i="26"/>
  <c r="AM50" i="26"/>
  <c r="AE50" i="26"/>
  <c r="W50" i="26"/>
  <c r="O50" i="26"/>
  <c r="G50" i="26"/>
  <c r="AH49" i="26"/>
  <c r="Z49" i="26"/>
  <c r="R49" i="26"/>
  <c r="J49" i="26"/>
  <c r="AK48" i="26"/>
  <c r="AC48" i="26"/>
  <c r="U48" i="26"/>
  <c r="M48" i="26"/>
  <c r="E48" i="26"/>
  <c r="AF47" i="26"/>
  <c r="X47" i="26"/>
  <c r="P47" i="26"/>
  <c r="H47" i="26"/>
  <c r="AI46" i="26"/>
  <c r="AA46" i="26"/>
  <c r="S46" i="26"/>
  <c r="K46" i="26"/>
  <c r="AH54" i="26"/>
  <c r="Z54" i="26"/>
  <c r="R54" i="26"/>
  <c r="J54" i="26"/>
  <c r="AK53" i="26"/>
  <c r="AC53" i="26"/>
  <c r="U53" i="26"/>
  <c r="M53" i="26"/>
  <c r="E53" i="26"/>
  <c r="AF52" i="26"/>
  <c r="X52" i="26"/>
  <c r="P52" i="26"/>
  <c r="H52" i="26"/>
  <c r="AI51" i="26"/>
  <c r="AA51" i="26"/>
  <c r="S51" i="26"/>
  <c r="K51" i="26"/>
  <c r="AL50" i="26"/>
  <c r="AD50" i="26"/>
  <c r="V50" i="26"/>
  <c r="N50" i="26"/>
  <c r="F50" i="26"/>
  <c r="AG49" i="26"/>
  <c r="Y49" i="26"/>
  <c r="Q49" i="26"/>
  <c r="I49" i="26"/>
  <c r="AJ48" i="26"/>
  <c r="AB48" i="26"/>
  <c r="T48" i="26"/>
  <c r="L48" i="26"/>
  <c r="AM47" i="26"/>
  <c r="AE47" i="26"/>
  <c r="W47" i="26"/>
  <c r="O47" i="26"/>
  <c r="G47" i="26"/>
  <c r="AH46" i="26"/>
  <c r="Z46" i="26"/>
  <c r="R46" i="26"/>
  <c r="J46" i="26"/>
  <c r="AK45" i="26"/>
  <c r="AC45" i="26"/>
  <c r="U45" i="26"/>
  <c r="M45" i="26"/>
  <c r="E45" i="26"/>
  <c r="AF44" i="26"/>
  <c r="X44" i="26"/>
  <c r="P44" i="26"/>
  <c r="H44" i="26"/>
  <c r="AI43" i="26"/>
  <c r="AA43" i="26"/>
  <c r="S43" i="26"/>
  <c r="K43" i="26"/>
  <c r="AL42" i="26"/>
  <c r="AD42" i="26"/>
  <c r="V42" i="26"/>
  <c r="N42" i="26"/>
  <c r="F42" i="26"/>
  <c r="AG41" i="26"/>
  <c r="Y41" i="26"/>
  <c r="Q41" i="26"/>
  <c r="I41" i="26"/>
  <c r="AJ40" i="26"/>
  <c r="AB40" i="26"/>
  <c r="T40" i="26"/>
  <c r="L40" i="26"/>
  <c r="AM39" i="26"/>
  <c r="AE39" i="26"/>
  <c r="W39" i="26"/>
  <c r="O39" i="26"/>
  <c r="G39" i="26"/>
  <c r="AH38" i="26"/>
  <c r="Z38" i="26"/>
  <c r="R38" i="26"/>
  <c r="J38" i="26"/>
  <c r="AK37" i="26"/>
  <c r="AC37" i="26"/>
  <c r="U37" i="26"/>
  <c r="M37" i="26"/>
  <c r="E37" i="26"/>
  <c r="AF36" i="26"/>
  <c r="AG54" i="26"/>
  <c r="Y54" i="26"/>
  <c r="Q54" i="26"/>
  <c r="I54" i="26"/>
  <c r="AJ53" i="26"/>
  <c r="AB53" i="26"/>
  <c r="T53" i="26"/>
  <c r="L53" i="26"/>
  <c r="AM52" i="26"/>
  <c r="AE52" i="26"/>
  <c r="W52" i="26"/>
  <c r="O52" i="26"/>
  <c r="G52" i="26"/>
  <c r="AH51" i="26"/>
  <c r="Z51" i="26"/>
  <c r="R51" i="26"/>
  <c r="J51" i="26"/>
  <c r="AK50" i="26"/>
  <c r="AC50" i="26"/>
  <c r="U50" i="26"/>
  <c r="M50" i="26"/>
  <c r="E50" i="26"/>
  <c r="AF49" i="26"/>
  <c r="X49" i="26"/>
  <c r="P49" i="26"/>
  <c r="H49" i="26"/>
  <c r="AI48" i="26"/>
  <c r="AA48" i="26"/>
  <c r="S48" i="26"/>
  <c r="K48" i="26"/>
  <c r="AL47" i="26"/>
  <c r="AD47" i="26"/>
  <c r="V47" i="26"/>
  <c r="N47" i="26"/>
  <c r="F47" i="26"/>
  <c r="AG46" i="26"/>
  <c r="Y46" i="26"/>
  <c r="Q46" i="26"/>
  <c r="I46" i="26"/>
  <c r="AJ45" i="26"/>
  <c r="AB45" i="26"/>
  <c r="T45" i="26"/>
  <c r="L45" i="26"/>
  <c r="AM44" i="26"/>
  <c r="AE44" i="26"/>
  <c r="W44" i="26"/>
  <c r="O44" i="26"/>
  <c r="G44" i="26"/>
  <c r="AH43" i="26"/>
  <c r="Z43" i="26"/>
  <c r="R43" i="26"/>
  <c r="J43" i="26"/>
  <c r="AK42" i="26"/>
  <c r="AC42" i="26"/>
  <c r="U42" i="26"/>
  <c r="M42" i="26"/>
  <c r="E42" i="26"/>
  <c r="AF41" i="26"/>
  <c r="X41" i="26"/>
  <c r="P41" i="26"/>
  <c r="H41" i="26"/>
  <c r="AI40" i="26"/>
  <c r="AA40" i="26"/>
  <c r="S40" i="26"/>
  <c r="K40" i="26"/>
  <c r="AL39" i="26"/>
  <c r="AD39" i="26"/>
  <c r="V39" i="26"/>
  <c r="N39" i="26"/>
  <c r="F39" i="26"/>
  <c r="AG38" i="26"/>
  <c r="Y38" i="26"/>
  <c r="Q38" i="26"/>
  <c r="I38" i="26"/>
  <c r="AJ37" i="26"/>
  <c r="AB37" i="26"/>
  <c r="T37" i="26"/>
  <c r="L37" i="26"/>
  <c r="AM36" i="26"/>
  <c r="AE36" i="26"/>
  <c r="W36" i="26"/>
  <c r="O36" i="26"/>
  <c r="G36" i="26"/>
  <c r="AH35" i="26"/>
  <c r="Z35" i="26"/>
  <c r="AF54" i="26"/>
  <c r="AL52" i="26"/>
  <c r="I51" i="26"/>
  <c r="O49" i="26"/>
  <c r="U47" i="26"/>
  <c r="H46" i="26"/>
  <c r="AD45" i="26"/>
  <c r="Q45" i="26"/>
  <c r="AL44" i="26"/>
  <c r="AA44" i="26"/>
  <c r="M44" i="26"/>
  <c r="AJ43" i="26"/>
  <c r="W43" i="26"/>
  <c r="I43" i="26"/>
  <c r="AG42" i="26"/>
  <c r="S42" i="26"/>
  <c r="G42" i="26"/>
  <c r="AC41" i="26"/>
  <c r="O41" i="26"/>
  <c r="AM40" i="26"/>
  <c r="Y40" i="26"/>
  <c r="M40" i="26"/>
  <c r="AI39" i="26"/>
  <c r="U39" i="26"/>
  <c r="J39" i="26"/>
  <c r="AE38" i="26"/>
  <c r="S38" i="26"/>
  <c r="F38" i="26"/>
  <c r="AA37" i="26"/>
  <c r="P37" i="26"/>
  <c r="AK36" i="26"/>
  <c r="Y36" i="26"/>
  <c r="N36" i="26"/>
  <c r="AM35" i="26"/>
  <c r="AB35" i="26"/>
  <c r="S35" i="26"/>
  <c r="K35" i="26"/>
  <c r="AL34" i="26"/>
  <c r="AD34" i="26"/>
  <c r="V34" i="26"/>
  <c r="N34" i="26"/>
  <c r="F34" i="26"/>
  <c r="AG33" i="26"/>
  <c r="Y33" i="26"/>
  <c r="Q33" i="26"/>
  <c r="I33" i="26"/>
  <c r="AJ32" i="26"/>
  <c r="AB32" i="26"/>
  <c r="T32" i="26"/>
  <c r="X54" i="26"/>
  <c r="AD52" i="26"/>
  <c r="AJ50" i="26"/>
  <c r="G49" i="26"/>
  <c r="M47" i="26"/>
  <c r="F46" i="26"/>
  <c r="AA45" i="26"/>
  <c r="P45" i="26"/>
  <c r="AK44" i="26"/>
  <c r="Y44" i="26"/>
  <c r="L44" i="26"/>
  <c r="AG43" i="26"/>
  <c r="V43" i="26"/>
  <c r="H43" i="26"/>
  <c r="AE42" i="26"/>
  <c r="R42" i="26"/>
  <c r="AM41" i="26"/>
  <c r="AB41" i="26"/>
  <c r="N41" i="26"/>
  <c r="P54" i="26"/>
  <c r="V52" i="26"/>
  <c r="AB50" i="26"/>
  <c r="AH48" i="26"/>
  <c r="E47" i="26"/>
  <c r="E46" i="26"/>
  <c r="Z45" i="26"/>
  <c r="N45" i="26"/>
  <c r="AJ44" i="26"/>
  <c r="V44" i="26"/>
  <c r="K44" i="26"/>
  <c r="AF43" i="26"/>
  <c r="T43" i="26"/>
  <c r="G43" i="26"/>
  <c r="AB42" i="26"/>
  <c r="Q42" i="26"/>
  <c r="AL41" i="26"/>
  <c r="Z41" i="26"/>
  <c r="M41" i="26"/>
  <c r="AH40" i="26"/>
  <c r="W40" i="26"/>
  <c r="I40" i="26"/>
  <c r="AF39" i="26"/>
  <c r="S39" i="26"/>
  <c r="E39" i="26"/>
  <c r="AC38" i="26"/>
  <c r="O38" i="26"/>
  <c r="AL37" i="26"/>
  <c r="Y37" i="26"/>
  <c r="K37" i="26"/>
  <c r="AI36" i="26"/>
  <c r="V36" i="26"/>
  <c r="L36" i="26"/>
  <c r="AJ35" i="26"/>
  <c r="Y35" i="26"/>
  <c r="Q35" i="26"/>
  <c r="I35" i="26"/>
  <c r="AJ34" i="26"/>
  <c r="AB34" i="26"/>
  <c r="T34" i="26"/>
  <c r="L34" i="26"/>
  <c r="AM33" i="26"/>
  <c r="AE33" i="26"/>
  <c r="W33" i="26"/>
  <c r="O33" i="26"/>
  <c r="G33" i="26"/>
  <c r="AH32" i="26"/>
  <c r="Z32" i="26"/>
  <c r="R32" i="26"/>
  <c r="J32" i="26"/>
  <c r="AK31" i="26"/>
  <c r="AC31" i="26"/>
  <c r="U31" i="26"/>
  <c r="M31" i="26"/>
  <c r="E31" i="26"/>
  <c r="AF30" i="26"/>
  <c r="X30" i="26"/>
  <c r="P30" i="26"/>
  <c r="H30" i="26"/>
  <c r="AI29" i="26"/>
  <c r="AA29" i="26"/>
  <c r="S29" i="26"/>
  <c r="K29" i="26"/>
  <c r="AL28" i="26"/>
  <c r="AD28" i="26"/>
  <c r="V28" i="26"/>
  <c r="N28" i="26"/>
  <c r="F28" i="26"/>
  <c r="AG27" i="26"/>
  <c r="Y27" i="26"/>
  <c r="Q27" i="26"/>
  <c r="I27" i="26"/>
  <c r="AJ26" i="26"/>
  <c r="AB26" i="26"/>
  <c r="T26" i="26"/>
  <c r="L26" i="26"/>
  <c r="AM25" i="26"/>
  <c r="AE25" i="26"/>
  <c r="W25" i="26"/>
  <c r="O25" i="26"/>
  <c r="G25" i="26"/>
  <c r="AH24" i="26"/>
  <c r="Z24" i="26"/>
  <c r="R24" i="26"/>
  <c r="J24" i="26"/>
  <c r="H54" i="26"/>
  <c r="N52" i="26"/>
  <c r="T50" i="26"/>
  <c r="Z48" i="26"/>
  <c r="AF46" i="26"/>
  <c r="AL45" i="26"/>
  <c r="Y45" i="26"/>
  <c r="K45" i="26"/>
  <c r="AI44" i="26"/>
  <c r="U44" i="26"/>
  <c r="I44" i="26"/>
  <c r="AE43" i="26"/>
  <c r="Q43" i="26"/>
  <c r="F43" i="26"/>
  <c r="AA42" i="26"/>
  <c r="O42" i="26"/>
  <c r="AK41" i="26"/>
  <c r="W41" i="26"/>
  <c r="L41" i="26"/>
  <c r="AG40" i="26"/>
  <c r="U40" i="26"/>
  <c r="H40" i="26"/>
  <c r="AC39" i="26"/>
  <c r="R39" i="26"/>
  <c r="AM38" i="26"/>
  <c r="AA38" i="26"/>
  <c r="N38" i="26"/>
  <c r="AI37" i="26"/>
  <c r="X37" i="26"/>
  <c r="J37" i="26"/>
  <c r="AG36" i="26"/>
  <c r="U36" i="26"/>
  <c r="K36" i="26"/>
  <c r="AI35" i="26"/>
  <c r="X35" i="26"/>
  <c r="P35" i="26"/>
  <c r="H35" i="26"/>
  <c r="AI34" i="26"/>
  <c r="AA34" i="26"/>
  <c r="S34" i="26"/>
  <c r="K34" i="26"/>
  <c r="AL33" i="26"/>
  <c r="AD33" i="26"/>
  <c r="V33" i="26"/>
  <c r="N33" i="26"/>
  <c r="F33" i="26"/>
  <c r="AG32" i="26"/>
  <c r="Y32" i="26"/>
  <c r="Q32" i="26"/>
  <c r="I32" i="26"/>
  <c r="AJ31" i="26"/>
  <c r="AB31" i="26"/>
  <c r="T31" i="26"/>
  <c r="L31" i="26"/>
  <c r="AM30" i="26"/>
  <c r="AE30" i="26"/>
  <c r="W30" i="26"/>
  <c r="O30" i="26"/>
  <c r="G30" i="26"/>
  <c r="AH29" i="26"/>
  <c r="Z29" i="26"/>
  <c r="R29" i="26"/>
  <c r="J29" i="26"/>
  <c r="AK28" i="26"/>
  <c r="AC28" i="26"/>
  <c r="AI53" i="26"/>
  <c r="F52" i="26"/>
  <c r="L50" i="26"/>
  <c r="R48" i="26"/>
  <c r="X46" i="26"/>
  <c r="AI45" i="26"/>
  <c r="X45" i="26"/>
  <c r="J45" i="26"/>
  <c r="AG44" i="26"/>
  <c r="T44" i="26"/>
  <c r="F44" i="26"/>
  <c r="AD43" i="26"/>
  <c r="P43" i="26"/>
  <c r="AM42" i="26"/>
  <c r="Z42" i="26"/>
  <c r="L42" i="26"/>
  <c r="AJ41" i="26"/>
  <c r="V41" i="26"/>
  <c r="J41" i="26"/>
  <c r="AF40" i="26"/>
  <c r="R40" i="26"/>
  <c r="G40" i="26"/>
  <c r="AB39" i="26"/>
  <c r="P39" i="26"/>
  <c r="AL38" i="26"/>
  <c r="X38" i="26"/>
  <c r="M38" i="26"/>
  <c r="AH37" i="26"/>
  <c r="V37" i="26"/>
  <c r="I37" i="26"/>
  <c r="AD36" i="26"/>
  <c r="T36" i="26"/>
  <c r="I36" i="26"/>
  <c r="AG35" i="26"/>
  <c r="W35" i="26"/>
  <c r="O35" i="26"/>
  <c r="G35" i="26"/>
  <c r="AH34" i="26"/>
  <c r="Z34" i="26"/>
  <c r="R34" i="26"/>
  <c r="J34" i="26"/>
  <c r="AK33" i="26"/>
  <c r="AC33" i="26"/>
  <c r="U33" i="26"/>
  <c r="M33" i="26"/>
  <c r="E33" i="26"/>
  <c r="AF32" i="26"/>
  <c r="X32" i="26"/>
  <c r="P32" i="26"/>
  <c r="AA53" i="26"/>
  <c r="AG51" i="26"/>
  <c r="AM49" i="26"/>
  <c r="J48" i="26"/>
  <c r="P46" i="26"/>
  <c r="AH45" i="26"/>
  <c r="V45" i="26"/>
  <c r="I45" i="26"/>
  <c r="AD44" i="26"/>
  <c r="S44" i="26"/>
  <c r="E44" i="26"/>
  <c r="AB43" i="26"/>
  <c r="O43" i="26"/>
  <c r="AJ42" i="26"/>
  <c r="Y42" i="26"/>
  <c r="K42" i="26"/>
  <c r="AH41" i="26"/>
  <c r="U41" i="26"/>
  <c r="S53" i="26"/>
  <c r="Y51" i="26"/>
  <c r="AE49" i="26"/>
  <c r="AK47" i="26"/>
  <c r="N46" i="26"/>
  <c r="AG45" i="26"/>
  <c r="S45" i="26"/>
  <c r="H45" i="26"/>
  <c r="AC44" i="26"/>
  <c r="Q44" i="26"/>
  <c r="AM43" i="26"/>
  <c r="Y43" i="26"/>
  <c r="N43" i="26"/>
  <c r="AI42" i="26"/>
  <c r="W42" i="26"/>
  <c r="J42" i="26"/>
  <c r="AE41" i="26"/>
  <c r="T41" i="26"/>
  <c r="F41" i="26"/>
  <c r="AC40" i="26"/>
  <c r="P40" i="26"/>
  <c r="AK39" i="26"/>
  <c r="Z39" i="26"/>
  <c r="L39" i="26"/>
  <c r="AI38" i="26"/>
  <c r="V38" i="26"/>
  <c r="H38" i="26"/>
  <c r="AF37" i="26"/>
  <c r="R37" i="26"/>
  <c r="F37" i="26"/>
  <c r="AB36" i="26"/>
  <c r="Q36" i="26"/>
  <c r="F36" i="26"/>
  <c r="AE35" i="26"/>
  <c r="U35" i="26"/>
  <c r="M35" i="26"/>
  <c r="E35" i="26"/>
  <c r="AF34" i="26"/>
  <c r="X34" i="26"/>
  <c r="P34" i="26"/>
  <c r="H34" i="26"/>
  <c r="AI33" i="26"/>
  <c r="AA33" i="26"/>
  <c r="S33" i="26"/>
  <c r="K33" i="26"/>
  <c r="AL32" i="26"/>
  <c r="AD32" i="26"/>
  <c r="V32" i="26"/>
  <c r="N32" i="26"/>
  <c r="F32" i="26"/>
  <c r="AG31" i="26"/>
  <c r="Y31" i="26"/>
  <c r="Q31" i="26"/>
  <c r="I31" i="26"/>
  <c r="AJ30" i="26"/>
  <c r="K53" i="26"/>
  <c r="AB44" i="26"/>
  <c r="AD41" i="26"/>
  <c r="Q40" i="26"/>
  <c r="T39" i="26"/>
  <c r="U38" i="26"/>
  <c r="S37" i="26"/>
  <c r="X36" i="26"/>
  <c r="AD35" i="26"/>
  <c r="F35" i="26"/>
  <c r="U34" i="26"/>
  <c r="AH33" i="26"/>
  <c r="L33" i="26"/>
  <c r="AA32" i="26"/>
  <c r="H32" i="26"/>
  <c r="AE31" i="26"/>
  <c r="R31" i="26"/>
  <c r="F31" i="26"/>
  <c r="AB30" i="26"/>
  <c r="R30" i="26"/>
  <c r="F30" i="26"/>
  <c r="AE29" i="26"/>
  <c r="U29" i="26"/>
  <c r="I29" i="26"/>
  <c r="AH28" i="26"/>
  <c r="X28" i="26"/>
  <c r="O28" i="26"/>
  <c r="E28" i="26"/>
  <c r="AE27" i="26"/>
  <c r="V27" i="26"/>
  <c r="M27" i="26"/>
  <c r="AM26" i="26"/>
  <c r="AD26" i="26"/>
  <c r="U26" i="26"/>
  <c r="K26" i="26"/>
  <c r="AK25" i="26"/>
  <c r="AB25" i="26"/>
  <c r="S25" i="26"/>
  <c r="J25" i="26"/>
  <c r="AJ24" i="26"/>
  <c r="AA24" i="26"/>
  <c r="Q24" i="26"/>
  <c r="H24" i="26"/>
  <c r="AI23" i="26"/>
  <c r="AA23" i="26"/>
  <c r="S23" i="26"/>
  <c r="K23" i="26"/>
  <c r="AL22" i="26"/>
  <c r="AD22" i="26"/>
  <c r="V22" i="26"/>
  <c r="N22" i="26"/>
  <c r="F22" i="26"/>
  <c r="AG21" i="26"/>
  <c r="Y21" i="26"/>
  <c r="Q21" i="26"/>
  <c r="I21" i="26"/>
  <c r="AJ20" i="26"/>
  <c r="AB20" i="26"/>
  <c r="T20" i="26"/>
  <c r="L20" i="26"/>
  <c r="AM19" i="26"/>
  <c r="AE19" i="26"/>
  <c r="W19" i="26"/>
  <c r="O19" i="26"/>
  <c r="G19" i="26"/>
  <c r="AH18" i="26"/>
  <c r="Z18" i="26"/>
  <c r="R18" i="26"/>
  <c r="Q51" i="26"/>
  <c r="N44" i="26"/>
  <c r="R41" i="26"/>
  <c r="O40" i="26"/>
  <c r="M39" i="26"/>
  <c r="P38" i="26"/>
  <c r="Q37" i="26"/>
  <c r="S36" i="26"/>
  <c r="AA35" i="26"/>
  <c r="AM34" i="26"/>
  <c r="Q34" i="26"/>
  <c r="AF33" i="26"/>
  <c r="J33" i="26"/>
  <c r="W32" i="26"/>
  <c r="G32" i="26"/>
  <c r="AD31" i="26"/>
  <c r="P31" i="26"/>
  <c r="AL30" i="26"/>
  <c r="AA30" i="26"/>
  <c r="Q30" i="26"/>
  <c r="E30" i="26"/>
  <c r="AD29" i="26"/>
  <c r="T29" i="26"/>
  <c r="H29" i="26"/>
  <c r="AG28" i="26"/>
  <c r="W28" i="26"/>
  <c r="M28" i="26"/>
  <c r="AM27" i="26"/>
  <c r="AD27" i="26"/>
  <c r="U27" i="26"/>
  <c r="L27" i="26"/>
  <c r="AL26" i="26"/>
  <c r="AC26" i="26"/>
  <c r="S26" i="26"/>
  <c r="J26" i="26"/>
  <c r="AJ25" i="26"/>
  <c r="AA25" i="26"/>
  <c r="R25" i="26"/>
  <c r="W49" i="26"/>
  <c r="AL43" i="26"/>
  <c r="G41" i="26"/>
  <c r="J40" i="26"/>
  <c r="K39" i="26"/>
  <c r="K38" i="26"/>
  <c r="N37" i="26"/>
  <c r="P36" i="26"/>
  <c r="V35" i="26"/>
  <c r="AK34" i="26"/>
  <c r="O34" i="26"/>
  <c r="AB33" i="26"/>
  <c r="H33" i="26"/>
  <c r="U32" i="26"/>
  <c r="E32" i="26"/>
  <c r="AA31" i="26"/>
  <c r="O31" i="26"/>
  <c r="AK30" i="26"/>
  <c r="Z30" i="26"/>
  <c r="N30" i="26"/>
  <c r="AM29" i="26"/>
  <c r="AC29" i="26"/>
  <c r="Q29" i="26"/>
  <c r="G29" i="26"/>
  <c r="AF28" i="26"/>
  <c r="U28" i="26"/>
  <c r="L28" i="26"/>
  <c r="AL27" i="26"/>
  <c r="AC27" i="26"/>
  <c r="T27" i="26"/>
  <c r="K27" i="26"/>
  <c r="AK26" i="26"/>
  <c r="AA26" i="26"/>
  <c r="R26" i="26"/>
  <c r="I26" i="26"/>
  <c r="AI25" i="26"/>
  <c r="Z25" i="26"/>
  <c r="Q25" i="26"/>
  <c r="AC47" i="26"/>
  <c r="X43" i="26"/>
  <c r="E41" i="26"/>
  <c r="E40" i="26"/>
  <c r="H39" i="26"/>
  <c r="G38" i="26"/>
  <c r="H37" i="26"/>
  <c r="M36" i="26"/>
  <c r="T35" i="26"/>
  <c r="AG34" i="26"/>
  <c r="M34" i="26"/>
  <c r="Z33" i="26"/>
  <c r="AM32" i="26"/>
  <c r="S32" i="26"/>
  <c r="AM31" i="26"/>
  <c r="Z31" i="26"/>
  <c r="N31" i="26"/>
  <c r="AI30" i="26"/>
  <c r="Y30" i="26"/>
  <c r="M30" i="26"/>
  <c r="AL29" i="26"/>
  <c r="AB29" i="26"/>
  <c r="P29" i="26"/>
  <c r="F29" i="26"/>
  <c r="AE28" i="26"/>
  <c r="T28" i="26"/>
  <c r="K28" i="26"/>
  <c r="AK27" i="26"/>
  <c r="AB27" i="26"/>
  <c r="S27" i="26"/>
  <c r="J27" i="26"/>
  <c r="AI26" i="26"/>
  <c r="Z26" i="26"/>
  <c r="Q26" i="26"/>
  <c r="H26" i="26"/>
  <c r="AH25" i="26"/>
  <c r="Y25" i="26"/>
  <c r="P25" i="26"/>
  <c r="F25" i="26"/>
  <c r="AF24" i="26"/>
  <c r="W24" i="26"/>
  <c r="N24" i="26"/>
  <c r="E24" i="26"/>
  <c r="AF23" i="26"/>
  <c r="X23" i="26"/>
  <c r="P23" i="26"/>
  <c r="H23" i="26"/>
  <c r="AI22" i="26"/>
  <c r="AA22" i="26"/>
  <c r="S22" i="26"/>
  <c r="K22" i="26"/>
  <c r="AL21" i="26"/>
  <c r="AD21" i="26"/>
  <c r="V21" i="26"/>
  <c r="N21" i="26"/>
  <c r="F21" i="26"/>
  <c r="AG20" i="26"/>
  <c r="Y20" i="26"/>
  <c r="Q20" i="26"/>
  <c r="I20" i="26"/>
  <c r="AJ19" i="26"/>
  <c r="AB19" i="26"/>
  <c r="T19" i="26"/>
  <c r="L19" i="26"/>
  <c r="AM18" i="26"/>
  <c r="AE18" i="26"/>
  <c r="W18" i="26"/>
  <c r="O18" i="26"/>
  <c r="G18" i="26"/>
  <c r="AH17" i="26"/>
  <c r="Z17" i="26"/>
  <c r="R17" i="26"/>
  <c r="J17" i="26"/>
  <c r="AK16" i="26"/>
  <c r="AC16" i="26"/>
  <c r="U16" i="26"/>
  <c r="M16" i="26"/>
  <c r="E16" i="26"/>
  <c r="AF15" i="26"/>
  <c r="X15" i="26"/>
  <c r="P15" i="26"/>
  <c r="H15" i="26"/>
  <c r="AI14" i="26"/>
  <c r="AA14" i="26"/>
  <c r="S14" i="26"/>
  <c r="K14" i="26"/>
  <c r="AL13" i="26"/>
  <c r="AD13" i="26"/>
  <c r="V13" i="26"/>
  <c r="N13" i="26"/>
  <c r="F13" i="26"/>
  <c r="M46" i="26"/>
  <c r="L43" i="26"/>
  <c r="AK40" i="26"/>
  <c r="AJ39" i="26"/>
  <c r="AK38" i="26"/>
  <c r="E38" i="26"/>
  <c r="AL36" i="26"/>
  <c r="H36" i="26"/>
  <c r="R35" i="26"/>
  <c r="AE34" i="26"/>
  <c r="I34" i="26"/>
  <c r="X33" i="26"/>
  <c r="AK32" i="26"/>
  <c r="O32" i="26"/>
  <c r="AL31" i="26"/>
  <c r="X31" i="26"/>
  <c r="K31" i="26"/>
  <c r="AH30" i="26"/>
  <c r="V30" i="26"/>
  <c r="L30" i="26"/>
  <c r="AK29" i="26"/>
  <c r="Y29" i="26"/>
  <c r="O29" i="26"/>
  <c r="E29" i="26"/>
  <c r="AB28" i="26"/>
  <c r="S28" i="26"/>
  <c r="J28" i="26"/>
  <c r="AJ27" i="26"/>
  <c r="AA27" i="26"/>
  <c r="R27" i="26"/>
  <c r="H27" i="26"/>
  <c r="AH26" i="26"/>
  <c r="Y26" i="26"/>
  <c r="P26" i="26"/>
  <c r="G26" i="26"/>
  <c r="AG25" i="26"/>
  <c r="X25" i="26"/>
  <c r="N25" i="26"/>
  <c r="E25" i="26"/>
  <c r="AE24" i="26"/>
  <c r="V24" i="26"/>
  <c r="M24" i="26"/>
  <c r="AM23" i="26"/>
  <c r="AE23" i="26"/>
  <c r="W23" i="26"/>
  <c r="O23" i="26"/>
  <c r="G23" i="26"/>
  <c r="AH22" i="26"/>
  <c r="Z22" i="26"/>
  <c r="R22" i="26"/>
  <c r="J22" i="26"/>
  <c r="AK21" i="26"/>
  <c r="AC21" i="26"/>
  <c r="U21" i="26"/>
  <c r="M21" i="26"/>
  <c r="E21" i="26"/>
  <c r="AF20" i="26"/>
  <c r="X20" i="26"/>
  <c r="P20" i="26"/>
  <c r="H20" i="26"/>
  <c r="AI19" i="26"/>
  <c r="AA19" i="26"/>
  <c r="S19" i="26"/>
  <c r="K19" i="26"/>
  <c r="AL18" i="26"/>
  <c r="AD18" i="26"/>
  <c r="V18" i="26"/>
  <c r="N18" i="26"/>
  <c r="F18" i="26"/>
  <c r="AF45" i="26"/>
  <c r="AH42" i="26"/>
  <c r="AE40" i="26"/>
  <c r="AH39" i="26"/>
  <c r="AF38" i="26"/>
  <c r="AG37" i="26"/>
  <c r="AJ36" i="26"/>
  <c r="E36" i="26"/>
  <c r="N35" i="26"/>
  <c r="AC34" i="26"/>
  <c r="G34" i="26"/>
  <c r="T33" i="26"/>
  <c r="AI32" i="26"/>
  <c r="M32" i="26"/>
  <c r="AI31" i="26"/>
  <c r="W31" i="26"/>
  <c r="J31" i="26"/>
  <c r="AG30" i="26"/>
  <c r="U30" i="26"/>
  <c r="K30" i="26"/>
  <c r="AJ29" i="26"/>
  <c r="X29" i="26"/>
  <c r="N29" i="26"/>
  <c r="AM28" i="26"/>
  <c r="AA28" i="26"/>
  <c r="R28" i="26"/>
  <c r="I28" i="26"/>
  <c r="AI27" i="26"/>
  <c r="Z27" i="26"/>
  <c r="P27" i="26"/>
  <c r="G27" i="26"/>
  <c r="AG26" i="26"/>
  <c r="X26" i="26"/>
  <c r="O26" i="26"/>
  <c r="F26" i="26"/>
  <c r="AF25" i="26"/>
  <c r="V25" i="26"/>
  <c r="M25" i="26"/>
  <c r="AM24" i="26"/>
  <c r="AD24" i="26"/>
  <c r="U24" i="26"/>
  <c r="L24" i="26"/>
  <c r="AL23" i="26"/>
  <c r="AD23" i="26"/>
  <c r="V23" i="26"/>
  <c r="N23" i="26"/>
  <c r="F23" i="26"/>
  <c r="AG22" i="26"/>
  <c r="Y22" i="26"/>
  <c r="Q22" i="26"/>
  <c r="I22" i="26"/>
  <c r="AJ21" i="26"/>
  <c r="AB21" i="26"/>
  <c r="T21" i="26"/>
  <c r="L21" i="26"/>
  <c r="AM20" i="26"/>
  <c r="AE20" i="26"/>
  <c r="W20" i="26"/>
  <c r="O20" i="26"/>
  <c r="G20" i="26"/>
  <c r="AH19" i="26"/>
  <c r="Z19" i="26"/>
  <c r="R19" i="26"/>
  <c r="J19" i="26"/>
  <c r="AK18" i="26"/>
  <c r="AC18" i="26"/>
  <c r="U18" i="26"/>
  <c r="M18" i="26"/>
  <c r="E18" i="26"/>
  <c r="AF17" i="26"/>
  <c r="X17" i="26"/>
  <c r="P17" i="26"/>
  <c r="H17" i="26"/>
  <c r="AI16" i="26"/>
  <c r="AA16" i="26"/>
  <c r="S16" i="26"/>
  <c r="K16" i="26"/>
  <c r="AL15" i="26"/>
  <c r="AD15" i="26"/>
  <c r="V15" i="26"/>
  <c r="N15" i="26"/>
  <c r="F15" i="26"/>
  <c r="AG14" i="26"/>
  <c r="Y14" i="26"/>
  <c r="Q14" i="26"/>
  <c r="R45" i="26"/>
  <c r="T42" i="26"/>
  <c r="Z40" i="26"/>
  <c r="AA39" i="26"/>
  <c r="AD38" i="26"/>
  <c r="AD37" i="26"/>
  <c r="AC36" i="26"/>
  <c r="AL35" i="26"/>
  <c r="L35" i="26"/>
  <c r="Y34" i="26"/>
  <c r="E34" i="26"/>
  <c r="R33" i="26"/>
  <c r="AE32" i="26"/>
  <c r="L32" i="26"/>
  <c r="AH31" i="26"/>
  <c r="V31" i="26"/>
  <c r="H31" i="26"/>
  <c r="AD30" i="26"/>
  <c r="T30" i="26"/>
  <c r="J30" i="26"/>
  <c r="AG29" i="26"/>
  <c r="W29" i="26"/>
  <c r="M29" i="26"/>
  <c r="AJ28" i="26"/>
  <c r="Z28" i="26"/>
  <c r="Q28" i="26"/>
  <c r="H28" i="26"/>
  <c r="AH27" i="26"/>
  <c r="X27" i="26"/>
  <c r="O27" i="26"/>
  <c r="F27" i="26"/>
  <c r="AF26" i="26"/>
  <c r="W26" i="26"/>
  <c r="N26" i="26"/>
  <c r="E26" i="26"/>
  <c r="AD25" i="26"/>
  <c r="U25" i="26"/>
  <c r="L25" i="26"/>
  <c r="AL24" i="26"/>
  <c r="AC24" i="26"/>
  <c r="T24" i="26"/>
  <c r="K24" i="26"/>
  <c r="AK23" i="26"/>
  <c r="AC23" i="26"/>
  <c r="U23" i="26"/>
  <c r="M23" i="26"/>
  <c r="E23" i="26"/>
  <c r="AF22" i="26"/>
  <c r="X22" i="26"/>
  <c r="P22" i="26"/>
  <c r="H22" i="26"/>
  <c r="AI21" i="26"/>
  <c r="AA21" i="26"/>
  <c r="S21" i="26"/>
  <c r="K21" i="26"/>
  <c r="AL20" i="26"/>
  <c r="AD20" i="26"/>
  <c r="V20" i="26"/>
  <c r="N20" i="26"/>
  <c r="F20" i="26"/>
  <c r="AG19" i="26"/>
  <c r="Y19" i="26"/>
  <c r="Q19" i="26"/>
  <c r="I19" i="26"/>
  <c r="AJ18" i="26"/>
  <c r="AB18" i="26"/>
  <c r="T18" i="26"/>
  <c r="L18" i="26"/>
  <c r="AM17" i="26"/>
  <c r="AE17" i="26"/>
  <c r="W17" i="26"/>
  <c r="O17" i="26"/>
  <c r="G17" i="26"/>
  <c r="AH16" i="26"/>
  <c r="Z16" i="26"/>
  <c r="R16" i="26"/>
  <c r="J16" i="26"/>
  <c r="AK15" i="26"/>
  <c r="AC15" i="26"/>
  <c r="U15" i="26"/>
  <c r="M15" i="26"/>
  <c r="E15" i="26"/>
  <c r="AF14" i="26"/>
  <c r="X14" i="26"/>
  <c r="P14" i="26"/>
  <c r="H14" i="26"/>
  <c r="AI13" i="26"/>
  <c r="AA13" i="26"/>
  <c r="S13" i="26"/>
  <c r="K13" i="26"/>
  <c r="F45" i="26"/>
  <c r="J35" i="26"/>
  <c r="G31" i="26"/>
  <c r="Y28" i="26"/>
  <c r="V26" i="26"/>
  <c r="AK24" i="26"/>
  <c r="O24" i="26"/>
  <c r="Z23" i="26"/>
  <c r="AM22" i="26"/>
  <c r="T22" i="26"/>
  <c r="AF21" i="26"/>
  <c r="J21" i="26"/>
  <c r="Z20" i="26"/>
  <c r="AL19" i="26"/>
  <c r="P19" i="26"/>
  <c r="AF18" i="26"/>
  <c r="J18" i="26"/>
  <c r="AD17" i="26"/>
  <c r="S17" i="26"/>
  <c r="E17" i="26"/>
  <c r="AB16" i="26"/>
  <c r="O16" i="26"/>
  <c r="AJ15" i="26"/>
  <c r="Y15" i="26"/>
  <c r="K15" i="26"/>
  <c r="AH14" i="26"/>
  <c r="U14" i="26"/>
  <c r="I14" i="26"/>
  <c r="AG13" i="26"/>
  <c r="W13" i="26"/>
  <c r="L13" i="26"/>
  <c r="AF13" i="26"/>
  <c r="I42" i="26"/>
  <c r="W34" i="26"/>
  <c r="AC30" i="26"/>
  <c r="P28" i="26"/>
  <c r="M26" i="26"/>
  <c r="AI24" i="26"/>
  <c r="I24" i="26"/>
  <c r="Y23" i="26"/>
  <c r="AK22" i="26"/>
  <c r="O22" i="26"/>
  <c r="AE21" i="26"/>
  <c r="H21" i="26"/>
  <c r="U20" i="26"/>
  <c r="AK19" i="26"/>
  <c r="N19" i="26"/>
  <c r="AA18" i="26"/>
  <c r="I18" i="26"/>
  <c r="AC17" i="26"/>
  <c r="Q17" i="26"/>
  <c r="AM16" i="26"/>
  <c r="Y16" i="26"/>
  <c r="N16" i="26"/>
  <c r="AI15" i="26"/>
  <c r="W15" i="26"/>
  <c r="J15" i="26"/>
  <c r="T14" i="26"/>
  <c r="U13" i="26"/>
  <c r="X40" i="26"/>
  <c r="AJ33" i="26"/>
  <c r="S30" i="26"/>
  <c r="G28" i="26"/>
  <c r="AL25" i="26"/>
  <c r="AG24" i="26"/>
  <c r="G24" i="26"/>
  <c r="T23" i="26"/>
  <c r="AJ22" i="26"/>
  <c r="M22" i="26"/>
  <c r="Z21" i="26"/>
  <c r="G21" i="26"/>
  <c r="S20" i="26"/>
  <c r="AF19" i="26"/>
  <c r="M19" i="26"/>
  <c r="Y18" i="26"/>
  <c r="H18" i="26"/>
  <c r="AB17" i="26"/>
  <c r="N17" i="26"/>
  <c r="AL16" i="26"/>
  <c r="X16" i="26"/>
  <c r="L16" i="26"/>
  <c r="AH15" i="26"/>
  <c r="T15" i="26"/>
  <c r="I15" i="26"/>
  <c r="AD14" i="26"/>
  <c r="R14" i="26"/>
  <c r="F14" i="26"/>
  <c r="AE13" i="26"/>
  <c r="T13" i="26"/>
  <c r="I13" i="26"/>
  <c r="X39" i="26"/>
  <c r="P33" i="26"/>
  <c r="I30" i="26"/>
  <c r="AF27" i="26"/>
  <c r="AC25" i="26"/>
  <c r="AB24" i="26"/>
  <c r="F24" i="26"/>
  <c r="R23" i="26"/>
  <c r="AE22" i="26"/>
  <c r="L22" i="26"/>
  <c r="X21" i="26"/>
  <c r="AK20" i="26"/>
  <c r="R20" i="26"/>
  <c r="AD19" i="26"/>
  <c r="H19" i="26"/>
  <c r="X18" i="26"/>
  <c r="AL17" i="26"/>
  <c r="AA17" i="26"/>
  <c r="M17" i="26"/>
  <c r="AJ16" i="26"/>
  <c r="W16" i="26"/>
  <c r="I16" i="26"/>
  <c r="AG15" i="26"/>
  <c r="S15" i="26"/>
  <c r="G15" i="26"/>
  <c r="AC14" i="26"/>
  <c r="O14" i="26"/>
  <c r="E14" i="26"/>
  <c r="AC13" i="26"/>
  <c r="R13" i="26"/>
  <c r="H13" i="26"/>
  <c r="AF29" i="26"/>
  <c r="M20" i="26"/>
  <c r="S18" i="26"/>
  <c r="L17" i="26"/>
  <c r="V16" i="26"/>
  <c r="AE15" i="26"/>
  <c r="AM14" i="26"/>
  <c r="N14" i="26"/>
  <c r="AB13" i="26"/>
  <c r="G13" i="26"/>
  <c r="G14" i="26"/>
  <c r="J13" i="26"/>
  <c r="W38" i="26"/>
  <c r="AC32" i="26"/>
  <c r="W27" i="26"/>
  <c r="T25" i="26"/>
  <c r="Y24" i="26"/>
  <c r="AJ23" i="26"/>
  <c r="Q23" i="26"/>
  <c r="AC22" i="26"/>
  <c r="G22" i="26"/>
  <c r="W21" i="26"/>
  <c r="AI20" i="26"/>
  <c r="AC19" i="26"/>
  <c r="F19" i="26"/>
  <c r="AK17" i="26"/>
  <c r="Y17" i="26"/>
  <c r="AG16" i="26"/>
  <c r="H16" i="26"/>
  <c r="R15" i="26"/>
  <c r="AB14" i="26"/>
  <c r="AM13" i="26"/>
  <c r="Q13" i="26"/>
  <c r="Z37" i="26"/>
  <c r="K32" i="26"/>
  <c r="V29" i="26"/>
  <c r="N27" i="26"/>
  <c r="K25" i="26"/>
  <c r="X24" i="26"/>
  <c r="AH23" i="26"/>
  <c r="L23" i="26"/>
  <c r="AB22" i="26"/>
  <c r="E22" i="26"/>
  <c r="R21" i="26"/>
  <c r="AH20" i="26"/>
  <c r="K20" i="26"/>
  <c r="X19" i="26"/>
  <c r="E19" i="26"/>
  <c r="Q18" i="26"/>
  <c r="AJ17" i="26"/>
  <c r="V17" i="26"/>
  <c r="K17" i="26"/>
  <c r="AF16" i="26"/>
  <c r="T16" i="26"/>
  <c r="G16" i="26"/>
  <c r="AB15" i="26"/>
  <c r="Q15" i="26"/>
  <c r="AL14" i="26"/>
  <c r="Z14" i="26"/>
  <c r="M14" i="26"/>
  <c r="AK13" i="26"/>
  <c r="Z13" i="26"/>
  <c r="P13" i="26"/>
  <c r="E13" i="26"/>
  <c r="AA36" i="26"/>
  <c r="AF31" i="26"/>
  <c r="L29" i="26"/>
  <c r="E27" i="26"/>
  <c r="I25" i="26"/>
  <c r="S24" i="26"/>
  <c r="AG23" i="26"/>
  <c r="J23" i="26"/>
  <c r="W22" i="26"/>
  <c r="AM21" i="26"/>
  <c r="P21" i="26"/>
  <c r="AC20" i="26"/>
  <c r="J20" i="26"/>
  <c r="V19" i="26"/>
  <c r="AI18" i="26"/>
  <c r="P18" i="26"/>
  <c r="AI17" i="26"/>
  <c r="U17" i="26"/>
  <c r="I17" i="26"/>
  <c r="AE16" i="26"/>
  <c r="Q16" i="26"/>
  <c r="F16" i="26"/>
  <c r="AA15" i="26"/>
  <c r="O15" i="26"/>
  <c r="AK14" i="26"/>
  <c r="W14" i="26"/>
  <c r="L14" i="26"/>
  <c r="AJ13" i="26"/>
  <c r="Y13" i="26"/>
  <c r="O13" i="26"/>
  <c r="AF35" i="26"/>
  <c r="S31" i="26"/>
  <c r="AI28" i="26"/>
  <c r="AE26" i="26"/>
  <c r="H25" i="26"/>
  <c r="P24" i="26"/>
  <c r="AB23" i="26"/>
  <c r="I23" i="26"/>
  <c r="U22" i="26"/>
  <c r="AH21" i="26"/>
  <c r="O21" i="26"/>
  <c r="AA20" i="26"/>
  <c r="E20" i="26"/>
  <c r="U19" i="26"/>
  <c r="AG18" i="26"/>
  <c r="K18" i="26"/>
  <c r="AG17" i="26"/>
  <c r="T17" i="26"/>
  <c r="F17" i="26"/>
  <c r="AD16" i="26"/>
  <c r="P16" i="26"/>
  <c r="AM15" i="26"/>
  <c r="Z15" i="26"/>
  <c r="L15" i="26"/>
  <c r="AJ14" i="26"/>
  <c r="V14" i="26"/>
  <c r="J14" i="26"/>
  <c r="AH13" i="26"/>
  <c r="X13" i="26"/>
  <c r="M13" i="26"/>
  <c r="AE14" i="26"/>
  <c r="U116" i="32"/>
  <c r="R116" i="32"/>
  <c r="P116" i="32"/>
  <c r="N116" i="32"/>
  <c r="L116" i="32"/>
  <c r="J116" i="32"/>
  <c r="H116" i="32"/>
  <c r="U114" i="32"/>
  <c r="R114" i="32"/>
  <c r="P114" i="32"/>
  <c r="N114" i="32"/>
  <c r="L114" i="32"/>
  <c r="J114" i="32"/>
  <c r="H114" i="32"/>
  <c r="U112" i="32"/>
  <c r="R112" i="32"/>
  <c r="P112" i="32"/>
  <c r="N112" i="32"/>
  <c r="L112" i="32"/>
  <c r="J112" i="32"/>
  <c r="H112" i="32"/>
  <c r="U110" i="32"/>
  <c r="R110" i="32"/>
  <c r="P110" i="32"/>
  <c r="N110" i="32"/>
  <c r="L110" i="32"/>
  <c r="J110" i="32"/>
  <c r="H110" i="32"/>
  <c r="U108" i="32"/>
  <c r="R108" i="32"/>
  <c r="P108" i="32"/>
  <c r="N108" i="32"/>
  <c r="L108" i="32"/>
  <c r="J108" i="32"/>
  <c r="H108" i="32"/>
  <c r="U106" i="32"/>
  <c r="R106" i="32"/>
  <c r="P106" i="32"/>
  <c r="N106" i="32"/>
  <c r="L106" i="32"/>
  <c r="J106" i="32"/>
  <c r="H106" i="32"/>
  <c r="U104" i="32"/>
  <c r="R104" i="32"/>
  <c r="P104" i="32"/>
  <c r="N104" i="32"/>
  <c r="L104" i="32"/>
  <c r="J104" i="32"/>
  <c r="H104" i="32"/>
  <c r="U102" i="32"/>
  <c r="R102" i="32"/>
  <c r="P102" i="32"/>
  <c r="N102" i="32"/>
  <c r="L102" i="32"/>
  <c r="J102" i="32"/>
  <c r="H102" i="32"/>
  <c r="U100" i="32"/>
  <c r="R100" i="32"/>
  <c r="P100" i="32"/>
  <c r="N100" i="32"/>
  <c r="L100" i="32"/>
  <c r="J100" i="32"/>
  <c r="H100" i="32"/>
  <c r="U98" i="32"/>
  <c r="R98" i="32"/>
  <c r="P98" i="32"/>
  <c r="N98" i="32"/>
  <c r="L98" i="32"/>
  <c r="J98" i="32"/>
  <c r="H98" i="32"/>
  <c r="U96" i="32"/>
  <c r="R96" i="32"/>
  <c r="P96" i="32"/>
  <c r="N96" i="32"/>
  <c r="L96" i="32"/>
  <c r="J96" i="32"/>
  <c r="H96" i="32"/>
  <c r="U94" i="32"/>
  <c r="R94" i="32"/>
  <c r="P94" i="32"/>
  <c r="N94" i="32"/>
  <c r="L94" i="32"/>
  <c r="J94" i="32"/>
  <c r="H94" i="32"/>
  <c r="U92" i="32"/>
  <c r="R92" i="32"/>
  <c r="P92" i="32"/>
  <c r="N92" i="32"/>
  <c r="L92" i="32"/>
  <c r="J92" i="32"/>
  <c r="H92" i="32"/>
  <c r="U90" i="32"/>
  <c r="R90" i="32"/>
  <c r="P90" i="32"/>
  <c r="N90" i="32"/>
  <c r="L90" i="32"/>
  <c r="J90" i="32"/>
  <c r="H90" i="32"/>
  <c r="U88" i="32"/>
  <c r="R88" i="32"/>
  <c r="P88" i="32"/>
  <c r="N88" i="32"/>
  <c r="L88" i="32"/>
  <c r="J88" i="32"/>
  <c r="H88" i="32"/>
  <c r="U86" i="32"/>
  <c r="R86" i="32"/>
  <c r="P86" i="32"/>
  <c r="N86" i="32"/>
  <c r="L86" i="32"/>
  <c r="J86" i="32"/>
  <c r="H86" i="32"/>
  <c r="U84" i="32"/>
  <c r="R84" i="32"/>
  <c r="P84" i="32"/>
  <c r="N84" i="32"/>
  <c r="L84" i="32"/>
  <c r="J84" i="32"/>
  <c r="H84" i="32"/>
  <c r="U82" i="32"/>
  <c r="R82" i="32"/>
  <c r="P82" i="32"/>
  <c r="N82" i="32"/>
  <c r="L82" i="32"/>
  <c r="J82" i="32"/>
  <c r="H82" i="32"/>
  <c r="U80" i="32"/>
  <c r="R80" i="32"/>
  <c r="P80" i="32"/>
  <c r="N80" i="32"/>
  <c r="L80" i="32"/>
  <c r="J80" i="32"/>
  <c r="H80" i="32"/>
  <c r="U78" i="32"/>
  <c r="R78" i="32"/>
  <c r="P78" i="32"/>
  <c r="N78" i="32"/>
  <c r="L78" i="32"/>
  <c r="J78" i="32"/>
  <c r="H78" i="32"/>
  <c r="U76" i="32"/>
  <c r="R76" i="32"/>
  <c r="P76" i="32"/>
  <c r="N76" i="32"/>
  <c r="L76" i="32"/>
  <c r="J76" i="32"/>
  <c r="H76" i="32"/>
  <c r="U74" i="32"/>
  <c r="R74" i="32"/>
  <c r="P74" i="32"/>
  <c r="N74" i="32"/>
  <c r="L74" i="32"/>
  <c r="J74" i="32"/>
  <c r="H74" i="32"/>
  <c r="U72" i="32"/>
  <c r="R72" i="32"/>
  <c r="P72" i="32"/>
  <c r="N72" i="32"/>
  <c r="L72" i="32"/>
  <c r="J72" i="32"/>
  <c r="H72" i="32"/>
  <c r="U70" i="32"/>
  <c r="R70" i="32"/>
  <c r="P70" i="32"/>
  <c r="N70" i="32"/>
  <c r="L70" i="32"/>
  <c r="J70" i="32"/>
  <c r="H70" i="32"/>
  <c r="U68" i="32"/>
  <c r="R68" i="32"/>
  <c r="P68" i="32"/>
  <c r="N68" i="32"/>
  <c r="L68" i="32"/>
  <c r="J68" i="32"/>
  <c r="H68" i="32"/>
  <c r="U66" i="32"/>
  <c r="R66" i="32"/>
  <c r="P66" i="32"/>
  <c r="N66" i="32"/>
  <c r="L66" i="32"/>
  <c r="J66" i="32"/>
  <c r="H66" i="32"/>
  <c r="U64" i="32"/>
  <c r="R64" i="32"/>
  <c r="P64" i="32"/>
  <c r="N64" i="32"/>
  <c r="L64" i="32"/>
  <c r="J64" i="32"/>
  <c r="H64" i="32"/>
  <c r="U62" i="32"/>
  <c r="R62" i="32"/>
  <c r="P62" i="32"/>
  <c r="N62" i="32"/>
  <c r="L62" i="32"/>
  <c r="J62" i="32"/>
  <c r="H62" i="32"/>
  <c r="U60" i="32"/>
  <c r="R60" i="32"/>
  <c r="P60" i="32"/>
  <c r="N60" i="32"/>
  <c r="L60" i="32"/>
  <c r="J60" i="32"/>
  <c r="H60" i="32"/>
  <c r="U58" i="32"/>
  <c r="R58" i="32"/>
  <c r="P58" i="32"/>
  <c r="N58" i="32"/>
  <c r="L58" i="32"/>
  <c r="J58" i="32"/>
  <c r="H58" i="32"/>
  <c r="U56" i="32"/>
  <c r="R56" i="32"/>
  <c r="P56" i="32"/>
  <c r="N56" i="32"/>
  <c r="L56" i="32"/>
  <c r="J56" i="32"/>
  <c r="H56" i="32"/>
  <c r="U54" i="32"/>
  <c r="R54" i="32"/>
  <c r="P54" i="32"/>
  <c r="N54" i="32"/>
  <c r="L54" i="32"/>
  <c r="J54" i="32"/>
  <c r="H54" i="32"/>
  <c r="U52" i="32"/>
  <c r="R52" i="32"/>
  <c r="P52" i="32"/>
  <c r="N52" i="32"/>
  <c r="L52" i="32"/>
  <c r="J52" i="32"/>
  <c r="H52" i="32"/>
  <c r="U50" i="32"/>
  <c r="R50" i="32"/>
  <c r="P50" i="32"/>
  <c r="N50" i="32"/>
  <c r="L50" i="32"/>
  <c r="J50" i="32"/>
  <c r="H50" i="32"/>
  <c r="U48" i="32"/>
  <c r="R48" i="32"/>
  <c r="P48" i="32"/>
  <c r="N48" i="32"/>
  <c r="L48" i="32"/>
  <c r="J48" i="32"/>
  <c r="H48" i="32"/>
  <c r="U46" i="32"/>
  <c r="R46" i="32"/>
  <c r="P46" i="32"/>
  <c r="N46" i="32"/>
  <c r="L46" i="32"/>
  <c r="J46" i="32"/>
  <c r="H46" i="32"/>
  <c r="U44" i="32"/>
  <c r="R44" i="32"/>
  <c r="P44" i="32"/>
  <c r="N44" i="32"/>
  <c r="L44" i="32"/>
  <c r="J44" i="32"/>
  <c r="H44" i="32"/>
  <c r="U42" i="32"/>
  <c r="R42" i="32"/>
  <c r="P42" i="32"/>
  <c r="N42" i="32"/>
  <c r="L42" i="32"/>
  <c r="J42" i="32"/>
  <c r="H42" i="32"/>
  <c r="U40" i="32"/>
  <c r="R40" i="32"/>
  <c r="P40" i="32"/>
  <c r="N40" i="32"/>
  <c r="L40" i="32"/>
  <c r="J40" i="32"/>
  <c r="H40" i="32"/>
  <c r="U38" i="32"/>
  <c r="R38" i="32"/>
  <c r="P38" i="32"/>
  <c r="N38" i="32"/>
  <c r="L38" i="32"/>
  <c r="J38" i="32"/>
  <c r="H38" i="32"/>
  <c r="U36" i="32"/>
  <c r="R36" i="32"/>
  <c r="P36" i="32"/>
  <c r="N36" i="32"/>
  <c r="L36" i="32"/>
  <c r="J36" i="32"/>
  <c r="H36" i="32"/>
  <c r="U34" i="32"/>
  <c r="R34" i="32"/>
  <c r="P34" i="32"/>
  <c r="N34" i="32"/>
  <c r="L34" i="32"/>
  <c r="J34" i="32"/>
  <c r="H34" i="32"/>
  <c r="U32" i="32"/>
  <c r="R32" i="32"/>
  <c r="P32" i="32"/>
  <c r="N32" i="32"/>
  <c r="L32" i="32"/>
  <c r="J32" i="32"/>
  <c r="H32" i="32"/>
  <c r="U30" i="32"/>
  <c r="R30" i="32"/>
  <c r="P30" i="32"/>
  <c r="N30" i="32"/>
  <c r="L30" i="32"/>
  <c r="J30" i="32"/>
  <c r="H30" i="32"/>
  <c r="U28" i="32"/>
  <c r="R28" i="32"/>
  <c r="P28" i="32"/>
  <c r="N28" i="32"/>
  <c r="L28" i="32"/>
  <c r="J28" i="32"/>
  <c r="H28" i="32"/>
  <c r="U26" i="32"/>
  <c r="R26" i="32"/>
  <c r="P26" i="32"/>
  <c r="N26" i="32"/>
  <c r="L26" i="32"/>
  <c r="J26" i="32"/>
  <c r="H26" i="32"/>
  <c r="U24" i="32"/>
  <c r="R24" i="32"/>
  <c r="P24" i="32"/>
  <c r="N24" i="32"/>
  <c r="L24" i="32"/>
  <c r="J24" i="32"/>
  <c r="H24" i="32"/>
  <c r="U22" i="32"/>
  <c r="R22" i="32"/>
  <c r="P22" i="32"/>
  <c r="N22" i="32"/>
  <c r="L22" i="32"/>
  <c r="J22" i="32"/>
  <c r="H22" i="32"/>
  <c r="U20" i="32"/>
  <c r="R20" i="32"/>
  <c r="P20" i="32"/>
  <c r="N20" i="32"/>
  <c r="L20" i="32"/>
  <c r="J20" i="32"/>
  <c r="H20" i="32"/>
  <c r="E18" i="35"/>
  <c r="G29" i="24"/>
  <c r="F46" i="38"/>
  <c r="F44" i="38"/>
  <c r="F20" i="38"/>
  <c r="F18" i="38"/>
  <c r="F16" i="38"/>
  <c r="D8" i="24" a="1"/>
  <c r="D9" i="24" a="1"/>
  <c r="D8" i="34" a="1"/>
  <c r="D9" i="38" a="1"/>
  <c r="D44" i="17" a="1"/>
  <c r="D10" i="22" a="1"/>
  <c r="D45" i="17" a="1"/>
  <c r="D43" i="17" a="1"/>
  <c r="D10" i="34" a="1"/>
  <c r="D9" i="32" a="1"/>
  <c r="D10" i="24" a="1"/>
  <c r="D8" i="38" a="1"/>
  <c r="D9" i="22" a="1"/>
  <c r="H32" i="17" a="1"/>
  <c r="D9" i="34" a="1"/>
  <c r="D8" i="32" a="1"/>
  <c r="D8" i="38" l="1"/>
  <c r="D9" i="38"/>
  <c r="D9" i="34"/>
  <c r="D8" i="34"/>
  <c r="D10" i="34"/>
  <c r="D8" i="32"/>
  <c r="D9" i="32"/>
  <c r="D10" i="22"/>
  <c r="D9" i="22"/>
  <c r="D10" i="24"/>
  <c r="D8" i="24"/>
  <c r="D9" i="24"/>
  <c r="D44" i="17"/>
  <c r="D43" i="17"/>
  <c r="D45" i="17"/>
  <c r="H32" i="17"/>
  <c r="E23" i="28" l="1"/>
  <c r="K16" i="36" l="1"/>
  <c r="K17" i="36" s="1"/>
  <c r="K18" i="36" s="1"/>
  <c r="K19" i="36" s="1"/>
  <c r="K20" i="36" s="1"/>
  <c r="K21" i="36" s="1"/>
  <c r="K22" i="36" s="1"/>
  <c r="K23" i="36" s="1"/>
  <c r="K24" i="36" s="1"/>
  <c r="K25" i="36" s="1"/>
  <c r="K26" i="36" s="1"/>
  <c r="K27" i="36" s="1"/>
  <c r="K28" i="36" s="1"/>
  <c r="K29" i="36" s="1"/>
  <c r="K30" i="36" s="1"/>
  <c r="K31" i="36" s="1"/>
  <c r="K32" i="36" s="1"/>
  <c r="K33" i="36" s="1"/>
  <c r="K34" i="36" s="1"/>
  <c r="K35" i="36" s="1"/>
  <c r="K36" i="36" s="1"/>
  <c r="K37" i="36" s="1"/>
  <c r="K38" i="36" s="1"/>
  <c r="K39" i="36" s="1"/>
  <c r="K40" i="36" s="1"/>
  <c r="P16" i="36"/>
  <c r="P17" i="36"/>
  <c r="P18" i="36" s="1"/>
  <c r="P19" i="36" s="1"/>
  <c r="P20" i="36" s="1"/>
  <c r="P21" i="36" s="1"/>
  <c r="P22" i="36" s="1"/>
  <c r="P23" i="36" s="1"/>
  <c r="P24" i="36" s="1"/>
  <c r="P25" i="36" s="1"/>
  <c r="P26" i="36" s="1"/>
  <c r="P27" i="36" s="1"/>
  <c r="P28" i="36" s="1"/>
  <c r="P29" i="36" s="1"/>
  <c r="P30" i="36" s="1"/>
  <c r="P31" i="36" s="1"/>
  <c r="P32" i="36" s="1"/>
  <c r="P33" i="36" s="1"/>
  <c r="P34" i="36" s="1"/>
  <c r="P35" i="36" s="1"/>
  <c r="P36" i="36" s="1"/>
  <c r="P37" i="36" s="1"/>
  <c r="P38" i="36" s="1"/>
  <c r="P39" i="36" s="1"/>
  <c r="P40" i="36" s="1"/>
  <c r="O16" i="36"/>
  <c r="O17" i="36"/>
  <c r="O18" i="36"/>
  <c r="O19" i="36"/>
  <c r="O20" i="36"/>
  <c r="O21" i="36" s="1"/>
  <c r="O22" i="36" s="1"/>
  <c r="O23" i="36" s="1"/>
  <c r="O24" i="36" s="1"/>
  <c r="O25" i="36" s="1"/>
  <c r="J16" i="36"/>
  <c r="J17" i="36"/>
  <c r="J18" i="36"/>
  <c r="J19" i="36"/>
  <c r="J20" i="36" s="1"/>
  <c r="J21" i="36" s="1"/>
  <c r="J22" i="36" s="1"/>
  <c r="J23" i="36" s="1"/>
  <c r="J24" i="36" s="1"/>
  <c r="J25" i="36" s="1"/>
  <c r="J26" i="36" s="1"/>
  <c r="J27" i="36" s="1"/>
  <c r="J28" i="36" s="1"/>
  <c r="J29" i="36" s="1"/>
  <c r="J30" i="36" s="1"/>
  <c r="J31" i="36" s="1"/>
  <c r="J32" i="36" s="1"/>
  <c r="J33" i="36" s="1"/>
  <c r="J34" i="36" s="1"/>
  <c r="J35" i="36" s="1"/>
  <c r="J36" i="36" s="1"/>
  <c r="J37" i="36" s="1"/>
  <c r="J38" i="36" s="1"/>
  <c r="J39" i="36" s="1"/>
  <c r="J40" i="36" s="1"/>
  <c r="F17" i="36"/>
  <c r="F18" i="36"/>
  <c r="F19" i="36"/>
  <c r="F20" i="36" s="1"/>
  <c r="F21" i="36" s="1"/>
  <c r="F22" i="36" s="1"/>
  <c r="F23" i="36" s="1"/>
  <c r="F24" i="36" s="1"/>
  <c r="F25" i="36" s="1"/>
  <c r="F26" i="36" s="1"/>
  <c r="F27" i="36" s="1"/>
  <c r="F28" i="36" s="1"/>
  <c r="E17" i="36"/>
  <c r="E18" i="36"/>
  <c r="E19" i="36"/>
  <c r="E20" i="36"/>
  <c r="E21" i="36" s="1"/>
  <c r="E22" i="36" s="1"/>
  <c r="E23" i="36" s="1"/>
  <c r="E24" i="36" s="1"/>
  <c r="E25" i="36" s="1"/>
  <c r="E26" i="36" s="1"/>
  <c r="E27" i="36" s="1"/>
  <c r="E28" i="36" s="1"/>
  <c r="E29" i="36" s="1"/>
  <c r="E45" i="36" l="1"/>
  <c r="F45" i="36" s="1"/>
  <c r="O26" i="36"/>
  <c r="O27" i="36" s="1"/>
  <c r="O28" i="36" s="1"/>
  <c r="O29" i="36" s="1"/>
  <c r="O30" i="36" s="1"/>
  <c r="O31" i="36" s="1"/>
  <c r="O32" i="36" s="1"/>
  <c r="O33" i="36" s="1"/>
  <c r="O34" i="36" s="1"/>
  <c r="O35" i="36" s="1"/>
  <c r="O36" i="36" s="1"/>
  <c r="O37" i="36" s="1"/>
  <c r="O38" i="36" s="1"/>
  <c r="O39" i="36" s="1"/>
  <c r="O40" i="36" s="1"/>
  <c r="G27" i="36"/>
  <c r="G16" i="36"/>
  <c r="G23" i="36"/>
  <c r="G24" i="36"/>
  <c r="G21" i="36"/>
  <c r="G19" i="36"/>
  <c r="G17" i="36"/>
  <c r="G22" i="36"/>
  <c r="G20" i="36"/>
  <c r="G18" i="36"/>
  <c r="G26" i="36"/>
  <c r="G25" i="36"/>
  <c r="E30" i="36"/>
  <c r="G28" i="36"/>
  <c r="F29" i="36"/>
  <c r="F30" i="36" s="1"/>
  <c r="F31" i="36" s="1"/>
  <c r="F32" i="36" s="1"/>
  <c r="F33" i="36" s="1"/>
  <c r="F34" i="36" s="1"/>
  <c r="F35" i="36" s="1"/>
  <c r="F36" i="36" s="1"/>
  <c r="F37" i="36" s="1"/>
  <c r="F38" i="36" s="1"/>
  <c r="F39" i="36" s="1"/>
  <c r="F40" i="36" s="1"/>
  <c r="Q16" i="36"/>
  <c r="L28" i="36"/>
  <c r="L32" i="36"/>
  <c r="L31" i="36"/>
  <c r="L26" i="36"/>
  <c r="L29" i="36"/>
  <c r="L30" i="36"/>
  <c r="L27" i="36"/>
  <c r="L16" i="36"/>
  <c r="M15" i="36"/>
  <c r="T15" i="36" s="1"/>
  <c r="H27" i="36" l="1"/>
  <c r="H16" i="36"/>
  <c r="H19" i="36"/>
  <c r="H17" i="36"/>
  <c r="H24" i="36"/>
  <c r="H28" i="36"/>
  <c r="H20" i="36"/>
  <c r="H23" i="36"/>
  <c r="H22" i="36"/>
  <c r="H25" i="36"/>
  <c r="H26" i="36"/>
  <c r="H21" i="36"/>
  <c r="H18" i="36"/>
  <c r="G29" i="36"/>
  <c r="H29" i="36" s="1"/>
  <c r="E31" i="36"/>
  <c r="G30" i="36"/>
  <c r="H30" i="36" s="1"/>
  <c r="Q17" i="36"/>
  <c r="R17" i="36" s="1"/>
  <c r="R16" i="36"/>
  <c r="L33" i="36"/>
  <c r="M33" i="36" s="1"/>
  <c r="M30" i="36"/>
  <c r="M31" i="36"/>
  <c r="M26" i="36"/>
  <c r="M28" i="36"/>
  <c r="M27" i="36"/>
  <c r="M32" i="36"/>
  <c r="L17" i="36"/>
  <c r="M17" i="36" s="1"/>
  <c r="M16" i="36"/>
  <c r="M29" i="36"/>
  <c r="T16" i="36" l="1"/>
  <c r="T17" i="36"/>
  <c r="E32" i="36"/>
  <c r="G31" i="36"/>
  <c r="H31" i="36" s="1"/>
  <c r="Q18" i="36"/>
  <c r="R18" i="36" s="1"/>
  <c r="L34" i="36"/>
  <c r="M34" i="36" s="1"/>
  <c r="L18" i="36"/>
  <c r="M18" i="36" s="1"/>
  <c r="T18" i="36" l="1"/>
  <c r="E33" i="36"/>
  <c r="G32" i="36"/>
  <c r="H32" i="36" s="1"/>
  <c r="Q19" i="36"/>
  <c r="R19" i="36" s="1"/>
  <c r="L35" i="36"/>
  <c r="M35" i="36" s="1"/>
  <c r="L19" i="36"/>
  <c r="M19" i="36" s="1"/>
  <c r="T19" i="36" l="1"/>
  <c r="E34" i="36"/>
  <c r="G33" i="36"/>
  <c r="H33" i="36" s="1"/>
  <c r="Q20" i="36"/>
  <c r="R20" i="36" s="1"/>
  <c r="L36" i="36"/>
  <c r="M36" i="36" s="1"/>
  <c r="L20" i="36"/>
  <c r="M20" i="36" s="1"/>
  <c r="T20" i="36" s="1"/>
  <c r="E35" i="36" l="1"/>
  <c r="G34" i="36"/>
  <c r="H34" i="36" s="1"/>
  <c r="Q21" i="36"/>
  <c r="R21" i="36" s="1"/>
  <c r="L37" i="36"/>
  <c r="M37" i="36" s="1"/>
  <c r="L21" i="36"/>
  <c r="M21" i="36" s="1"/>
  <c r="T21" i="36" l="1"/>
  <c r="E36" i="36"/>
  <c r="G35" i="36"/>
  <c r="H35" i="36" s="1"/>
  <c r="Q22" i="36"/>
  <c r="R22" i="36" s="1"/>
  <c r="L38" i="36"/>
  <c r="M38" i="36" s="1"/>
  <c r="L22" i="36"/>
  <c r="M22" i="36" s="1"/>
  <c r="T22" i="36" l="1"/>
  <c r="E37" i="36"/>
  <c r="G36" i="36"/>
  <c r="H36" i="36" s="1"/>
  <c r="Q23" i="36"/>
  <c r="R23" i="36" s="1"/>
  <c r="L39" i="36"/>
  <c r="M39" i="36" s="1"/>
  <c r="L23" i="36"/>
  <c r="M23" i="36" s="1"/>
  <c r="T23" i="36" l="1"/>
  <c r="E38" i="36"/>
  <c r="G37" i="36"/>
  <c r="H37" i="36" s="1"/>
  <c r="Q24" i="36"/>
  <c r="R24" i="36" s="1"/>
  <c r="L40" i="36"/>
  <c r="M40" i="36" s="1"/>
  <c r="L25" i="36"/>
  <c r="M25" i="36" s="1"/>
  <c r="L24" i="36"/>
  <c r="M24" i="36" s="1"/>
  <c r="T24" i="36" l="1"/>
  <c r="E39" i="36"/>
  <c r="G38" i="36"/>
  <c r="H38" i="36" s="1"/>
  <c r="Q25" i="36"/>
  <c r="R25" i="36" l="1"/>
  <c r="T25" i="36" s="1"/>
  <c r="E46" i="36"/>
  <c r="F46" i="36" s="1"/>
  <c r="E40" i="36"/>
  <c r="G40" i="36" s="1"/>
  <c r="H40" i="36" s="1"/>
  <c r="G39" i="36"/>
  <c r="H39" i="36" s="1"/>
  <c r="Q26" i="36"/>
  <c r="R26" i="36" l="1"/>
  <c r="T26" i="36" s="1"/>
  <c r="E47" i="36"/>
  <c r="F47" i="36" s="1"/>
  <c r="Q27" i="36"/>
  <c r="R27" i="36" l="1"/>
  <c r="T27" i="36" s="1"/>
  <c r="E48" i="36"/>
  <c r="F48" i="36" s="1"/>
  <c r="Q28" i="36"/>
  <c r="R28" i="36" l="1"/>
  <c r="T28" i="36" s="1"/>
  <c r="E49" i="36"/>
  <c r="F49" i="36" s="1"/>
  <c r="Q29" i="36"/>
  <c r="R29" i="36" l="1"/>
  <c r="T29" i="36" s="1"/>
  <c r="E50" i="36"/>
  <c r="F50" i="36" s="1"/>
  <c r="Q30" i="36"/>
  <c r="R30" i="36" l="1"/>
  <c r="T30" i="36" s="1"/>
  <c r="E51" i="36"/>
  <c r="F51" i="36" s="1"/>
  <c r="Q31" i="36"/>
  <c r="V30" i="36" l="1"/>
  <c r="W30" i="36"/>
  <c r="U30" i="36"/>
  <c r="R31" i="36"/>
  <c r="T31" i="36" s="1"/>
  <c r="E52" i="36"/>
  <c r="F52" i="36" s="1"/>
  <c r="Q32" i="36"/>
  <c r="U31" i="36" l="1"/>
  <c r="V31" i="36"/>
  <c r="W31" i="36"/>
  <c r="R32" i="36"/>
  <c r="T32" i="36" s="1"/>
  <c r="E53" i="36"/>
  <c r="F53" i="36" s="1"/>
  <c r="E9" i="36" s="1"/>
  <c r="Q33" i="36"/>
  <c r="U32" i="36" l="1"/>
  <c r="E6" i="36" s="1"/>
  <c r="W32" i="36"/>
  <c r="E8" i="36" s="1"/>
  <c r="V32" i="36"/>
  <c r="E7" i="36" s="1"/>
  <c r="R33" i="36"/>
  <c r="T33" i="36" s="1"/>
  <c r="E54" i="36"/>
  <c r="F54" i="36" s="1"/>
  <c r="Q34" i="36"/>
  <c r="E17" i="35" l="1"/>
  <c r="E19" i="35"/>
  <c r="U33" i="36"/>
  <c r="W33" i="36"/>
  <c r="V33" i="36"/>
  <c r="R34" i="36"/>
  <c r="T34" i="36" s="1"/>
  <c r="E55" i="36"/>
  <c r="F55" i="36" s="1"/>
  <c r="Q35" i="36"/>
  <c r="E20" i="35" l="1"/>
  <c r="E6" i="35" s="1"/>
  <c r="F36" i="38" s="1"/>
  <c r="U34" i="36"/>
  <c r="V34" i="36"/>
  <c r="W34" i="36"/>
  <c r="R35" i="36"/>
  <c r="T35" i="36" s="1"/>
  <c r="E56" i="36"/>
  <c r="F56" i="36" s="1"/>
  <c r="Q36" i="36"/>
  <c r="U35" i="36" l="1"/>
  <c r="W35" i="36"/>
  <c r="V35" i="36"/>
  <c r="R36" i="36"/>
  <c r="T36" i="36" s="1"/>
  <c r="E57" i="36"/>
  <c r="F57" i="36" s="1"/>
  <c r="Q37" i="36"/>
  <c r="U36" i="36" l="1"/>
  <c r="W36" i="36"/>
  <c r="V36" i="36"/>
  <c r="R37" i="36"/>
  <c r="T37" i="36" s="1"/>
  <c r="E58" i="36"/>
  <c r="F58" i="36" s="1"/>
  <c r="Q38" i="36"/>
  <c r="U37" i="36" l="1"/>
  <c r="W37" i="36"/>
  <c r="V37" i="36"/>
  <c r="R38" i="36"/>
  <c r="T38" i="36" s="1"/>
  <c r="E59" i="36"/>
  <c r="F59" i="36" s="1"/>
  <c r="Q40" i="36"/>
  <c r="Q39" i="36"/>
  <c r="U38" i="36" l="1"/>
  <c r="W38" i="36"/>
  <c r="V38" i="36"/>
  <c r="R39" i="36"/>
  <c r="T39" i="36" s="1"/>
  <c r="E60" i="36"/>
  <c r="F60" i="36" s="1"/>
  <c r="R40" i="36"/>
  <c r="T40" i="36" s="1"/>
  <c r="E61" i="36"/>
  <c r="F61" i="36" s="1"/>
  <c r="F23" i="28"/>
  <c r="U40" i="36" l="1"/>
  <c r="V40" i="36"/>
  <c r="W40" i="36"/>
  <c r="U39" i="36"/>
  <c r="V39" i="36"/>
  <c r="W39" i="36"/>
  <c r="E25" i="28"/>
  <c r="F25" i="28"/>
  <c r="E18" i="28" l="1"/>
  <c r="E20" i="28" s="1"/>
  <c r="E19" i="28" l="1"/>
  <c r="E18" i="33"/>
  <c r="E122" i="33" l="1"/>
  <c r="E106" i="33"/>
  <c r="E90" i="33"/>
  <c r="E74" i="33"/>
  <c r="E58" i="33"/>
  <c r="E42" i="33"/>
  <c r="E26" i="33"/>
  <c r="E120" i="33"/>
  <c r="E104" i="33"/>
  <c r="E88" i="33"/>
  <c r="E72" i="33"/>
  <c r="E56" i="33"/>
  <c r="E40" i="33"/>
  <c r="E24" i="33"/>
  <c r="G24" i="33" s="1"/>
  <c r="E64" i="33"/>
  <c r="E110" i="33"/>
  <c r="E46" i="33"/>
  <c r="E76" i="33"/>
  <c r="E28" i="33"/>
  <c r="E118" i="33"/>
  <c r="E102" i="33"/>
  <c r="E86" i="33"/>
  <c r="E70" i="33"/>
  <c r="E54" i="33"/>
  <c r="E38" i="33"/>
  <c r="E80" i="33"/>
  <c r="E62" i="33"/>
  <c r="E30" i="33"/>
  <c r="E92" i="33"/>
  <c r="E44" i="33"/>
  <c r="E116" i="33"/>
  <c r="E100" i="33"/>
  <c r="E84" i="33"/>
  <c r="E68" i="33"/>
  <c r="E52" i="33"/>
  <c r="E36" i="33"/>
  <c r="E96" i="33"/>
  <c r="E48" i="33"/>
  <c r="E78" i="33"/>
  <c r="E114" i="33"/>
  <c r="E98" i="33"/>
  <c r="E82" i="33"/>
  <c r="E66" i="33"/>
  <c r="E50" i="33"/>
  <c r="E34" i="33"/>
  <c r="E112" i="33"/>
  <c r="E32" i="33"/>
  <c r="E94" i="33"/>
  <c r="E108" i="33"/>
  <c r="E60" i="33"/>
  <c r="H64" i="33" l="1"/>
  <c r="K57" i="32" s="1"/>
  <c r="G64" i="33"/>
  <c r="I57" i="32" s="1"/>
  <c r="H114" i="33"/>
  <c r="G114" i="33"/>
  <c r="G32" i="33"/>
  <c r="I25" i="32" s="1"/>
  <c r="H32" i="33"/>
  <c r="K25" i="32" s="1"/>
  <c r="H42" i="33"/>
  <c r="G42" i="33"/>
  <c r="H58" i="33"/>
  <c r="K51" i="32" s="1"/>
  <c r="G58" i="33"/>
  <c r="I51" i="32" s="1"/>
  <c r="H120" i="33"/>
  <c r="G120" i="33"/>
  <c r="G116" i="33"/>
  <c r="H116" i="33"/>
  <c r="K109" i="32" s="1"/>
  <c r="H86" i="33"/>
  <c r="K79" i="32" s="1"/>
  <c r="G86" i="33"/>
  <c r="I79" i="32" s="1"/>
  <c r="H74" i="33"/>
  <c r="K67" i="32" s="1"/>
  <c r="G74" i="33"/>
  <c r="I67" i="32" s="1"/>
  <c r="H94" i="33"/>
  <c r="K87" i="32" s="1"/>
  <c r="G94" i="33"/>
  <c r="I87" i="32" s="1"/>
  <c r="G100" i="33"/>
  <c r="I93" i="32" s="1"/>
  <c r="H100" i="33"/>
  <c r="K93" i="32" s="1"/>
  <c r="H26" i="33"/>
  <c r="K19" i="32" s="1"/>
  <c r="G26" i="33"/>
  <c r="I19" i="32" s="1"/>
  <c r="H44" i="33"/>
  <c r="K37" i="32" s="1"/>
  <c r="G44" i="33"/>
  <c r="I37" i="32" s="1"/>
  <c r="H96" i="33"/>
  <c r="G96" i="33"/>
  <c r="H40" i="33"/>
  <c r="K33" i="32" s="1"/>
  <c r="G40" i="33"/>
  <c r="I33" i="32" s="1"/>
  <c r="H30" i="33"/>
  <c r="K23" i="32" s="1"/>
  <c r="G30" i="33"/>
  <c r="I23" i="32" s="1"/>
  <c r="H66" i="33"/>
  <c r="G66" i="33"/>
  <c r="G62" i="33"/>
  <c r="I55" i="32" s="1"/>
  <c r="H62" i="33"/>
  <c r="K55" i="32" s="1"/>
  <c r="H28" i="33"/>
  <c r="K21" i="32" s="1"/>
  <c r="G28" i="33"/>
  <c r="I21" i="32" s="1"/>
  <c r="H72" i="33"/>
  <c r="G72" i="33"/>
  <c r="H90" i="33"/>
  <c r="G90" i="33"/>
  <c r="H54" i="33"/>
  <c r="G54" i="33"/>
  <c r="H70" i="33"/>
  <c r="K63" i="32" s="1"/>
  <c r="G70" i="33"/>
  <c r="I63" i="32" s="1"/>
  <c r="H48" i="33"/>
  <c r="G48" i="33"/>
  <c r="H34" i="33"/>
  <c r="K27" i="32" s="1"/>
  <c r="G34" i="33"/>
  <c r="I27" i="32" s="1"/>
  <c r="H102" i="33"/>
  <c r="G102" i="33"/>
  <c r="G36" i="33"/>
  <c r="H36" i="33"/>
  <c r="G56" i="33"/>
  <c r="I49" i="32" s="1"/>
  <c r="H56" i="33"/>
  <c r="K49" i="32" s="1"/>
  <c r="H82" i="33"/>
  <c r="K75" i="32" s="1"/>
  <c r="G82" i="33"/>
  <c r="I75" i="32" s="1"/>
  <c r="G76" i="33"/>
  <c r="I69" i="32" s="1"/>
  <c r="H76" i="33"/>
  <c r="K69" i="32" s="1"/>
  <c r="H106" i="33"/>
  <c r="K99" i="32" s="1"/>
  <c r="G106" i="33"/>
  <c r="I99" i="32" s="1"/>
  <c r="H110" i="33"/>
  <c r="K103" i="32" s="1"/>
  <c r="G110" i="33"/>
  <c r="I103" i="32" s="1"/>
  <c r="H78" i="33"/>
  <c r="G78" i="33"/>
  <c r="H112" i="33"/>
  <c r="K105" i="32" s="1"/>
  <c r="G112" i="33"/>
  <c r="I105" i="32" s="1"/>
  <c r="H24" i="33"/>
  <c r="K17" i="32" s="1"/>
  <c r="I17" i="32"/>
  <c r="G92" i="33"/>
  <c r="I85" i="32" s="1"/>
  <c r="H92" i="33"/>
  <c r="K85" i="32" s="1"/>
  <c r="H50" i="33"/>
  <c r="K43" i="32" s="1"/>
  <c r="G50" i="33"/>
  <c r="I43" i="32" s="1"/>
  <c r="H118" i="33"/>
  <c r="K111" i="32" s="1"/>
  <c r="G118" i="33"/>
  <c r="I111" i="32" s="1"/>
  <c r="H52" i="33"/>
  <c r="K45" i="32" s="1"/>
  <c r="G52" i="33"/>
  <c r="I45" i="32" s="1"/>
  <c r="H60" i="33"/>
  <c r="G60" i="33"/>
  <c r="G68" i="33"/>
  <c r="I61" i="32" s="1"/>
  <c r="H68" i="33"/>
  <c r="K61" i="32" s="1"/>
  <c r="H80" i="33"/>
  <c r="K73" i="32" s="1"/>
  <c r="G80" i="33"/>
  <c r="I73" i="32" s="1"/>
  <c r="H88" i="33"/>
  <c r="K81" i="32" s="1"/>
  <c r="G88" i="33"/>
  <c r="I81" i="32" s="1"/>
  <c r="H108" i="33"/>
  <c r="G108" i="33"/>
  <c r="H98" i="33"/>
  <c r="K91" i="32" s="1"/>
  <c r="G98" i="33"/>
  <c r="I91" i="32" s="1"/>
  <c r="H84" i="33"/>
  <c r="G84" i="33"/>
  <c r="G38" i="33"/>
  <c r="I31" i="32" s="1"/>
  <c r="H38" i="33"/>
  <c r="K31" i="32" s="1"/>
  <c r="H46" i="33"/>
  <c r="K39" i="32" s="1"/>
  <c r="G46" i="33"/>
  <c r="I39" i="32" s="1"/>
  <c r="H104" i="33"/>
  <c r="K97" i="32" s="1"/>
  <c r="G104" i="33"/>
  <c r="I97" i="32" s="1"/>
  <c r="H122" i="33"/>
  <c r="K115" i="32" s="1"/>
  <c r="G122" i="33"/>
  <c r="I115" i="32" s="1"/>
  <c r="I26" i="33"/>
  <c r="K34" i="33"/>
  <c r="AD34" i="33"/>
  <c r="Z34" i="33"/>
  <c r="J34" i="33"/>
  <c r="AG34" i="33"/>
  <c r="AC34" i="33"/>
  <c r="M34" i="33"/>
  <c r="AH34" i="33"/>
  <c r="Y34" i="33"/>
  <c r="AF34" i="33"/>
  <c r="Q34" i="33"/>
  <c r="AK34" i="33"/>
  <c r="X34" i="33"/>
  <c r="W34" i="33"/>
  <c r="AA34" i="33"/>
  <c r="I34" i="33"/>
  <c r="V34" i="33"/>
  <c r="P34" i="33"/>
  <c r="U34" i="33"/>
  <c r="F34" i="33"/>
  <c r="L34" i="33"/>
  <c r="AJ34" i="33"/>
  <c r="AB34" i="33"/>
  <c r="N34" i="33"/>
  <c r="AE34" i="33"/>
  <c r="R34" i="33"/>
  <c r="AI34" i="33"/>
  <c r="O34" i="33"/>
  <c r="S34" i="33"/>
  <c r="T34" i="33"/>
  <c r="AB32" i="33"/>
  <c r="X32" i="33"/>
  <c r="V32" i="33"/>
  <c r="AD32" i="33"/>
  <c r="I32" i="33"/>
  <c r="T32" i="33"/>
  <c r="P32" i="33"/>
  <c r="AG32" i="33"/>
  <c r="Q32" i="33"/>
  <c r="L32" i="33"/>
  <c r="Y32" i="33"/>
  <c r="U32" i="33"/>
  <c r="AC32" i="33"/>
  <c r="AH32" i="33"/>
  <c r="O32" i="33"/>
  <c r="AE32" i="33"/>
  <c r="M32" i="33"/>
  <c r="AJ32" i="33"/>
  <c r="K32" i="33"/>
  <c r="AI32" i="33"/>
  <c r="AK32" i="33"/>
  <c r="Z32" i="33"/>
  <c r="W32" i="33"/>
  <c r="N32" i="33"/>
  <c r="R32" i="33"/>
  <c r="F32" i="33"/>
  <c r="AF32" i="33"/>
  <c r="S32" i="33"/>
  <c r="J32" i="33"/>
  <c r="AA32" i="33"/>
  <c r="U74" i="33"/>
  <c r="S74" i="33"/>
  <c r="R74" i="33"/>
  <c r="Z74" i="33"/>
  <c r="AF74" i="33"/>
  <c r="Y74" i="33"/>
  <c r="T74" i="33"/>
  <c r="L74" i="33"/>
  <c r="I74" i="33"/>
  <c r="N74" i="33"/>
  <c r="AC74" i="33"/>
  <c r="F74" i="33"/>
  <c r="M74" i="33"/>
  <c r="K74" i="33"/>
  <c r="X74" i="33"/>
  <c r="AE74" i="33"/>
  <c r="Q74" i="33"/>
  <c r="AD74" i="33"/>
  <c r="AK74" i="33"/>
  <c r="AA74" i="33"/>
  <c r="AJ74" i="33"/>
  <c r="AG74" i="33"/>
  <c r="P74" i="33"/>
  <c r="V74" i="33"/>
  <c r="AB74" i="33"/>
  <c r="J74" i="33"/>
  <c r="O74" i="33"/>
  <c r="W74" i="33"/>
  <c r="AI74" i="33"/>
  <c r="AH74" i="33"/>
  <c r="AH110" i="33"/>
  <c r="X110" i="33"/>
  <c r="N110" i="33"/>
  <c r="T110" i="33"/>
  <c r="AI110" i="33"/>
  <c r="Y110" i="33"/>
  <c r="S110" i="33"/>
  <c r="AD110" i="33"/>
  <c r="K110" i="33"/>
  <c r="V110" i="33"/>
  <c r="Z110" i="33"/>
  <c r="P110" i="33"/>
  <c r="F110" i="33"/>
  <c r="L110" i="33"/>
  <c r="R110" i="33"/>
  <c r="AE110" i="33"/>
  <c r="AK110" i="33"/>
  <c r="I110" i="33"/>
  <c r="J110" i="33"/>
  <c r="W110" i="33"/>
  <c r="AC110" i="33"/>
  <c r="AG110" i="33"/>
  <c r="O110" i="33"/>
  <c r="U110" i="33"/>
  <c r="AA110" i="33"/>
  <c r="M110" i="33"/>
  <c r="Q110" i="33"/>
  <c r="AJ110" i="33"/>
  <c r="AF110" i="33"/>
  <c r="AB110" i="33"/>
  <c r="I70" i="33"/>
  <c r="N70" i="33"/>
  <c r="S70" i="33"/>
  <c r="Q70" i="33"/>
  <c r="AJ70" i="33"/>
  <c r="O70" i="33"/>
  <c r="T70" i="33"/>
  <c r="AH70" i="33"/>
  <c r="R70" i="33"/>
  <c r="F70" i="33"/>
  <c r="K70" i="33"/>
  <c r="AF70" i="33"/>
  <c r="AE70" i="33"/>
  <c r="AK70" i="33"/>
  <c r="Y70" i="33"/>
  <c r="P70" i="33"/>
  <c r="W70" i="33"/>
  <c r="Z70" i="33"/>
  <c r="U70" i="33"/>
  <c r="M70" i="33"/>
  <c r="AI70" i="33"/>
  <c r="AG70" i="33"/>
  <c r="AC70" i="33"/>
  <c r="X70" i="33"/>
  <c r="L70" i="33"/>
  <c r="AB70" i="33"/>
  <c r="V70" i="33"/>
  <c r="AD70" i="33"/>
  <c r="J70" i="33"/>
  <c r="AA70" i="33"/>
  <c r="I58" i="33"/>
  <c r="M58" i="33"/>
  <c r="K58" i="33"/>
  <c r="X58" i="33"/>
  <c r="AD58" i="33"/>
  <c r="N58" i="33"/>
  <c r="AC58" i="33"/>
  <c r="AH58" i="33"/>
  <c r="U58" i="33"/>
  <c r="AJ58" i="33"/>
  <c r="AG58" i="33"/>
  <c r="W58" i="33"/>
  <c r="P58" i="33"/>
  <c r="AB58" i="33"/>
  <c r="R58" i="33"/>
  <c r="Q58" i="33"/>
  <c r="L58" i="33"/>
  <c r="O58" i="33"/>
  <c r="Z58" i="33"/>
  <c r="J58" i="33"/>
  <c r="Y58" i="33"/>
  <c r="T58" i="33"/>
  <c r="V58" i="33"/>
  <c r="AE58" i="33"/>
  <c r="F58" i="33"/>
  <c r="AK58" i="33"/>
  <c r="AA58" i="33"/>
  <c r="S58" i="33"/>
  <c r="AI58" i="33"/>
  <c r="AF58" i="33"/>
  <c r="AA94" i="33"/>
  <c r="S94" i="33"/>
  <c r="AE94" i="33"/>
  <c r="AD94" i="33"/>
  <c r="AJ94" i="33"/>
  <c r="K94" i="33"/>
  <c r="W94" i="33"/>
  <c r="J94" i="33"/>
  <c r="AH94" i="33"/>
  <c r="AG94" i="33"/>
  <c r="O94" i="33"/>
  <c r="AB94" i="33"/>
  <c r="N94" i="33"/>
  <c r="AF94" i="33"/>
  <c r="V94" i="33"/>
  <c r="U94" i="33"/>
  <c r="M94" i="33"/>
  <c r="P94" i="33"/>
  <c r="Y94" i="33"/>
  <c r="F94" i="33"/>
  <c r="L94" i="33"/>
  <c r="I94" i="33"/>
  <c r="Q94" i="33"/>
  <c r="AK94" i="33"/>
  <c r="Z94" i="33"/>
  <c r="AC94" i="33"/>
  <c r="AI94" i="33"/>
  <c r="X94" i="33"/>
  <c r="T94" i="33"/>
  <c r="R94" i="33"/>
  <c r="I64" i="33"/>
  <c r="AH64" i="33"/>
  <c r="X64" i="33"/>
  <c r="W64" i="33"/>
  <c r="AE64" i="33"/>
  <c r="Z64" i="33"/>
  <c r="P64" i="33"/>
  <c r="AC64" i="33"/>
  <c r="J64" i="33"/>
  <c r="U64" i="33"/>
  <c r="AG64" i="33"/>
  <c r="N64" i="33"/>
  <c r="Y64" i="33"/>
  <c r="K64" i="33"/>
  <c r="Q64" i="33"/>
  <c r="AF64" i="33"/>
  <c r="AI64" i="33"/>
  <c r="R64" i="33"/>
  <c r="AD64" i="33"/>
  <c r="AK64" i="33"/>
  <c r="AA64" i="33"/>
  <c r="V64" i="33"/>
  <c r="M64" i="33"/>
  <c r="T64" i="33"/>
  <c r="S64" i="33"/>
  <c r="O64" i="33"/>
  <c r="AJ64" i="33"/>
  <c r="F64" i="33"/>
  <c r="AB64" i="33"/>
  <c r="L64" i="33"/>
  <c r="L44" i="33"/>
  <c r="J44" i="33"/>
  <c r="AE44" i="33"/>
  <c r="AD44" i="33"/>
  <c r="AI44" i="33"/>
  <c r="AG44" i="33"/>
  <c r="U44" i="33"/>
  <c r="I44" i="33"/>
  <c r="V44" i="33"/>
  <c r="AA44" i="33"/>
  <c r="Y44" i="33"/>
  <c r="P44" i="33"/>
  <c r="N44" i="33"/>
  <c r="S44" i="33"/>
  <c r="Q44" i="33"/>
  <c r="AK44" i="33"/>
  <c r="F44" i="33"/>
  <c r="K44" i="33"/>
  <c r="AC44" i="33"/>
  <c r="O44" i="33"/>
  <c r="AJ44" i="33"/>
  <c r="AH44" i="33"/>
  <c r="AF44" i="33"/>
  <c r="AB44" i="33"/>
  <c r="Z44" i="33"/>
  <c r="X44" i="33"/>
  <c r="M44" i="33"/>
  <c r="T44" i="33"/>
  <c r="R44" i="33"/>
  <c r="W44" i="33"/>
  <c r="J40" i="33"/>
  <c r="V40" i="33"/>
  <c r="AB40" i="33"/>
  <c r="Z40" i="33"/>
  <c r="O40" i="33"/>
  <c r="I40" i="33"/>
  <c r="N40" i="33"/>
  <c r="T40" i="33"/>
  <c r="K40" i="33"/>
  <c r="AG40" i="33"/>
  <c r="L40" i="33"/>
  <c r="Y40" i="33"/>
  <c r="AK40" i="33"/>
  <c r="AI40" i="33"/>
  <c r="AF40" i="33"/>
  <c r="AA40" i="33"/>
  <c r="X40" i="33"/>
  <c r="Q40" i="33"/>
  <c r="M40" i="33"/>
  <c r="F40" i="33"/>
  <c r="AC40" i="33"/>
  <c r="W40" i="33"/>
  <c r="S40" i="33"/>
  <c r="AE40" i="33"/>
  <c r="U40" i="33"/>
  <c r="P40" i="33"/>
  <c r="AJ40" i="33"/>
  <c r="R40" i="33"/>
  <c r="AD40" i="33"/>
  <c r="AH40" i="33"/>
  <c r="N56" i="33"/>
  <c r="T56" i="33"/>
  <c r="AA56" i="33"/>
  <c r="AE56" i="33"/>
  <c r="F56" i="33"/>
  <c r="L56" i="33"/>
  <c r="K56" i="33"/>
  <c r="S56" i="33"/>
  <c r="Z56" i="33"/>
  <c r="O56" i="33"/>
  <c r="U56" i="33"/>
  <c r="W56" i="33"/>
  <c r="AF56" i="33"/>
  <c r="AB56" i="33"/>
  <c r="P56" i="33"/>
  <c r="I56" i="33"/>
  <c r="AK56" i="33"/>
  <c r="AH56" i="33"/>
  <c r="Y56" i="33"/>
  <c r="Q56" i="33"/>
  <c r="AC56" i="33"/>
  <c r="X56" i="33"/>
  <c r="J56" i="33"/>
  <c r="AD56" i="33"/>
  <c r="R56" i="33"/>
  <c r="M56" i="33"/>
  <c r="AI56" i="33"/>
  <c r="AG56" i="33"/>
  <c r="AJ56" i="33"/>
  <c r="V56" i="33"/>
  <c r="AH62" i="33"/>
  <c r="W62" i="33"/>
  <c r="AK62" i="33"/>
  <c r="L62" i="33"/>
  <c r="J62" i="33"/>
  <c r="T62" i="33"/>
  <c r="AI62" i="33"/>
  <c r="M62" i="33"/>
  <c r="X62" i="33"/>
  <c r="Q62" i="33"/>
  <c r="N62" i="33"/>
  <c r="Z62" i="33"/>
  <c r="O62" i="33"/>
  <c r="U62" i="33"/>
  <c r="AF62" i="33"/>
  <c r="R62" i="33"/>
  <c r="AJ62" i="33"/>
  <c r="I62" i="33"/>
  <c r="AC62" i="33"/>
  <c r="AG62" i="33"/>
  <c r="AD62" i="33"/>
  <c r="AA62" i="33"/>
  <c r="V62" i="33"/>
  <c r="AE62" i="33"/>
  <c r="S62" i="33"/>
  <c r="AB62" i="33"/>
  <c r="K62" i="33"/>
  <c r="Y62" i="33"/>
  <c r="P62" i="33"/>
  <c r="F62" i="33"/>
  <c r="AK106" i="33"/>
  <c r="U106" i="33"/>
  <c r="R106" i="33"/>
  <c r="L106" i="33"/>
  <c r="M106" i="33"/>
  <c r="J106" i="33"/>
  <c r="X106" i="33"/>
  <c r="AD106" i="33"/>
  <c r="AI106" i="33"/>
  <c r="AG106" i="33"/>
  <c r="V106" i="33"/>
  <c r="F106" i="33"/>
  <c r="Q106" i="33"/>
  <c r="K106" i="33"/>
  <c r="AJ106" i="33"/>
  <c r="N106" i="33"/>
  <c r="AC106" i="33"/>
  <c r="O106" i="33"/>
  <c r="AH106" i="33"/>
  <c r="AA106" i="33"/>
  <c r="Y106" i="33"/>
  <c r="T106" i="33"/>
  <c r="AB106" i="33"/>
  <c r="I106" i="33"/>
  <c r="S106" i="33"/>
  <c r="P106" i="33"/>
  <c r="AE106" i="33"/>
  <c r="W106" i="33"/>
  <c r="Z106" i="33"/>
  <c r="AF106" i="33"/>
  <c r="V100" i="33"/>
  <c r="AB100" i="33"/>
  <c r="AI100" i="33"/>
  <c r="W100" i="33"/>
  <c r="F100" i="33"/>
  <c r="AG100" i="33"/>
  <c r="AH100" i="33"/>
  <c r="AC100" i="33"/>
  <c r="Z100" i="33"/>
  <c r="X100" i="33"/>
  <c r="R100" i="33"/>
  <c r="P100" i="33"/>
  <c r="J100" i="33"/>
  <c r="AD100" i="33"/>
  <c r="Q100" i="33"/>
  <c r="N100" i="33"/>
  <c r="T100" i="33"/>
  <c r="O100" i="33"/>
  <c r="S100" i="33"/>
  <c r="I100" i="33"/>
  <c r="L100" i="33"/>
  <c r="AK100" i="33"/>
  <c r="K100" i="33"/>
  <c r="AF100" i="33"/>
  <c r="AE100" i="33"/>
  <c r="U100" i="33"/>
  <c r="AA100" i="33"/>
  <c r="M100" i="33"/>
  <c r="AJ100" i="33"/>
  <c r="Y100" i="33"/>
  <c r="I116" i="33"/>
  <c r="I109" i="32"/>
  <c r="M116" i="33"/>
  <c r="K116" i="33"/>
  <c r="AD116" i="33"/>
  <c r="AJ116" i="33"/>
  <c r="AH116" i="33"/>
  <c r="AF116" i="33"/>
  <c r="V116" i="33"/>
  <c r="AB116" i="33"/>
  <c r="Z116" i="33"/>
  <c r="X116" i="33"/>
  <c r="N116" i="33"/>
  <c r="T116" i="33"/>
  <c r="R116" i="33"/>
  <c r="P116" i="33"/>
  <c r="F116" i="33"/>
  <c r="L116" i="33"/>
  <c r="AE116" i="33"/>
  <c r="AK116" i="33"/>
  <c r="AI116" i="33"/>
  <c r="AG116" i="33"/>
  <c r="W116" i="33"/>
  <c r="AC116" i="33"/>
  <c r="Y116" i="33"/>
  <c r="O116" i="33"/>
  <c r="S116" i="33"/>
  <c r="J116" i="33"/>
  <c r="AA116" i="33"/>
  <c r="U116" i="33"/>
  <c r="Q116" i="33"/>
  <c r="I112" i="33"/>
  <c r="AG112" i="33"/>
  <c r="O112" i="33"/>
  <c r="U112" i="33"/>
  <c r="S112" i="33"/>
  <c r="Y112" i="33"/>
  <c r="M112" i="33"/>
  <c r="K112" i="33"/>
  <c r="Q112" i="33"/>
  <c r="AD112" i="33"/>
  <c r="AJ112" i="33"/>
  <c r="AF112" i="33"/>
  <c r="AB112" i="33"/>
  <c r="X112" i="33"/>
  <c r="Z112" i="33"/>
  <c r="L112" i="33"/>
  <c r="AK112" i="33"/>
  <c r="J112" i="33"/>
  <c r="V112" i="33"/>
  <c r="AH112" i="33"/>
  <c r="T112" i="33"/>
  <c r="P112" i="33"/>
  <c r="F112" i="33"/>
  <c r="AE112" i="33"/>
  <c r="AI112" i="33"/>
  <c r="AC112" i="33"/>
  <c r="N112" i="33"/>
  <c r="R112" i="33"/>
  <c r="W112" i="33"/>
  <c r="AA112" i="33"/>
  <c r="AE86" i="33"/>
  <c r="AJ86" i="33"/>
  <c r="L86" i="33"/>
  <c r="S86" i="33"/>
  <c r="W86" i="33"/>
  <c r="Z86" i="33"/>
  <c r="AG86" i="33"/>
  <c r="AB86" i="33"/>
  <c r="O86" i="33"/>
  <c r="P86" i="33"/>
  <c r="V86" i="33"/>
  <c r="AA86" i="33"/>
  <c r="AC86" i="33"/>
  <c r="T86" i="33"/>
  <c r="U86" i="33"/>
  <c r="J86" i="33"/>
  <c r="I86" i="33"/>
  <c r="X86" i="33"/>
  <c r="AI86" i="33"/>
  <c r="K86" i="33"/>
  <c r="R86" i="33"/>
  <c r="AK86" i="33"/>
  <c r="Y86" i="33"/>
  <c r="AF86" i="33"/>
  <c r="Q86" i="33"/>
  <c r="N86" i="33"/>
  <c r="F86" i="33"/>
  <c r="AH86" i="33"/>
  <c r="M86" i="33"/>
  <c r="AD86" i="33"/>
  <c r="T92" i="33"/>
  <c r="Q92" i="33"/>
  <c r="U92" i="33"/>
  <c r="AC92" i="33"/>
  <c r="AH92" i="33"/>
  <c r="AK92" i="33"/>
  <c r="Z92" i="33"/>
  <c r="O92" i="33"/>
  <c r="W92" i="33"/>
  <c r="R92" i="33"/>
  <c r="AI92" i="33"/>
  <c r="V92" i="33"/>
  <c r="AG92" i="33"/>
  <c r="N92" i="33"/>
  <c r="AB92" i="33"/>
  <c r="F92" i="33"/>
  <c r="L92" i="33"/>
  <c r="AF92" i="33"/>
  <c r="S92" i="33"/>
  <c r="X92" i="33"/>
  <c r="AA92" i="33"/>
  <c r="P92" i="33"/>
  <c r="I92" i="33"/>
  <c r="AD92" i="33"/>
  <c r="J92" i="33"/>
  <c r="M92" i="33"/>
  <c r="AJ92" i="33"/>
  <c r="AE92" i="33"/>
  <c r="Y92" i="33"/>
  <c r="K92" i="33"/>
  <c r="Y50" i="33"/>
  <c r="L50" i="33"/>
  <c r="R50" i="33"/>
  <c r="AI50" i="33"/>
  <c r="AK50" i="33"/>
  <c r="AA50" i="33"/>
  <c r="AB50" i="33"/>
  <c r="AE50" i="33"/>
  <c r="M50" i="33"/>
  <c r="AG50" i="33"/>
  <c r="Q50" i="33"/>
  <c r="AD50" i="33"/>
  <c r="AC50" i="33"/>
  <c r="V50" i="33"/>
  <c r="X50" i="33"/>
  <c r="P50" i="33"/>
  <c r="AJ50" i="33"/>
  <c r="W50" i="33"/>
  <c r="AH50" i="33"/>
  <c r="I50" i="33"/>
  <c r="AF50" i="33"/>
  <c r="J50" i="33"/>
  <c r="N50" i="33"/>
  <c r="F50" i="33"/>
  <c r="S50" i="33"/>
  <c r="Z50" i="33"/>
  <c r="K50" i="33"/>
  <c r="U50" i="33"/>
  <c r="O50" i="33"/>
  <c r="T50" i="33"/>
  <c r="I118" i="33"/>
  <c r="N118" i="33"/>
  <c r="T118" i="33"/>
  <c r="R118" i="33"/>
  <c r="O118" i="33"/>
  <c r="Q118" i="33"/>
  <c r="K118" i="33"/>
  <c r="AD118" i="33"/>
  <c r="AH118" i="33"/>
  <c r="AB118" i="33"/>
  <c r="F118" i="33"/>
  <c r="L118" i="33"/>
  <c r="J118" i="33"/>
  <c r="AE118" i="33"/>
  <c r="AK118" i="33"/>
  <c r="AI118" i="33"/>
  <c r="AG118" i="33"/>
  <c r="W118" i="33"/>
  <c r="AC118" i="33"/>
  <c r="AA118" i="33"/>
  <c r="Y118" i="33"/>
  <c r="U118" i="33"/>
  <c r="S118" i="33"/>
  <c r="M118" i="33"/>
  <c r="AF118" i="33"/>
  <c r="AJ118" i="33"/>
  <c r="X118" i="33"/>
  <c r="V118" i="33"/>
  <c r="Z118" i="33"/>
  <c r="P118" i="33"/>
  <c r="I52" i="33"/>
  <c r="Z52" i="33"/>
  <c r="O52" i="33"/>
  <c r="U52" i="33"/>
  <c r="AI52" i="33"/>
  <c r="R52" i="33"/>
  <c r="M52" i="33"/>
  <c r="L52" i="33"/>
  <c r="J52" i="33"/>
  <c r="AD52" i="33"/>
  <c r="Y52" i="33"/>
  <c r="AG52" i="33"/>
  <c r="AF52" i="33"/>
  <c r="V52" i="33"/>
  <c r="T52" i="33"/>
  <c r="K52" i="33"/>
  <c r="X52" i="33"/>
  <c r="N52" i="33"/>
  <c r="S52" i="33"/>
  <c r="AB52" i="33"/>
  <c r="P52" i="33"/>
  <c r="F52" i="33"/>
  <c r="AJ52" i="33"/>
  <c r="AE52" i="33"/>
  <c r="AK52" i="33"/>
  <c r="Q52" i="33"/>
  <c r="AH52" i="33"/>
  <c r="W52" i="33"/>
  <c r="AC52" i="33"/>
  <c r="AA52" i="33"/>
  <c r="J28" i="33"/>
  <c r="K28" i="33" s="1"/>
  <c r="AC28" i="33" s="1"/>
  <c r="AD28" i="33" s="1"/>
  <c r="AE28" i="33" s="1"/>
  <c r="L28" i="33"/>
  <c r="I28" i="33"/>
  <c r="AG82" i="33"/>
  <c r="Q82" i="33"/>
  <c r="AH82" i="33"/>
  <c r="K82" i="33"/>
  <c r="W82" i="33"/>
  <c r="AI82" i="33"/>
  <c r="X82" i="33"/>
  <c r="Y82" i="33"/>
  <c r="AJ82" i="33"/>
  <c r="V82" i="33"/>
  <c r="J82" i="33"/>
  <c r="P82" i="33"/>
  <c r="AC82" i="33"/>
  <c r="AB82" i="33"/>
  <c r="M82" i="33"/>
  <c r="R82" i="33"/>
  <c r="T82" i="33"/>
  <c r="O82" i="33"/>
  <c r="AE82" i="33"/>
  <c r="Z82" i="33"/>
  <c r="AF82" i="33"/>
  <c r="AD82" i="33"/>
  <c r="U82" i="33"/>
  <c r="S82" i="33"/>
  <c r="I82" i="33"/>
  <c r="F82" i="33"/>
  <c r="AK82" i="33"/>
  <c r="N82" i="33"/>
  <c r="AA82" i="33"/>
  <c r="L82" i="33"/>
  <c r="I68" i="33"/>
  <c r="AF68" i="33"/>
  <c r="V68" i="33"/>
  <c r="J68" i="33"/>
  <c r="Q68" i="33"/>
  <c r="X68" i="33"/>
  <c r="N68" i="33"/>
  <c r="AK68" i="33"/>
  <c r="M68" i="33"/>
  <c r="F68" i="33"/>
  <c r="K68" i="33"/>
  <c r="AJ68" i="33"/>
  <c r="Y68" i="33"/>
  <c r="W68" i="33"/>
  <c r="AC68" i="33"/>
  <c r="AH68" i="33"/>
  <c r="L68" i="33"/>
  <c r="Z68" i="33"/>
  <c r="P68" i="33"/>
  <c r="U68" i="33"/>
  <c r="AE68" i="33"/>
  <c r="AI68" i="33"/>
  <c r="AB68" i="33"/>
  <c r="O68" i="33"/>
  <c r="R68" i="33"/>
  <c r="AG68" i="33"/>
  <c r="S68" i="33"/>
  <c r="T68" i="33"/>
  <c r="AA68" i="33"/>
  <c r="AD68" i="33"/>
  <c r="AJ80" i="33"/>
  <c r="X80" i="33"/>
  <c r="O80" i="33"/>
  <c r="V80" i="33"/>
  <c r="R80" i="33"/>
  <c r="AD80" i="33"/>
  <c r="AC80" i="33"/>
  <c r="U80" i="33"/>
  <c r="J80" i="33"/>
  <c r="AG80" i="33"/>
  <c r="N80" i="33"/>
  <c r="AB80" i="33"/>
  <c r="Q80" i="33"/>
  <c r="AF80" i="33"/>
  <c r="K80" i="33"/>
  <c r="I80" i="33"/>
  <c r="AH80" i="33"/>
  <c r="AI80" i="33"/>
  <c r="Z80" i="33"/>
  <c r="W80" i="33"/>
  <c r="S80" i="33"/>
  <c r="Y80" i="33"/>
  <c r="F80" i="33"/>
  <c r="L80" i="33"/>
  <c r="AK80" i="33"/>
  <c r="AA80" i="33"/>
  <c r="T80" i="33"/>
  <c r="AE80" i="33"/>
  <c r="P80" i="33"/>
  <c r="M80" i="33"/>
  <c r="S76" i="33"/>
  <c r="P76" i="33"/>
  <c r="N76" i="33"/>
  <c r="K76" i="33"/>
  <c r="V76" i="33"/>
  <c r="AJ76" i="33"/>
  <c r="F76" i="33"/>
  <c r="M76" i="33"/>
  <c r="AB76" i="33"/>
  <c r="R76" i="33"/>
  <c r="U76" i="33"/>
  <c r="L76" i="33"/>
  <c r="AK76" i="33"/>
  <c r="AI76" i="33"/>
  <c r="Y76" i="33"/>
  <c r="AA76" i="33"/>
  <c r="W76" i="33"/>
  <c r="AC76" i="33"/>
  <c r="AH76" i="33"/>
  <c r="Z76" i="33"/>
  <c r="AG76" i="33"/>
  <c r="T76" i="33"/>
  <c r="Q76" i="33"/>
  <c r="J76" i="33"/>
  <c r="AE76" i="33"/>
  <c r="O76" i="33"/>
  <c r="X76" i="33"/>
  <c r="AF76" i="33"/>
  <c r="I76" i="33"/>
  <c r="AD76" i="33"/>
  <c r="Y88" i="33"/>
  <c r="M88" i="33"/>
  <c r="AD88" i="33"/>
  <c r="AH88" i="33"/>
  <c r="W88" i="33"/>
  <c r="R88" i="33"/>
  <c r="V88" i="33"/>
  <c r="Z88" i="33"/>
  <c r="N88" i="33"/>
  <c r="AF88" i="33"/>
  <c r="AK88" i="33"/>
  <c r="AE88" i="33"/>
  <c r="AJ88" i="33"/>
  <c r="J88" i="33"/>
  <c r="AI88" i="33"/>
  <c r="K88" i="33"/>
  <c r="F88" i="33"/>
  <c r="X88" i="33"/>
  <c r="U88" i="33"/>
  <c r="AC88" i="33"/>
  <c r="I88" i="33"/>
  <c r="AA88" i="33"/>
  <c r="Q88" i="33"/>
  <c r="AB88" i="33"/>
  <c r="O88" i="33"/>
  <c r="P88" i="33"/>
  <c r="T88" i="33"/>
  <c r="S88" i="33"/>
  <c r="L88" i="33"/>
  <c r="AG88" i="33"/>
  <c r="AG98" i="33"/>
  <c r="V98" i="33"/>
  <c r="AA98" i="33"/>
  <c r="AJ98" i="33"/>
  <c r="Y98" i="33"/>
  <c r="N98" i="33"/>
  <c r="S98" i="33"/>
  <c r="P98" i="33"/>
  <c r="Q98" i="33"/>
  <c r="F98" i="33"/>
  <c r="K98" i="33"/>
  <c r="AH98" i="33"/>
  <c r="J98" i="33"/>
  <c r="U98" i="33"/>
  <c r="T98" i="33"/>
  <c r="AI98" i="33"/>
  <c r="AE98" i="33"/>
  <c r="AK98" i="33"/>
  <c r="AB98" i="33"/>
  <c r="AF98" i="33"/>
  <c r="W98" i="33"/>
  <c r="AC98" i="33"/>
  <c r="Z98" i="33"/>
  <c r="O98" i="33"/>
  <c r="X98" i="33"/>
  <c r="L98" i="33"/>
  <c r="I98" i="33"/>
  <c r="M98" i="33"/>
  <c r="AD98" i="33"/>
  <c r="R98" i="33"/>
  <c r="L38" i="33"/>
  <c r="J38" i="33"/>
  <c r="I38" i="33"/>
  <c r="F38" i="33"/>
  <c r="N38" i="33"/>
  <c r="O38" i="33" s="1"/>
  <c r="K38" i="33"/>
  <c r="AC38" i="33" s="1"/>
  <c r="AD38" i="33" s="1"/>
  <c r="AE38" i="33" s="1"/>
  <c r="T38" i="33"/>
  <c r="U38" i="33" s="1"/>
  <c r="M38" i="33"/>
  <c r="AA38" i="33" s="1"/>
  <c r="AB38" i="33" s="1"/>
  <c r="AF38" i="33" s="1"/>
  <c r="P38" i="33"/>
  <c r="Q38" i="33" s="1"/>
  <c r="R38" i="33" s="1"/>
  <c r="V38" i="33"/>
  <c r="W38" i="33" s="1"/>
  <c r="X38" i="33" s="1"/>
  <c r="AG38" i="33"/>
  <c r="AH38" i="33"/>
  <c r="I46" i="33"/>
  <c r="AI46" i="33"/>
  <c r="AG46" i="33"/>
  <c r="N46" i="33"/>
  <c r="T46" i="33"/>
  <c r="AA46" i="33"/>
  <c r="Y46" i="33"/>
  <c r="AE46" i="33"/>
  <c r="V46" i="33"/>
  <c r="S46" i="33"/>
  <c r="L46" i="33"/>
  <c r="K46" i="33"/>
  <c r="AF46" i="33"/>
  <c r="AD46" i="33"/>
  <c r="AK46" i="33"/>
  <c r="AH46" i="33"/>
  <c r="Z46" i="33"/>
  <c r="R46" i="33"/>
  <c r="F46" i="33"/>
  <c r="J46" i="33"/>
  <c r="W46" i="33"/>
  <c r="Q46" i="33"/>
  <c r="X46" i="33"/>
  <c r="AC46" i="33"/>
  <c r="AB46" i="33"/>
  <c r="U46" i="33"/>
  <c r="O46" i="33"/>
  <c r="M46" i="33"/>
  <c r="P46" i="33"/>
  <c r="AJ46" i="33"/>
  <c r="T104" i="33"/>
  <c r="R104" i="33"/>
  <c r="M104" i="33"/>
  <c r="J104" i="33"/>
  <c r="AE104" i="33"/>
  <c r="I104" i="33"/>
  <c r="AD104" i="33"/>
  <c r="AI104" i="33"/>
  <c r="AF104" i="33"/>
  <c r="AC104" i="33"/>
  <c r="V104" i="33"/>
  <c r="X104" i="33"/>
  <c r="N104" i="33"/>
  <c r="P104" i="33"/>
  <c r="K104" i="33"/>
  <c r="W104" i="33"/>
  <c r="O104" i="33"/>
  <c r="AB104" i="33"/>
  <c r="L104" i="33"/>
  <c r="AA104" i="33"/>
  <c r="S104" i="33"/>
  <c r="Y104" i="33"/>
  <c r="F104" i="33"/>
  <c r="AK104" i="33"/>
  <c r="AH104" i="33"/>
  <c r="U104" i="33"/>
  <c r="AG104" i="33"/>
  <c r="AJ104" i="33"/>
  <c r="Z104" i="33"/>
  <c r="Q104" i="33"/>
  <c r="I122" i="33"/>
  <c r="T122" i="33"/>
  <c r="R122" i="33"/>
  <c r="AE122" i="33"/>
  <c r="L122" i="33"/>
  <c r="J122" i="33"/>
  <c r="W122" i="33"/>
  <c r="AK122" i="33"/>
  <c r="AI122" i="33"/>
  <c r="AG122" i="33"/>
  <c r="O122" i="33"/>
  <c r="AC122" i="33"/>
  <c r="AA122" i="33"/>
  <c r="Y122" i="33"/>
  <c r="S122" i="33"/>
  <c r="Q122" i="33"/>
  <c r="AD122" i="33"/>
  <c r="M122" i="33"/>
  <c r="K122" i="33"/>
  <c r="AF122" i="33"/>
  <c r="AH122" i="33"/>
  <c r="N122" i="33"/>
  <c r="Z122" i="33"/>
  <c r="F122" i="33"/>
  <c r="U122" i="33"/>
  <c r="V122" i="33"/>
  <c r="AJ122" i="33"/>
  <c r="X122" i="33"/>
  <c r="AB122" i="33"/>
  <c r="P122" i="33"/>
  <c r="N30" i="33"/>
  <c r="O30" i="33" s="1"/>
  <c r="J30" i="33"/>
  <c r="F30" i="33"/>
  <c r="L30" i="33"/>
  <c r="K30" i="33"/>
  <c r="AC30" i="33" s="1"/>
  <c r="AD30" i="33" s="1"/>
  <c r="AE30" i="33" s="1"/>
  <c r="I36" i="33"/>
  <c r="I30" i="33"/>
  <c r="T30" i="33" s="1"/>
  <c r="U30" i="33" s="1"/>
  <c r="S38" i="33"/>
  <c r="Y38" i="33"/>
  <c r="E19" i="33"/>
  <c r="U18" i="32"/>
  <c r="R18" i="32"/>
  <c r="P18" i="32"/>
  <c r="N18" i="32"/>
  <c r="L18" i="32"/>
  <c r="J18" i="32"/>
  <c r="H18" i="32"/>
  <c r="M30" i="33" l="1"/>
  <c r="M28" i="33"/>
  <c r="P28" i="33" s="1"/>
  <c r="Q28" i="33" s="1"/>
  <c r="O17" i="32"/>
  <c r="V105" i="32"/>
  <c r="V89" i="32"/>
  <c r="V73" i="32"/>
  <c r="V57" i="32"/>
  <c r="V41" i="32"/>
  <c r="V25" i="32"/>
  <c r="V19" i="32"/>
  <c r="V31" i="32"/>
  <c r="V29" i="32"/>
  <c r="V43" i="32"/>
  <c r="Q17" i="32"/>
  <c r="V103" i="32"/>
  <c r="V87" i="32"/>
  <c r="V71" i="32"/>
  <c r="V55" i="32"/>
  <c r="V39" i="32"/>
  <c r="V23" i="32"/>
  <c r="V35" i="32"/>
  <c r="V47" i="32"/>
  <c r="V45" i="32"/>
  <c r="V59" i="32"/>
  <c r="S17" i="32"/>
  <c r="L24" i="33" s="1"/>
  <c r="V101" i="32"/>
  <c r="V85" i="32"/>
  <c r="V69" i="32"/>
  <c r="V53" i="32"/>
  <c r="V37" i="32"/>
  <c r="V21" i="32"/>
  <c r="V95" i="32"/>
  <c r="V93" i="32"/>
  <c r="V75" i="32"/>
  <c r="V115" i="32"/>
  <c r="V99" i="32"/>
  <c r="V83" i="32"/>
  <c r="V67" i="32"/>
  <c r="V51" i="32"/>
  <c r="V63" i="32"/>
  <c r="V61" i="32"/>
  <c r="V91" i="32"/>
  <c r="V113" i="32"/>
  <c r="V97" i="32"/>
  <c r="V81" i="32"/>
  <c r="V65" i="32"/>
  <c r="V49" i="32"/>
  <c r="V33" i="32"/>
  <c r="V17" i="32"/>
  <c r="V79" i="32"/>
  <c r="V77" i="32"/>
  <c r="V107" i="32"/>
  <c r="V111" i="32"/>
  <c r="V109" i="32"/>
  <c r="M17" i="32"/>
  <c r="V27" i="32"/>
  <c r="AA28" i="33"/>
  <c r="AB28" i="33" s="1"/>
  <c r="AF28" i="33" s="1"/>
  <c r="V28" i="33"/>
  <c r="W28" i="33" s="1"/>
  <c r="T28" i="33"/>
  <c r="U28" i="33" s="1"/>
  <c r="N28" i="33"/>
  <c r="O28" i="33" s="1"/>
  <c r="I24" i="33"/>
  <c r="Z36" i="33"/>
  <c r="X36" i="33"/>
  <c r="F36" i="33"/>
  <c r="AH36" i="33"/>
  <c r="T36" i="33"/>
  <c r="AG36" i="33"/>
  <c r="AB36" i="33"/>
  <c r="U36" i="33"/>
  <c r="AD36" i="33"/>
  <c r="I42" i="33"/>
  <c r="L36" i="33"/>
  <c r="Y36" i="33"/>
  <c r="W36" i="33"/>
  <c r="O36" i="33"/>
  <c r="J36" i="33"/>
  <c r="N36" i="33"/>
  <c r="AE36" i="33"/>
  <c r="K36" i="33"/>
  <c r="AK36" i="33"/>
  <c r="R36" i="33"/>
  <c r="S36" i="33"/>
  <c r="P36" i="33"/>
  <c r="AF36" i="33"/>
  <c r="M36" i="33"/>
  <c r="V36" i="33"/>
  <c r="I29" i="32"/>
  <c r="Q36" i="33"/>
  <c r="AJ36" i="33"/>
  <c r="AC36" i="33"/>
  <c r="AI36" i="33"/>
  <c r="AA36" i="33"/>
  <c r="Q115" i="32"/>
  <c r="Q111" i="32"/>
  <c r="Q107" i="32"/>
  <c r="Q103" i="32"/>
  <c r="Q99" i="32"/>
  <c r="Q95" i="32"/>
  <c r="Q91" i="32"/>
  <c r="Q87" i="32"/>
  <c r="Q83" i="32"/>
  <c r="Q79" i="32"/>
  <c r="Q75" i="32"/>
  <c r="Q71" i="32"/>
  <c r="Q67" i="32"/>
  <c r="Q63" i="32"/>
  <c r="Q59" i="32"/>
  <c r="Q55" i="32"/>
  <c r="Q51" i="32"/>
  <c r="Q47" i="32"/>
  <c r="Q43" i="32"/>
  <c r="Q39" i="32"/>
  <c r="Q35" i="32"/>
  <c r="Q31" i="32"/>
  <c r="Q27" i="32"/>
  <c r="Q23" i="32"/>
  <c r="Q19" i="32"/>
  <c r="M31" i="32"/>
  <c r="M81" i="32"/>
  <c r="M61" i="32"/>
  <c r="M33" i="32"/>
  <c r="S35" i="32"/>
  <c r="S23" i="32"/>
  <c r="O115" i="32"/>
  <c r="O111" i="32"/>
  <c r="O107" i="32"/>
  <c r="O103" i="32"/>
  <c r="O99" i="32"/>
  <c r="O95" i="32"/>
  <c r="O91" i="32"/>
  <c r="O87" i="32"/>
  <c r="O83" i="32"/>
  <c r="O79" i="32"/>
  <c r="O75" i="32"/>
  <c r="O71" i="32"/>
  <c r="O67" i="32"/>
  <c r="O63" i="32"/>
  <c r="O59" i="32"/>
  <c r="O55" i="32"/>
  <c r="O51" i="32"/>
  <c r="O47" i="32"/>
  <c r="O43" i="32"/>
  <c r="O39" i="32"/>
  <c r="O35" i="32"/>
  <c r="O31" i="32"/>
  <c r="O27" i="32"/>
  <c r="O23" i="32"/>
  <c r="O19" i="32"/>
  <c r="J26" i="33" s="1"/>
  <c r="K26" i="33" s="1"/>
  <c r="O93" i="32"/>
  <c r="O53" i="32"/>
  <c r="O25" i="32"/>
  <c r="M115" i="32"/>
  <c r="M111" i="32"/>
  <c r="M107" i="32"/>
  <c r="M103" i="32"/>
  <c r="M99" i="32"/>
  <c r="M95" i="32"/>
  <c r="M91" i="32"/>
  <c r="M87" i="32"/>
  <c r="M83" i="32"/>
  <c r="M79" i="32"/>
  <c r="M75" i="32"/>
  <c r="M71" i="32"/>
  <c r="M67" i="32"/>
  <c r="M63" i="32"/>
  <c r="M59" i="32"/>
  <c r="M55" i="32"/>
  <c r="M51" i="32"/>
  <c r="M47" i="32"/>
  <c r="M43" i="32"/>
  <c r="M39" i="32"/>
  <c r="M35" i="32"/>
  <c r="M27" i="32"/>
  <c r="M23" i="32"/>
  <c r="M19" i="32"/>
  <c r="O77" i="32"/>
  <c r="O69" i="32"/>
  <c r="O57" i="32"/>
  <c r="O41" i="32"/>
  <c r="O29" i="32"/>
  <c r="M109" i="32"/>
  <c r="M101" i="32"/>
  <c r="M73" i="32"/>
  <c r="M69" i="32"/>
  <c r="M57" i="32"/>
  <c r="M53" i="32"/>
  <c r="M45" i="32"/>
  <c r="M37" i="32"/>
  <c r="M29" i="32"/>
  <c r="S113" i="32"/>
  <c r="S109" i="32"/>
  <c r="S105" i="32"/>
  <c r="S101" i="32"/>
  <c r="S97" i="32"/>
  <c r="S93" i="32"/>
  <c r="S89" i="32"/>
  <c r="S85" i="32"/>
  <c r="S81" i="32"/>
  <c r="S77" i="32"/>
  <c r="S73" i="32"/>
  <c r="S69" i="32"/>
  <c r="S65" i="32"/>
  <c r="S61" i="32"/>
  <c r="S57" i="32"/>
  <c r="S53" i="32"/>
  <c r="S49" i="32"/>
  <c r="S45" i="32"/>
  <c r="S41" i="32"/>
  <c r="S37" i="32"/>
  <c r="S33" i="32"/>
  <c r="S29" i="32"/>
  <c r="S25" i="32"/>
  <c r="S21" i="32"/>
  <c r="O109" i="32"/>
  <c r="O105" i="32"/>
  <c r="O101" i="32"/>
  <c r="O97" i="32"/>
  <c r="O89" i="32"/>
  <c r="O81" i="32"/>
  <c r="O73" i="32"/>
  <c r="O61" i="32"/>
  <c r="O45" i="32"/>
  <c r="O37" i="32"/>
  <c r="M105" i="32"/>
  <c r="M85" i="32"/>
  <c r="M77" i="32"/>
  <c r="M25" i="32"/>
  <c r="S43" i="32"/>
  <c r="S27" i="32"/>
  <c r="Q113" i="32"/>
  <c r="Q109" i="32"/>
  <c r="Q105" i="32"/>
  <c r="Q101" i="32"/>
  <c r="Q97" i="32"/>
  <c r="Q93" i="32"/>
  <c r="Q89" i="32"/>
  <c r="Q85" i="32"/>
  <c r="Q81" i="32"/>
  <c r="Q77" i="32"/>
  <c r="Q73" i="32"/>
  <c r="Q69" i="32"/>
  <c r="Q65" i="32"/>
  <c r="Q61" i="32"/>
  <c r="Q57" i="32"/>
  <c r="Q53" i="32"/>
  <c r="Q49" i="32"/>
  <c r="Q45" i="32"/>
  <c r="Q41" i="32"/>
  <c r="Q37" i="32"/>
  <c r="Q33" i="32"/>
  <c r="Q29" i="32"/>
  <c r="Q25" i="32"/>
  <c r="Q21" i="32"/>
  <c r="O65" i="32"/>
  <c r="O49" i="32"/>
  <c r="O33" i="32"/>
  <c r="M93" i="32"/>
  <c r="M65" i="32"/>
  <c r="M21" i="32"/>
  <c r="S19" i="32"/>
  <c r="L26" i="33" s="1"/>
  <c r="O113" i="32"/>
  <c r="O85" i="32"/>
  <c r="O21" i="32"/>
  <c r="M113" i="32"/>
  <c r="M97" i="32"/>
  <c r="M89" i="32"/>
  <c r="M49" i="32"/>
  <c r="M41" i="32"/>
  <c r="S115" i="32"/>
  <c r="S111" i="32"/>
  <c r="S107" i="32"/>
  <c r="S103" i="32"/>
  <c r="S99" i="32"/>
  <c r="S95" i="32"/>
  <c r="S91" i="32"/>
  <c r="S87" i="32"/>
  <c r="S83" i="32"/>
  <c r="S79" i="32"/>
  <c r="S75" i="32"/>
  <c r="S71" i="32"/>
  <c r="S67" i="32"/>
  <c r="S63" i="32"/>
  <c r="S59" i="32"/>
  <c r="S55" i="32"/>
  <c r="S51" i="32"/>
  <c r="S47" i="32"/>
  <c r="S39" i="32"/>
  <c r="S31" i="32"/>
  <c r="K29" i="32"/>
  <c r="Z38" i="33"/>
  <c r="AI38" i="33" s="1"/>
  <c r="AJ38" i="33" s="1"/>
  <c r="AK38" i="33" s="1"/>
  <c r="K42" i="33"/>
  <c r="AE42" i="33"/>
  <c r="D16" i="17"/>
  <c r="H11" i="31"/>
  <c r="H21" i="31"/>
  <c r="H20" i="31"/>
  <c r="H19" i="31"/>
  <c r="H18" i="31"/>
  <c r="H17" i="31"/>
  <c r="H16" i="31"/>
  <c r="H15" i="31"/>
  <c r="H14" i="31"/>
  <c r="H13" i="31"/>
  <c r="H12" i="31"/>
  <c r="D12" i="31"/>
  <c r="E12" i="31"/>
  <c r="F12" i="31"/>
  <c r="G12" i="31" s="1"/>
  <c r="D13" i="31"/>
  <c r="E13" i="31"/>
  <c r="F13" i="31"/>
  <c r="G13" i="31" s="1"/>
  <c r="D14" i="31"/>
  <c r="E14" i="31"/>
  <c r="F14" i="31"/>
  <c r="G14" i="31" s="1"/>
  <c r="D15" i="31"/>
  <c r="E15" i="31"/>
  <c r="F15" i="31"/>
  <c r="G15" i="31" s="1"/>
  <c r="D16" i="31"/>
  <c r="E16" i="31"/>
  <c r="F16" i="31"/>
  <c r="G16" i="31" s="1"/>
  <c r="D17" i="31"/>
  <c r="E17" i="31"/>
  <c r="F17" i="31"/>
  <c r="G17" i="31" s="1"/>
  <c r="D18" i="31"/>
  <c r="E18" i="31"/>
  <c r="F18" i="31"/>
  <c r="D19" i="31"/>
  <c r="E19" i="31"/>
  <c r="F19" i="31"/>
  <c r="D20" i="31"/>
  <c r="E20" i="31"/>
  <c r="F20" i="31"/>
  <c r="G20" i="31" s="1"/>
  <c r="D21" i="31"/>
  <c r="E21" i="31"/>
  <c r="F21" i="31"/>
  <c r="G21" i="31" s="1"/>
  <c r="E11" i="31"/>
  <c r="F11" i="31"/>
  <c r="G11" i="31" s="1"/>
  <c r="D11" i="31"/>
  <c r="D24" i="30"/>
  <c r="E20" i="30"/>
  <c r="H14" i="17" a="1"/>
  <c r="V30" i="33" l="1"/>
  <c r="W30" i="33" s="1"/>
  <c r="X30" i="33" s="1"/>
  <c r="Y30" i="33" s="1"/>
  <c r="P30" i="33"/>
  <c r="Q30" i="33" s="1"/>
  <c r="R30" i="33" s="1"/>
  <c r="S30" i="33" s="1"/>
  <c r="AA30" i="33"/>
  <c r="AB30" i="33" s="1"/>
  <c r="AF30" i="33" s="1"/>
  <c r="N26" i="33"/>
  <c r="O26" i="33" s="1"/>
  <c r="T26" i="33"/>
  <c r="U26" i="33" s="1"/>
  <c r="AC26" i="33"/>
  <c r="AD26" i="33" s="1"/>
  <c r="AE26" i="33" s="1"/>
  <c r="M26" i="33"/>
  <c r="R28" i="33"/>
  <c r="S28" i="33" s="1"/>
  <c r="X28" i="33"/>
  <c r="Y28" i="33" s="1"/>
  <c r="AH28" i="33"/>
  <c r="AG28" i="33"/>
  <c r="E26" i="30"/>
  <c r="E22" i="30"/>
  <c r="I11" i="31"/>
  <c r="J42" i="33"/>
  <c r="U42" i="33"/>
  <c r="AF42" i="33"/>
  <c r="AD42" i="33"/>
  <c r="W42" i="33"/>
  <c r="T24" i="33"/>
  <c r="U24" i="33" s="1"/>
  <c r="AK42" i="33"/>
  <c r="Q42" i="33"/>
  <c r="Z42" i="33"/>
  <c r="F42" i="33"/>
  <c r="V42" i="33"/>
  <c r="AC42" i="33"/>
  <c r="AB42" i="33"/>
  <c r="AG42" i="33"/>
  <c r="L42" i="33"/>
  <c r="AI42" i="33"/>
  <c r="X42" i="33"/>
  <c r="M42" i="33"/>
  <c r="P42" i="33"/>
  <c r="I35" i="32"/>
  <c r="R42" i="33"/>
  <c r="N42" i="33"/>
  <c r="Y42" i="33"/>
  <c r="T42" i="33"/>
  <c r="AH42" i="33"/>
  <c r="K35" i="32"/>
  <c r="AA42" i="33"/>
  <c r="S42" i="33"/>
  <c r="O42" i="33"/>
  <c r="AJ42" i="33"/>
  <c r="I48" i="33"/>
  <c r="K41" i="32"/>
  <c r="O48" i="33"/>
  <c r="AH48" i="33"/>
  <c r="I41" i="32"/>
  <c r="AC48" i="33"/>
  <c r="Z48" i="33"/>
  <c r="AF48" i="33"/>
  <c r="AA48" i="33"/>
  <c r="AI48" i="33"/>
  <c r="R48" i="33"/>
  <c r="X48" i="33"/>
  <c r="M48" i="33"/>
  <c r="K48" i="33"/>
  <c r="AE48" i="33"/>
  <c r="T48" i="33"/>
  <c r="Q48" i="33"/>
  <c r="AK48" i="33"/>
  <c r="L48" i="33"/>
  <c r="N48" i="33"/>
  <c r="V48" i="33"/>
  <c r="AJ48" i="33"/>
  <c r="F48" i="33"/>
  <c r="AB48" i="33"/>
  <c r="Y48" i="33"/>
  <c r="S48" i="33"/>
  <c r="J48" i="33"/>
  <c r="P48" i="33"/>
  <c r="U48" i="33"/>
  <c r="AD48" i="33"/>
  <c r="AG48" i="33"/>
  <c r="W48" i="33"/>
  <c r="I15" i="31"/>
  <c r="H22" i="31"/>
  <c r="H23" i="31" s="1"/>
  <c r="H14" i="17"/>
  <c r="I19" i="31"/>
  <c r="I17" i="31"/>
  <c r="I18" i="31"/>
  <c r="G18" i="31"/>
  <c r="G19" i="31"/>
  <c r="I12" i="31"/>
  <c r="I20" i="31"/>
  <c r="I16" i="31"/>
  <c r="I21" i="31"/>
  <c r="I14" i="31"/>
  <c r="I13" i="31"/>
  <c r="AG30" i="33" l="1"/>
  <c r="AH30" i="33"/>
  <c r="Z30" i="33"/>
  <c r="AI30" i="33" s="1"/>
  <c r="AJ30" i="33" s="1"/>
  <c r="Z28" i="33"/>
  <c r="P26" i="33"/>
  <c r="Q26" i="33" s="1"/>
  <c r="R26" i="33" s="1"/>
  <c r="S26" i="33" s="1"/>
  <c r="AA26" i="33"/>
  <c r="AB26" i="33" s="1"/>
  <c r="AF26" i="33" s="1"/>
  <c r="V26" i="33"/>
  <c r="W26" i="33" s="1"/>
  <c r="X26" i="33" s="1"/>
  <c r="Y26" i="33" s="1"/>
  <c r="AI28" i="33"/>
  <c r="AJ28" i="33" s="1"/>
  <c r="D35" i="30"/>
  <c r="F40" i="30"/>
  <c r="F39" i="30"/>
  <c r="F41" i="30"/>
  <c r="D34" i="30"/>
  <c r="D33" i="30"/>
  <c r="D32" i="30"/>
  <c r="D29" i="30"/>
  <c r="D36" i="30"/>
  <c r="E41" i="30"/>
  <c r="D31" i="30"/>
  <c r="E40" i="30"/>
  <c r="D30" i="30"/>
  <c r="I23" i="31"/>
  <c r="E6" i="31" s="1"/>
  <c r="I54" i="33"/>
  <c r="K47" i="32"/>
  <c r="AK54" i="33"/>
  <c r="O54" i="33"/>
  <c r="M54" i="33"/>
  <c r="J54" i="33"/>
  <c r="P54" i="33"/>
  <c r="AE54" i="33"/>
  <c r="AF54" i="33"/>
  <c r="AI54" i="33"/>
  <c r="I47" i="32"/>
  <c r="AA54" i="33"/>
  <c r="S54" i="33"/>
  <c r="W54" i="33"/>
  <c r="R54" i="33"/>
  <c r="AG54" i="33"/>
  <c r="AD54" i="33"/>
  <c r="AB54" i="33"/>
  <c r="K54" i="33"/>
  <c r="Y54" i="33"/>
  <c r="V54" i="33"/>
  <c r="T54" i="33"/>
  <c r="Z54" i="33"/>
  <c r="AC54" i="33"/>
  <c r="Q54" i="33"/>
  <c r="N54" i="33"/>
  <c r="L54" i="33"/>
  <c r="X54" i="33"/>
  <c r="F54" i="33"/>
  <c r="AH54" i="33"/>
  <c r="AJ54" i="33"/>
  <c r="U54" i="33"/>
  <c r="G23" i="43" l="1"/>
  <c r="AK30" i="33"/>
  <c r="H23" i="43" s="1"/>
  <c r="G21" i="43"/>
  <c r="G41" i="30"/>
  <c r="E48" i="30" s="1"/>
  <c r="G40" i="30"/>
  <c r="E47" i="30" s="1"/>
  <c r="AH26" i="33"/>
  <c r="AG26" i="33"/>
  <c r="Z26" i="33"/>
  <c r="E39" i="30"/>
  <c r="G39" i="30" s="1"/>
  <c r="K53" i="32"/>
  <c r="I60" i="33"/>
  <c r="L60" i="33"/>
  <c r="J60" i="33"/>
  <c r="Y60" i="33"/>
  <c r="Q60" i="33"/>
  <c r="AI60" i="33"/>
  <c r="O60" i="33"/>
  <c r="AF60" i="33"/>
  <c r="M60" i="33"/>
  <c r="AC60" i="33"/>
  <c r="AA60" i="33"/>
  <c r="S60" i="33"/>
  <c r="I53" i="32"/>
  <c r="U60" i="33"/>
  <c r="W60" i="33"/>
  <c r="X60" i="33"/>
  <c r="K60" i="33"/>
  <c r="P60" i="33"/>
  <c r="V60" i="33"/>
  <c r="AG60" i="33"/>
  <c r="AJ60" i="33"/>
  <c r="F60" i="33"/>
  <c r="AE60" i="33"/>
  <c r="Z60" i="33"/>
  <c r="AH60" i="33"/>
  <c r="AB60" i="33"/>
  <c r="AD60" i="33"/>
  <c r="R60" i="33"/>
  <c r="AK60" i="33"/>
  <c r="T60" i="33"/>
  <c r="N60" i="33"/>
  <c r="D28" i="17"/>
  <c r="AI26" i="33" l="1"/>
  <c r="AJ26" i="33" s="1"/>
  <c r="G19" i="43" s="1"/>
  <c r="E46" i="30"/>
  <c r="E76" i="30" s="1"/>
  <c r="I66" i="33"/>
  <c r="K59" i="32"/>
  <c r="Q66" i="33"/>
  <c r="W66" i="33"/>
  <c r="K66" i="33"/>
  <c r="R66" i="33"/>
  <c r="O66" i="33"/>
  <c r="V66" i="33"/>
  <c r="J66" i="33"/>
  <c r="P66" i="33"/>
  <c r="AI66" i="33"/>
  <c r="Z66" i="33"/>
  <c r="AG66" i="33"/>
  <c r="S66" i="33"/>
  <c r="AE66" i="33"/>
  <c r="AH66" i="33"/>
  <c r="I59" i="32"/>
  <c r="F66" i="33"/>
  <c r="AD66" i="33"/>
  <c r="U66" i="33"/>
  <c r="M66" i="33"/>
  <c r="Y66" i="33"/>
  <c r="AF66" i="33"/>
  <c r="AK66" i="33"/>
  <c r="AJ66" i="33"/>
  <c r="AB66" i="33"/>
  <c r="X66" i="33"/>
  <c r="AC66" i="33"/>
  <c r="T66" i="33"/>
  <c r="L66" i="33"/>
  <c r="N66" i="33"/>
  <c r="AA66" i="33"/>
  <c r="E73" i="30" l="1"/>
  <c r="E72" i="30"/>
  <c r="E83" i="30"/>
  <c r="E104" i="30" s="1"/>
  <c r="G73" i="30"/>
  <c r="E57" i="30"/>
  <c r="F57" i="30" s="1"/>
  <c r="H57" i="30" s="1"/>
  <c r="E77" i="30"/>
  <c r="E82" i="30" s="1"/>
  <c r="E56" i="30"/>
  <c r="F73" i="30"/>
  <c r="I72" i="33"/>
  <c r="K65" i="32"/>
  <c r="M72" i="33"/>
  <c r="J72" i="33"/>
  <c r="AF72" i="33"/>
  <c r="AD72" i="33"/>
  <c r="AJ72" i="33"/>
  <c r="P72" i="33"/>
  <c r="I65" i="32"/>
  <c r="V72" i="33"/>
  <c r="AB72" i="33"/>
  <c r="X72" i="33"/>
  <c r="AE72" i="33"/>
  <c r="W72" i="33"/>
  <c r="K72" i="33"/>
  <c r="Y72" i="33"/>
  <c r="AG72" i="33"/>
  <c r="Q72" i="33"/>
  <c r="N72" i="33"/>
  <c r="T72" i="33"/>
  <c r="O72" i="33"/>
  <c r="F72" i="33"/>
  <c r="L72" i="33"/>
  <c r="AI72" i="33"/>
  <c r="AA72" i="33"/>
  <c r="AK72" i="33"/>
  <c r="AH72" i="33"/>
  <c r="R72" i="33"/>
  <c r="S72" i="33"/>
  <c r="Z72" i="33"/>
  <c r="U72" i="33"/>
  <c r="AC72" i="33"/>
  <c r="F72" i="30" l="1"/>
  <c r="G56" i="30"/>
  <c r="F56" i="30"/>
  <c r="F62" i="30"/>
  <c r="F63" i="30"/>
  <c r="G72" i="30"/>
  <c r="G57" i="30"/>
  <c r="G59" i="30" s="1"/>
  <c r="F60" i="30"/>
  <c r="H63" i="30"/>
  <c r="H62" i="30"/>
  <c r="K71" i="32"/>
  <c r="I78" i="33"/>
  <c r="AA78" i="33"/>
  <c r="Y78" i="33"/>
  <c r="U78" i="33"/>
  <c r="L78" i="33"/>
  <c r="S78" i="33"/>
  <c r="Q78" i="33"/>
  <c r="AF78" i="33"/>
  <c r="V78" i="33"/>
  <c r="K78" i="33"/>
  <c r="P78" i="33"/>
  <c r="T78" i="33"/>
  <c r="AH78" i="33"/>
  <c r="AE78" i="33"/>
  <c r="AD78" i="33"/>
  <c r="Z78" i="33"/>
  <c r="W78" i="33"/>
  <c r="N78" i="33"/>
  <c r="F78" i="33"/>
  <c r="I71" i="32"/>
  <c r="AJ78" i="33"/>
  <c r="AG78" i="33"/>
  <c r="AK78" i="33"/>
  <c r="R78" i="33"/>
  <c r="O78" i="33"/>
  <c r="AC78" i="33"/>
  <c r="X78" i="33"/>
  <c r="J78" i="33"/>
  <c r="M78" i="33"/>
  <c r="AI78" i="33"/>
  <c r="AB78" i="33"/>
  <c r="F61" i="30" l="1"/>
  <c r="G60" i="30"/>
  <c r="G61" i="30"/>
  <c r="F59" i="30"/>
  <c r="H56" i="30"/>
  <c r="H59" i="30" s="1"/>
  <c r="H60" i="30" s="1"/>
  <c r="G63" i="30"/>
  <c r="I63" i="30" s="1"/>
  <c r="G75" i="30" s="1"/>
  <c r="G62" i="30"/>
  <c r="I62" i="30" s="1"/>
  <c r="G74" i="30" s="1"/>
  <c r="G76" i="30" s="1"/>
  <c r="G77" i="30" s="1"/>
  <c r="G82" i="30" s="1"/>
  <c r="G83" i="30" s="1"/>
  <c r="G104" i="30" s="1"/>
  <c r="I84" i="33"/>
  <c r="K77" i="32"/>
  <c r="AF84" i="33"/>
  <c r="AK84" i="33"/>
  <c r="M84" i="33"/>
  <c r="T84" i="33"/>
  <c r="AA84" i="33"/>
  <c r="L84" i="33"/>
  <c r="AI84" i="33"/>
  <c r="X84" i="33"/>
  <c r="AH84" i="33"/>
  <c r="J84" i="33"/>
  <c r="AJ84" i="33"/>
  <c r="U84" i="33"/>
  <c r="I77" i="32"/>
  <c r="AE84" i="33"/>
  <c r="P84" i="33"/>
  <c r="Q84" i="33"/>
  <c r="W84" i="33"/>
  <c r="AC84" i="33"/>
  <c r="S84" i="33"/>
  <c r="O84" i="33"/>
  <c r="K84" i="33"/>
  <c r="AB84" i="33"/>
  <c r="AD84" i="33"/>
  <c r="Z84" i="33"/>
  <c r="AG84" i="33"/>
  <c r="R84" i="33"/>
  <c r="N84" i="33"/>
  <c r="Y84" i="33"/>
  <c r="V84" i="33"/>
  <c r="F84" i="33"/>
  <c r="I60" i="30" l="1"/>
  <c r="G64" i="30"/>
  <c r="G66" i="30" s="1"/>
  <c r="I59" i="30"/>
  <c r="E74" i="30" s="1"/>
  <c r="F64" i="30"/>
  <c r="F66" i="30" s="1"/>
  <c r="E75" i="30"/>
  <c r="E89" i="30"/>
  <c r="G89" i="30" s="1"/>
  <c r="F74" i="30"/>
  <c r="H61" i="30"/>
  <c r="I61" i="30" s="1"/>
  <c r="I90" i="33"/>
  <c r="K83" i="32"/>
  <c r="S90" i="33"/>
  <c r="Q90" i="33"/>
  <c r="AD90" i="33"/>
  <c r="P90" i="33"/>
  <c r="N90" i="33"/>
  <c r="AE90" i="33"/>
  <c r="AJ90" i="33"/>
  <c r="U90" i="33"/>
  <c r="X90" i="33"/>
  <c r="M90" i="33"/>
  <c r="I83" i="32"/>
  <c r="AA90" i="33"/>
  <c r="K90" i="33"/>
  <c r="AH90" i="33"/>
  <c r="AB90" i="33"/>
  <c r="R90" i="33"/>
  <c r="Y90" i="33"/>
  <c r="AK90" i="33"/>
  <c r="J90" i="33"/>
  <c r="AI90" i="33"/>
  <c r="AC90" i="33"/>
  <c r="Z90" i="33"/>
  <c r="W90" i="33"/>
  <c r="F90" i="33"/>
  <c r="L90" i="33"/>
  <c r="O90" i="33"/>
  <c r="AF90" i="33"/>
  <c r="V90" i="33"/>
  <c r="T90" i="33"/>
  <c r="AG90" i="33"/>
  <c r="E67" i="30" l="1"/>
  <c r="F89" i="30"/>
  <c r="H89" i="30" s="1"/>
  <c r="F75" i="30"/>
  <c r="I64" i="30"/>
  <c r="I66" i="30" s="1"/>
  <c r="E50" i="30" s="1"/>
  <c r="G94" i="30"/>
  <c r="G95" i="30"/>
  <c r="F76" i="30"/>
  <c r="F77" i="30" s="1"/>
  <c r="F82" i="30" s="1"/>
  <c r="F83" i="30" s="1"/>
  <c r="I96" i="33"/>
  <c r="K89" i="32"/>
  <c r="AH96" i="33"/>
  <c r="F96" i="33"/>
  <c r="AI96" i="33"/>
  <c r="U96" i="33"/>
  <c r="Z96" i="33"/>
  <c r="AE96" i="33"/>
  <c r="AJ96" i="33"/>
  <c r="M96" i="33"/>
  <c r="R96" i="33"/>
  <c r="W96" i="33"/>
  <c r="AB96" i="33"/>
  <c r="AG96" i="33"/>
  <c r="J96" i="33"/>
  <c r="O96" i="33"/>
  <c r="T96" i="33"/>
  <c r="K96" i="33"/>
  <c r="I89" i="32"/>
  <c r="L96" i="33"/>
  <c r="AC96" i="33"/>
  <c r="AF96" i="33"/>
  <c r="AD96" i="33"/>
  <c r="S96" i="33"/>
  <c r="X96" i="33"/>
  <c r="V96" i="33"/>
  <c r="AK96" i="33"/>
  <c r="AA96" i="33"/>
  <c r="P96" i="33"/>
  <c r="N96" i="33"/>
  <c r="Q96" i="33"/>
  <c r="Y96" i="33"/>
  <c r="H94" i="30" l="1"/>
  <c r="H95" i="30"/>
  <c r="F95" i="30"/>
  <c r="I95" i="30" s="1"/>
  <c r="G106" i="30" s="1"/>
  <c r="F94" i="30"/>
  <c r="E88" i="30"/>
  <c r="F104" i="30"/>
  <c r="I102" i="33"/>
  <c r="K95" i="32"/>
  <c r="M102" i="33"/>
  <c r="K102" i="33"/>
  <c r="V102" i="33"/>
  <c r="AD102" i="33"/>
  <c r="AE102" i="33"/>
  <c r="AJ102" i="33"/>
  <c r="AG102" i="33"/>
  <c r="W102" i="33"/>
  <c r="AB102" i="33"/>
  <c r="Y102" i="33"/>
  <c r="R102" i="33"/>
  <c r="O102" i="33"/>
  <c r="T102" i="33"/>
  <c r="Q102" i="33"/>
  <c r="P102" i="33"/>
  <c r="I95" i="32"/>
  <c r="L102" i="33"/>
  <c r="AH102" i="33"/>
  <c r="AK102" i="33"/>
  <c r="AI102" i="33"/>
  <c r="Z102" i="33"/>
  <c r="N102" i="33"/>
  <c r="AC102" i="33"/>
  <c r="AA102" i="33"/>
  <c r="F102" i="33"/>
  <c r="J102" i="33"/>
  <c r="U102" i="33"/>
  <c r="S102" i="33"/>
  <c r="X102" i="33"/>
  <c r="AF102" i="33"/>
  <c r="F29" i="22" l="1"/>
  <c r="F20" i="22"/>
  <c r="I94" i="30"/>
  <c r="G105" i="30" s="1"/>
  <c r="G88" i="30"/>
  <c r="F88" i="30"/>
  <c r="I108" i="33"/>
  <c r="Z108" i="33"/>
  <c r="AF108" i="33"/>
  <c r="V108" i="33"/>
  <c r="U108" i="33"/>
  <c r="AI108" i="33"/>
  <c r="AD108" i="33"/>
  <c r="AJ108" i="33"/>
  <c r="R108" i="33"/>
  <c r="X108" i="33"/>
  <c r="N108" i="33"/>
  <c r="S108" i="33"/>
  <c r="Q108" i="33"/>
  <c r="AB108" i="33"/>
  <c r="J108" i="33"/>
  <c r="P108" i="33"/>
  <c r="F108" i="33"/>
  <c r="T108" i="33"/>
  <c r="AG108" i="33"/>
  <c r="K101" i="32"/>
  <c r="M108" i="33"/>
  <c r="I101" i="32"/>
  <c r="L108" i="33"/>
  <c r="Y108" i="33"/>
  <c r="AE108" i="33"/>
  <c r="K108" i="33"/>
  <c r="W108" i="33"/>
  <c r="AC108" i="33"/>
  <c r="AA108" i="33"/>
  <c r="O108" i="33"/>
  <c r="AK108" i="33"/>
  <c r="AH108" i="33"/>
  <c r="G93" i="30" l="1"/>
  <c r="G92" i="30"/>
  <c r="G91" i="30"/>
  <c r="F92" i="30"/>
  <c r="F91" i="30"/>
  <c r="F93" i="30"/>
  <c r="H88" i="30"/>
  <c r="H91" i="30" s="1"/>
  <c r="H92" i="30" s="1"/>
  <c r="H93" i="30" s="1"/>
  <c r="I114" i="33"/>
  <c r="K107" i="32"/>
  <c r="Y114" i="33"/>
  <c r="AE114" i="33"/>
  <c r="AK114" i="33"/>
  <c r="AI114" i="33"/>
  <c r="Q114" i="33"/>
  <c r="W114" i="33"/>
  <c r="AC114" i="33"/>
  <c r="AA114" i="33"/>
  <c r="P114" i="33"/>
  <c r="O114" i="33"/>
  <c r="U114" i="33"/>
  <c r="S114" i="33"/>
  <c r="T114" i="33"/>
  <c r="AG114" i="33"/>
  <c r="I107" i="32"/>
  <c r="M114" i="33"/>
  <c r="K114" i="33"/>
  <c r="F114" i="33"/>
  <c r="J114" i="33"/>
  <c r="AF114" i="33"/>
  <c r="AD114" i="33"/>
  <c r="AJ114" i="33"/>
  <c r="AH114" i="33"/>
  <c r="N114" i="33"/>
  <c r="L114" i="33"/>
  <c r="X114" i="33"/>
  <c r="V114" i="33"/>
  <c r="AB114" i="33"/>
  <c r="Z114" i="33"/>
  <c r="R114" i="33"/>
  <c r="G96" i="30" l="1"/>
  <c r="G98" i="30" s="1"/>
  <c r="F96" i="30"/>
  <c r="F98" i="30" s="1"/>
  <c r="I91" i="30"/>
  <c r="I93" i="30"/>
  <c r="F106" i="30" s="1"/>
  <c r="I92" i="30"/>
  <c r="I120" i="33"/>
  <c r="K113" i="32"/>
  <c r="AD120" i="33"/>
  <c r="AJ120" i="33"/>
  <c r="AH120" i="33"/>
  <c r="AF120" i="33"/>
  <c r="P120" i="33"/>
  <c r="AI120" i="33"/>
  <c r="Y120" i="33"/>
  <c r="O120" i="33"/>
  <c r="V120" i="33"/>
  <c r="AB120" i="33"/>
  <c r="Z120" i="33"/>
  <c r="X120" i="33"/>
  <c r="N120" i="33"/>
  <c r="R120" i="33"/>
  <c r="W120" i="33"/>
  <c r="K120" i="33"/>
  <c r="I113" i="32"/>
  <c r="T120" i="33"/>
  <c r="U120" i="33"/>
  <c r="S120" i="33"/>
  <c r="F120" i="33"/>
  <c r="L120" i="33"/>
  <c r="J120" i="33"/>
  <c r="AK120" i="33"/>
  <c r="AE120" i="33"/>
  <c r="AC120" i="33"/>
  <c r="AA120" i="33"/>
  <c r="Q120" i="33"/>
  <c r="AG120" i="33"/>
  <c r="M120" i="33"/>
  <c r="E99" i="30" l="1"/>
  <c r="F105" i="30"/>
  <c r="I96" i="30"/>
  <c r="I98" i="30" s="1"/>
  <c r="E105" i="30"/>
  <c r="E106" i="30"/>
  <c r="J24" i="33"/>
  <c r="K24" i="33" s="1"/>
  <c r="F9" i="30" l="1"/>
  <c r="F11" i="30"/>
  <c r="E108" i="30"/>
  <c r="F12" i="30"/>
  <c r="F14" i="30"/>
  <c r="F10" i="30"/>
  <c r="F13" i="30"/>
  <c r="M24" i="33"/>
  <c r="AC24" i="33"/>
  <c r="AD24" i="33" s="1"/>
  <c r="AE24" i="33" s="1"/>
  <c r="N24" i="33"/>
  <c r="O24" i="33" s="1"/>
  <c r="E51" i="30" l="1"/>
  <c r="E6" i="30" s="1"/>
  <c r="E16" i="28" s="1"/>
  <c r="F26" i="28" s="1"/>
  <c r="E16" i="30"/>
  <c r="F26" i="38" s="1"/>
  <c r="V24" i="33"/>
  <c r="W24" i="33" s="1"/>
  <c r="X24" i="33" s="1"/>
  <c r="Y24" i="33" s="1"/>
  <c r="P24" i="33"/>
  <c r="Q24" i="33" s="1"/>
  <c r="R24" i="33" s="1"/>
  <c r="S24" i="33" s="1"/>
  <c r="AA24" i="33"/>
  <c r="AB24" i="33" s="1"/>
  <c r="AF24" i="33" s="1"/>
  <c r="E26" i="28" l="1"/>
  <c r="E24" i="28"/>
  <c r="F24" i="38"/>
  <c r="F24" i="28"/>
  <c r="AH24" i="33"/>
  <c r="AG24" i="33"/>
  <c r="Z24" i="33"/>
  <c r="E27" i="28" l="1"/>
  <c r="E28" i="28" s="1"/>
  <c r="F27" i="28"/>
  <c r="F28" i="28" s="1"/>
  <c r="AI24" i="33"/>
  <c r="AJ24" i="33" s="1"/>
  <c r="G17" i="43" s="1"/>
  <c r="E6" i="28" l="1"/>
  <c r="F28" i="33" l="1"/>
  <c r="AK28" i="33" s="1"/>
  <c r="H21" i="43" s="1"/>
  <c r="F26" i="33"/>
  <c r="AK26" i="33" s="1"/>
  <c r="H19" i="43" s="1"/>
  <c r="F34" i="38"/>
  <c r="F38" i="38" s="1"/>
  <c r="F24" i="33"/>
  <c r="AK24" i="33" s="1"/>
  <c r="H17" i="43" s="1"/>
  <c r="F28" i="38"/>
  <c r="F30" i="38" s="1"/>
  <c r="E7" i="33" l="1"/>
  <c r="E6" i="33" l="1"/>
  <c r="F40" i="38" s="1"/>
  <c r="F42" i="38"/>
  <c r="F48" i="38" s="1"/>
  <c r="F52" i="3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<sst xmlns="http://schemas.openxmlformats.org/spreadsheetml/2006/main" count="1203" uniqueCount="477">
  <si>
    <t>Concessionary Reimbursement Calculator - Contents</t>
  </si>
  <si>
    <t>This sheet provides guidance on the formatting, contents and structure of the Calculator</t>
  </si>
  <si>
    <t>Introduction</t>
  </si>
  <si>
    <t>This workbook is the latest version of the Department for Transport's (DfT) Concessionary Reimbursement Calculator.</t>
  </si>
  <si>
    <t xml:space="preserve">This spreadsheet tool is designed to assist Travel Concession Authorities (TCAs) and operators in calculating reimbursement due from concessionary fares schemes. </t>
  </si>
  <si>
    <t>It should be used in conjunction with the appropriate written DfT guidance, the latest version of which can be found on the DfT website.</t>
  </si>
  <si>
    <t xml:space="preserve">The written guidance and this calculator set out DfT preferred methodology for calculating reimbursement based on the best available evidence. </t>
  </si>
  <si>
    <t>TCAs may use the methodology of their choice in calculating reimbursement for bus operators, subject to ensuring that operators are left no better, no worse off as a result of their participation into the scheme.</t>
  </si>
  <si>
    <t>This Calculator is divided into five separate sections, with cells being colour-coded as follows:</t>
  </si>
  <si>
    <t>Dropdown Inputs</t>
  </si>
  <si>
    <t>User Inputs</t>
  </si>
  <si>
    <t>Outputs</t>
  </si>
  <si>
    <t>Calculations</t>
  </si>
  <si>
    <t>Calculation Parameters</t>
  </si>
  <si>
    <r>
      <t xml:space="preserve">All DfT assumptions are defined in the </t>
    </r>
    <r>
      <rPr>
        <u/>
        <sz val="12"/>
        <color theme="1"/>
        <rFont val="Calibri"/>
        <family val="2"/>
        <scheme val="minor"/>
      </rPr>
      <t>input worksheets</t>
    </r>
    <r>
      <rPr>
        <sz val="12"/>
        <color theme="1"/>
        <rFont val="Calibri"/>
        <family val="2"/>
        <scheme val="minor"/>
      </rPr>
      <t>, which is where all user inputs is required.</t>
    </r>
  </si>
  <si>
    <r>
      <t xml:space="preserve">The </t>
    </r>
    <r>
      <rPr>
        <b/>
        <u/>
        <sz val="12"/>
        <color theme="1"/>
        <rFont val="Calibri"/>
        <family val="2"/>
        <scheme val="minor"/>
      </rPr>
      <t>calculation and output worksheets</t>
    </r>
    <r>
      <rPr>
        <b/>
        <sz val="12"/>
        <color theme="1"/>
        <rFont val="Calibri"/>
        <family val="2"/>
        <scheme val="minor"/>
      </rPr>
      <t xml:space="preserve"> are protected, to prevent formulae to be overwritten by mistake. There is no password, which means the user can decide to unprotect the worksheet if so desired.</t>
    </r>
  </si>
  <si>
    <t>Contents - Workbook Sheets and Descriptions</t>
  </si>
  <si>
    <t>Sheet Name and Link</t>
  </si>
  <si>
    <t>Sheet Description</t>
  </si>
  <si>
    <t>Inputs</t>
  </si>
  <si>
    <t>Output</t>
  </si>
  <si>
    <t>Model Parameters</t>
  </si>
  <si>
    <t>Model Map</t>
  </si>
  <si>
    <t>End of Worksheet</t>
  </si>
  <si>
    <t>Instructions</t>
  </si>
  <si>
    <t>This sheet provides instructions on the calculator methodology, inputs, and outputs.</t>
  </si>
  <si>
    <t>Internal Links</t>
  </si>
  <si>
    <t>Areas</t>
  </si>
  <si>
    <t>External links and sources</t>
  </si>
  <si>
    <t>The link to the latest version of the Guidance can be found here:</t>
  </si>
  <si>
    <t>https://www.gov.uk/government/publications/guidance-on-reimbursing-bus-operators-for-concessionary-travel</t>
  </si>
  <si>
    <t>The link to the latest version of the Calculator can be found here:</t>
  </si>
  <si>
    <t>https://www.gov.uk/government/publications/concessionary-bus-travel-reimbursement-calculator</t>
  </si>
  <si>
    <t>In addition to these instructions Annex G in the guidance gives more detail on the reimbursement calculator and its workings.</t>
  </si>
  <si>
    <t>General Inputs</t>
  </si>
  <si>
    <t>1a</t>
  </si>
  <si>
    <r>
      <t xml:space="preserve">Select a suitable </t>
    </r>
    <r>
      <rPr>
        <b/>
        <sz val="12"/>
        <color theme="4"/>
        <rFont val="Calibri"/>
        <family val="2"/>
        <scheme val="minor"/>
      </rPr>
      <t>area type</t>
    </r>
    <r>
      <rPr>
        <sz val="12"/>
        <rFont val="Calibri"/>
        <family val="2"/>
        <scheme val="minor"/>
      </rPr>
      <t>.</t>
    </r>
  </si>
  <si>
    <t>1b</t>
  </si>
  <si>
    <r>
      <t xml:space="preserve">Select the </t>
    </r>
    <r>
      <rPr>
        <b/>
        <sz val="12"/>
        <color theme="4"/>
        <rFont val="Calibri"/>
        <family val="2"/>
        <scheme val="minor"/>
      </rPr>
      <t>year</t>
    </r>
    <r>
      <rPr>
        <sz val="12"/>
        <color theme="1"/>
        <rFont val="Calibri"/>
        <family val="2"/>
        <scheme val="minor"/>
      </rPr>
      <t xml:space="preserve"> for which reimbursement is being calculated.</t>
    </r>
  </si>
  <si>
    <t>1c</t>
  </si>
  <si>
    <r>
      <t xml:space="preserve">Enter the </t>
    </r>
    <r>
      <rPr>
        <b/>
        <sz val="12"/>
        <color theme="4"/>
        <rFont val="Calibri"/>
        <family val="2"/>
        <scheme val="minor"/>
      </rPr>
      <t>number of observed concessionary journeys</t>
    </r>
    <r>
      <rPr>
        <sz val="12"/>
        <color theme="1"/>
        <rFont val="Calibri"/>
        <family val="2"/>
        <scheme val="minor"/>
      </rPr>
      <t xml:space="preserve"> in the relevant period.</t>
    </r>
  </si>
  <si>
    <t>1d</t>
  </si>
  <si>
    <r>
      <t xml:space="preserve">Select the </t>
    </r>
    <r>
      <rPr>
        <b/>
        <sz val="12"/>
        <color theme="4"/>
        <rFont val="Calibri"/>
        <family val="2"/>
        <scheme val="minor"/>
      </rPr>
      <t xml:space="preserve">average fare forgone </t>
    </r>
    <r>
      <rPr>
        <sz val="12"/>
        <color theme="1"/>
        <rFont val="Calibri"/>
        <family val="2"/>
        <scheme val="minor"/>
      </rPr>
      <t>calculation method.</t>
    </r>
  </si>
  <si>
    <t>1e</t>
  </si>
  <si>
    <t>If entering average fare forgone directly, enter value.</t>
  </si>
  <si>
    <t>1f</t>
  </si>
  <si>
    <r>
      <t xml:space="preserve">Select </t>
    </r>
    <r>
      <rPr>
        <b/>
        <sz val="12"/>
        <color theme="4"/>
        <rFont val="Calibri"/>
        <family val="2"/>
        <scheme val="minor"/>
      </rPr>
      <t>reimbursement factor calculation method</t>
    </r>
    <r>
      <rPr>
        <sz val="12"/>
        <color theme="1"/>
        <rFont val="Calibri"/>
        <family val="2"/>
        <scheme val="minor"/>
      </rPr>
      <t>. Select "New Operator" for operators who are new or who have had significantly changed services since 2019/20.</t>
    </r>
  </si>
  <si>
    <t>1g</t>
  </si>
  <si>
    <t>Enter percentage change in nominal fares between 2019/20 and current reimbursement period.</t>
  </si>
  <si>
    <t>1h</t>
  </si>
  <si>
    <r>
      <t xml:space="preserve">Select local or default </t>
    </r>
    <r>
      <rPr>
        <b/>
        <sz val="12"/>
        <color theme="4"/>
        <rFont val="Calibri"/>
        <family val="2"/>
        <scheme val="minor"/>
      </rPr>
      <t>mean journey length</t>
    </r>
    <r>
      <rPr>
        <sz val="12"/>
        <color theme="1"/>
        <rFont val="Calibri"/>
        <family val="2"/>
        <scheme val="minor"/>
      </rPr>
      <t xml:space="preserve"> for </t>
    </r>
    <r>
      <rPr>
        <b/>
        <sz val="12"/>
        <color theme="4"/>
        <rFont val="Calibri"/>
        <family val="2"/>
        <scheme val="minor"/>
      </rPr>
      <t>marginal operating costs</t>
    </r>
    <r>
      <rPr>
        <sz val="12"/>
        <color theme="1"/>
        <rFont val="Calibri"/>
        <family val="2"/>
        <scheme val="minor"/>
      </rPr>
      <t>.</t>
    </r>
  </si>
  <si>
    <t>1i</t>
  </si>
  <si>
    <t>If local mean journey length selected, enter value.</t>
  </si>
  <si>
    <t>1j</t>
  </si>
  <si>
    <r>
      <t xml:space="preserve">Select desired </t>
    </r>
    <r>
      <rPr>
        <b/>
        <sz val="12"/>
        <color theme="4"/>
        <rFont val="Calibri"/>
        <family val="2"/>
        <scheme val="minor"/>
      </rPr>
      <t>marginal capacity costs option</t>
    </r>
    <r>
      <rPr>
        <sz val="12"/>
        <color theme="1"/>
        <rFont val="Calibri"/>
        <family val="2"/>
        <scheme val="minor"/>
      </rPr>
      <t>.</t>
    </r>
  </si>
  <si>
    <t>1k</t>
  </si>
  <si>
    <r>
      <t xml:space="preserve">Enter total </t>
    </r>
    <r>
      <rPr>
        <b/>
        <sz val="12"/>
        <color theme="4"/>
        <rFont val="Calibri"/>
        <family val="2"/>
        <scheme val="minor"/>
      </rPr>
      <t>administration costs</t>
    </r>
    <r>
      <rPr>
        <sz val="12"/>
        <color theme="1"/>
        <rFont val="Calibri"/>
        <family val="2"/>
        <scheme val="minor"/>
      </rPr>
      <t>.</t>
    </r>
  </si>
  <si>
    <t>1l</t>
  </si>
  <si>
    <r>
      <t xml:space="preserve">Enter total </t>
    </r>
    <r>
      <rPr>
        <b/>
        <sz val="12"/>
        <color theme="4"/>
        <rFont val="Calibri"/>
        <family val="2"/>
        <scheme val="minor"/>
      </rPr>
      <t>peak vehicle requirements</t>
    </r>
    <r>
      <rPr>
        <sz val="12"/>
        <color theme="1"/>
        <rFont val="Calibri"/>
        <family val="2"/>
        <scheme val="minor"/>
      </rPr>
      <t>.</t>
    </r>
  </si>
  <si>
    <t>Average Fare Inputs (Completion not needed if fare forgone has been entered directly in the general inputs)</t>
  </si>
  <si>
    <t>If the Basket of Fares or Discount Factor method have been selected to calculate the Average Fare, links in the general inputs sheet will guide the user to the appropriate Average Fare input sheet.</t>
  </si>
  <si>
    <t>Please refer to the guidance for application guidelines and advice on which method to use.</t>
  </si>
  <si>
    <t>2a</t>
  </si>
  <si>
    <t>Basket of Fares Method</t>
  </si>
  <si>
    <t>This method allows to estimate the effective discount rate by calculating a weighted average fare per journey from assumed usage of different commercial ticket types.</t>
  </si>
  <si>
    <t>For more information on the calculations to derive the Average Fare using the Basket of Fares method, please refer to the guidance.</t>
  </si>
  <si>
    <r>
      <rPr>
        <b/>
        <sz val="12"/>
        <color theme="4"/>
        <rFont val="Calibri"/>
        <family val="2"/>
      </rPr>
      <t>Type of Ticket</t>
    </r>
    <r>
      <rPr>
        <sz val="12"/>
        <color indexed="8"/>
        <rFont val="Calibri"/>
        <family val="2"/>
      </rPr>
      <t>: Enter all the ticket types that would have been purchased by concessionary passholders in the absence of the scheme. Operators or survey evidence will be helpful in deciding which tickets to include.</t>
    </r>
  </si>
  <si>
    <r>
      <rPr>
        <b/>
        <sz val="12"/>
        <color theme="4"/>
        <rFont val="Calibri"/>
        <family val="2"/>
      </rPr>
      <t>Price £</t>
    </r>
    <r>
      <rPr>
        <sz val="12"/>
        <color indexed="8"/>
        <rFont val="Calibri"/>
        <family val="2"/>
      </rPr>
      <t>: Enter the respective commercial price of each type of ticket that would have been purchased by concessionary passholders in the absence of the scheme.</t>
    </r>
  </si>
  <si>
    <r>
      <rPr>
        <b/>
        <sz val="12"/>
        <color theme="4"/>
        <rFont val="Calibri"/>
        <family val="2"/>
      </rPr>
      <t>Assumed journeys per ticket purchased</t>
    </r>
    <r>
      <rPr>
        <sz val="12"/>
        <color indexed="8"/>
        <rFont val="Calibri"/>
        <family val="2"/>
      </rPr>
      <t>: Enter assumed number of journeys typically made by holders of each ticket type. Although this is reasonably obvious for single and return tickets, it requires some judgements to be made on the use of pass-type tickets. Again hard evidence from operators or surveys will be helpful in deciding what assumptions to make here.</t>
    </r>
  </si>
  <si>
    <r>
      <rPr>
        <b/>
        <sz val="12"/>
        <color theme="4"/>
        <rFont val="Calibri"/>
        <family val="2"/>
      </rPr>
      <t>Implied Revenue per journey £</t>
    </r>
    <r>
      <rPr>
        <sz val="12"/>
        <color indexed="8"/>
        <rFont val="Calibri"/>
        <family val="2"/>
      </rPr>
      <t>: This is the ticket price for each ticket type divided by the number of journeys typically made by concessionary passholders.</t>
    </r>
  </si>
  <si>
    <r>
      <rPr>
        <b/>
        <sz val="12"/>
        <color theme="4"/>
        <rFont val="Calibri"/>
        <family val="2"/>
      </rPr>
      <t>% of total journeys with this ticket type</t>
    </r>
    <r>
      <rPr>
        <sz val="12"/>
        <color indexed="8"/>
        <rFont val="Calibri"/>
        <family val="2"/>
      </rPr>
      <t>: Assumed proportion of total journeys that are made by eligible concessionaires in the absence of the scheme using each type of ticket. These must add up to 100 per cent.</t>
    </r>
  </si>
  <si>
    <t>2b</t>
  </si>
  <si>
    <t>Discount Factor Method</t>
  </si>
  <si>
    <t>This method, The Discount Factor Method, consists in calculating a discount factor to adjust the full commercial adult cash fare so as to reflect the fact that in the absence of free-fare schemes, individuals would buy cash fares as well as discounted tickets. The discount factor is based on the prevailing ticket price structure of an operator and the journey distribution of concessionary travellers at zero fare suitably abated to allow for degeneration. There are two options:
(1) Selecting the "Enter average ticket prices directly" option in the General Inputs Sheet will take users to the table where average fares for cash fares, daily and weekly tickets can be entered.
(2) Selecting the "Enter Ticket Prices Via Template" option in the General Inputs Sheet will allow the users to fill in the template to estimate the cash fare. 
Once the data for one of the 2 selected options has been filled, the average fare forgone will be calculated automatically.</t>
  </si>
  <si>
    <t>For more information on the calculations to derive the Average Fare using the Discount Factor method, please refer to the guidance.</t>
  </si>
  <si>
    <t>2b.i</t>
  </si>
  <si>
    <t>Enter Average Ticket Prices Directly</t>
  </si>
  <si>
    <t>2b.ii</t>
  </si>
  <si>
    <t>Select the desired Lookup Table based on geographical area.</t>
  </si>
  <si>
    <t>2c</t>
  </si>
  <si>
    <t>A custom lookup table can be selected and added in the reserved slot at the bottom of the Lookup Tables Options worksheet, which is protected without a password, and so can be unprotected by the user.</t>
  </si>
  <si>
    <t>2b.iii</t>
  </si>
  <si>
    <r>
      <t xml:space="preserve">Enter the </t>
    </r>
    <r>
      <rPr>
        <b/>
        <sz val="12"/>
        <color theme="4"/>
        <rFont val="Calibri"/>
        <family val="2"/>
      </rPr>
      <t>average cash fare</t>
    </r>
    <r>
      <rPr>
        <b/>
        <sz val="12"/>
        <color indexed="8"/>
        <rFont val="Calibri"/>
        <family val="2"/>
      </rPr>
      <t xml:space="preserve"> </t>
    </r>
    <r>
      <rPr>
        <sz val="12"/>
        <color indexed="8"/>
        <rFont val="Calibri"/>
        <family val="2"/>
      </rPr>
      <t>for the calculation period.</t>
    </r>
  </si>
  <si>
    <t>2b.iv</t>
  </si>
  <si>
    <r>
      <t xml:space="preserve">Enter the </t>
    </r>
    <r>
      <rPr>
        <b/>
        <sz val="12"/>
        <color theme="4"/>
        <rFont val="Calibri"/>
        <family val="2"/>
      </rPr>
      <t>average daily fare</t>
    </r>
    <r>
      <rPr>
        <sz val="12"/>
        <color indexed="8"/>
        <rFont val="Calibri"/>
        <family val="2"/>
      </rPr>
      <t xml:space="preserve"> for the calculation period. If there are no daily tickets available, click on button 'No daily tickets' and the Calculator will automatically derive allocations based on cash fares and weekly tickets.</t>
    </r>
  </si>
  <si>
    <t>2b.v</t>
  </si>
  <si>
    <r>
      <t xml:space="preserve">Enter the </t>
    </r>
    <r>
      <rPr>
        <b/>
        <sz val="12"/>
        <color theme="4"/>
        <rFont val="Calibri"/>
        <family val="2"/>
      </rPr>
      <t xml:space="preserve">average weekly fare </t>
    </r>
    <r>
      <rPr>
        <sz val="12"/>
        <color indexed="8"/>
        <rFont val="Calibri"/>
        <family val="2"/>
      </rPr>
      <t>or the calculation period. If there are no weekly tickets available, click on button 'No weekly tickets' and the Calculator will automatically derive allocations based on cash fares and daily tickets.</t>
    </r>
  </si>
  <si>
    <t>2b.vi</t>
  </si>
  <si>
    <t>Enter Average Ticket Prices Via Template</t>
  </si>
  <si>
    <t>2b.vii</t>
  </si>
  <si>
    <t>Select the desired Lookup Table based on geographical area characteristics.</t>
  </si>
  <si>
    <t>2b.viii</t>
  </si>
  <si>
    <t>Enter Cash Fare Product, Single journey multipliers, Number of tickets sold and Total revenue.</t>
  </si>
  <si>
    <t>2b.ix</t>
  </si>
  <si>
    <t>Enter Day Ticket Product, Number of tickets sold and Total revenue.</t>
  </si>
  <si>
    <t>2b.x</t>
  </si>
  <si>
    <t>Enter Weekly Product, Number of tickets sold and Total revenue.</t>
  </si>
  <si>
    <t>2b.xi</t>
  </si>
  <si>
    <t>Please note that if the proportion of daily or period ticket to cash fare ticket sales is higher for concessionary passengers than current fare paying passengers, the discount method may not be appropriate.</t>
  </si>
  <si>
    <t>Marginal Capacity Costs Inputs</t>
  </si>
  <si>
    <r>
      <t xml:space="preserve">This Calculator can be used to estimate MCCs for a whole network (use the first line only) or for a subset of networks (use multiple lines). There is a presumption that marginal capacity costs could potentially apply to all routes within a network. However, it is not expected that there will be positive marginal capacity costs on every route. It is advised that the Calculator should be at network level or for a subset of routes within a network, i.e. route data should be aggregated into a network line </t>
    </r>
    <r>
      <rPr>
        <sz val="12"/>
        <rFont val="Calibri"/>
        <family val="2"/>
      </rPr>
      <t>(see Annex H of Guidance for advice on aggregation)</t>
    </r>
    <r>
      <rPr>
        <sz val="12"/>
        <color indexed="8"/>
        <rFont val="Calibri"/>
        <family val="2"/>
      </rPr>
      <t>. The guidance also advises that users should avoid mixing local and default values.</t>
    </r>
  </si>
  <si>
    <t>For more information on the calculations to derive the Marginal Capacity Costs, please refer to the guidance.</t>
  </si>
  <si>
    <t>3a</t>
  </si>
  <si>
    <t xml:space="preserve">To activate calculation for a particular line, select 'Yes' in dropdown menu.  </t>
  </si>
  <si>
    <t>3b</t>
  </si>
  <si>
    <r>
      <rPr>
        <b/>
        <sz val="12"/>
        <color theme="4"/>
        <rFont val="Calibri"/>
        <family val="2"/>
      </rPr>
      <t xml:space="preserve">Enter Network/Subset of networks description. </t>
    </r>
    <r>
      <rPr>
        <sz val="12"/>
        <color indexed="8"/>
        <rFont val="Calibri"/>
        <family val="2"/>
      </rPr>
      <t>The analysis can be done for a whole network or for separate mini-networks of routes sharing similar characteristics.</t>
    </r>
  </si>
  <si>
    <t>3c</t>
  </si>
  <si>
    <r>
      <t>Enter the</t>
    </r>
    <r>
      <rPr>
        <b/>
        <sz val="12"/>
        <color theme="4"/>
        <rFont val="Calibri"/>
        <family val="2"/>
        <scheme val="minor"/>
      </rPr>
      <t xml:space="preserve"> total concessionary journeys </t>
    </r>
    <r>
      <rPr>
        <sz val="12"/>
        <color theme="1"/>
        <rFont val="Calibri"/>
        <family val="2"/>
        <scheme val="minor"/>
      </rPr>
      <t>on a network/subset of networks.</t>
    </r>
  </si>
  <si>
    <t>3d</t>
  </si>
  <si>
    <r>
      <rPr>
        <b/>
        <sz val="12"/>
        <color theme="4"/>
        <rFont val="Calibri"/>
        <family val="2"/>
        <scheme val="minor"/>
      </rPr>
      <t xml:space="preserve">Select Default or Local value for the unit cost per vehicle hour, and enter value if "local" option selected. </t>
    </r>
    <r>
      <rPr>
        <sz val="12"/>
        <color theme="1"/>
        <rFont val="Calibri"/>
        <family val="2"/>
        <scheme val="minor"/>
      </rPr>
      <t xml:space="preserve">The guidance recommends that the default values should be used even when using local data for other inputs due to the difficulty in estimating a true marginal unit cost from local data. It should be noted that the DfT default value for vehicle hour costs is likely to be an overestimate of the true unit cost (in particular, it includes London).  However, if TCAs can satisfy themselves that locally derived values are an accurate measure of the true marginal costs and can be validated, then a local value may be used. </t>
    </r>
  </si>
  <si>
    <t>3e</t>
  </si>
  <si>
    <r>
      <rPr>
        <b/>
        <sz val="12"/>
        <color theme="4"/>
        <rFont val="Calibri"/>
        <family val="2"/>
        <scheme val="minor"/>
      </rPr>
      <t xml:space="preserve">Select Default or Local value for the unit cost per vehicle mile, and enter value if "local" option selected. </t>
    </r>
    <r>
      <rPr>
        <sz val="12"/>
        <color theme="1"/>
        <rFont val="Calibri"/>
        <family val="2"/>
        <scheme val="minor"/>
      </rPr>
      <t xml:space="preserve">The guidance recommends that the default value should be used even when using local data for other inputs due to the difficulty in estimating a true marginal unit cost from local data. However, if TCAs can satisfy themselves that locally derived values are an accurate measure of the true marginal costs and can be validated, then a local value may be used. </t>
    </r>
  </si>
  <si>
    <t>3f</t>
  </si>
  <si>
    <r>
      <rPr>
        <b/>
        <sz val="12"/>
        <color theme="4"/>
        <rFont val="Calibri"/>
        <family val="2"/>
        <scheme val="minor"/>
      </rPr>
      <t xml:space="preserve">Select Default or Local value for Speed (miles per hour), and enter value if "local" option selected. </t>
    </r>
    <r>
      <rPr>
        <sz val="12"/>
        <color theme="1"/>
        <rFont val="Calibri"/>
        <family val="2"/>
        <scheme val="minor"/>
      </rPr>
      <t xml:space="preserve">This is the average bus speed (including turn times and recover times but excluding planned breaks) for the network/subset of networks. The default value is a national average of 8.79 miles/hour for urban areas and 10.03 miles for rural areas. If there is evidence to suggest that bus speed for your local area is significantly different from these averages, choose the "local" value option. </t>
    </r>
  </si>
  <si>
    <t>3g</t>
  </si>
  <si>
    <r>
      <rPr>
        <b/>
        <sz val="12"/>
        <color theme="4"/>
        <rFont val="Calibri"/>
        <family val="2"/>
        <scheme val="minor"/>
      </rPr>
      <t xml:space="preserve">Select Default or Local value for Mean Vehicle Occupancy, and enter value if "local" option selected. </t>
    </r>
    <r>
      <rPr>
        <sz val="12"/>
        <rFont val="Calibri"/>
        <family val="2"/>
        <scheme val="minor"/>
      </rPr>
      <t>The default average is 10 passengers per bus mile. If there is evidence to suggest that the mean vehicle occupancy for the local area under consideration is different, choose the "Local" value option. An estimate of average occupancy can be calculated from passenger journeys x journey length / vehicle miles.</t>
    </r>
  </si>
  <si>
    <t>3h</t>
  </si>
  <si>
    <r>
      <rPr>
        <b/>
        <sz val="12"/>
        <color theme="4"/>
        <rFont val="Calibri"/>
        <family val="2"/>
        <scheme val="minor"/>
      </rPr>
      <t>Select Default or Local value for Mean Journey Length, and enter value if "local" option selected.</t>
    </r>
    <r>
      <rPr>
        <sz val="12"/>
        <color theme="1"/>
        <rFont val="Calibri"/>
        <family val="2"/>
        <scheme val="minor"/>
      </rPr>
      <t xml:space="preserve"> The default average is 3.1 miles in urban areas and 3.6 miles in rural areas. If there is evidence to suggest that the mean journey length for the local area under consideration is different, choose the "Local" value option. A rule of thumb that the average journey length is 50 per cent of the route length may be used although TCAs/operators may wish to take account of how this relationship may vary for different types of services based on local evidence.</t>
    </r>
  </si>
  <si>
    <t>3i</t>
  </si>
  <si>
    <r>
      <rPr>
        <b/>
        <sz val="12"/>
        <color theme="4"/>
        <rFont val="Calibri"/>
        <family val="2"/>
        <scheme val="minor"/>
      </rPr>
      <t>Select Default or Local value for Mean Route Length, and enter value if "local" option selected.</t>
    </r>
    <r>
      <rPr>
        <sz val="12"/>
        <color theme="1"/>
        <rFont val="Calibri"/>
        <family val="2"/>
        <scheme val="minor"/>
      </rPr>
      <t xml:space="preserve"> The default average is 6.2 miles in urban areas and 7.1 miles in rural areas. If there is evidence to suggest that the mean route length for the local area under consideration is different, choose the "Local" value option.</t>
    </r>
  </si>
  <si>
    <t>3j</t>
  </si>
  <si>
    <r>
      <rPr>
        <b/>
        <sz val="12"/>
        <color theme="4"/>
        <rFont val="Calibri"/>
        <family val="2"/>
        <scheme val="minor"/>
      </rPr>
      <t xml:space="preserve">Enter the locally derived average commercial fare </t>
    </r>
    <r>
      <rPr>
        <sz val="12"/>
        <color theme="1"/>
        <rFont val="Calibri"/>
        <family val="2"/>
        <scheme val="minor"/>
      </rPr>
      <t>in the relevant reimbursement period for the network/subset of networks. This includes commercial adults and full-fare paying children.</t>
    </r>
  </si>
  <si>
    <t>3k</t>
  </si>
  <si>
    <r>
      <rPr>
        <b/>
        <sz val="12"/>
        <color theme="4"/>
        <rFont val="Calibri"/>
        <family val="2"/>
        <scheme val="minor"/>
      </rPr>
      <t xml:space="preserve">Select Default or Local value for Commercial journeys as a percentage of total journeys, and enter value if "local" option selected. </t>
    </r>
    <r>
      <rPr>
        <sz val="12"/>
        <color theme="1"/>
        <rFont val="Calibri"/>
        <family val="2"/>
        <scheme val="minor"/>
      </rPr>
      <t>The default average value provided is 60%. If there is evidence to suggest that commercial journeys as a percentage of the total is significantly different, choose the "Local" value option. Commercial journeys include adults and full-fare paying children.</t>
    </r>
  </si>
  <si>
    <t>Inflation Inputs</t>
  </si>
  <si>
    <t>The inflation inputs in this calculator are not intended to be altered by operators, but rather exist to be updated by DfT each year before release of the calculator. They are used to calculate the measures of inflation and deflation which inform changes to costs and inflation in reimbursement calculations.</t>
  </si>
  <si>
    <t>4a</t>
  </si>
  <si>
    <r>
      <rPr>
        <b/>
        <sz val="12"/>
        <color theme="4"/>
        <rFont val="Calibri"/>
        <family val="2"/>
      </rPr>
      <t xml:space="preserve">Average Weekly Earnings Index </t>
    </r>
    <r>
      <rPr>
        <sz val="12"/>
        <color theme="1"/>
        <rFont val="Calibri"/>
        <family val="2"/>
      </rPr>
      <t>is the index of average weekly earnings for the transport and storage sector, taken from ONS series K5B7</t>
    </r>
  </si>
  <si>
    <t>AWE: Transport &amp; Storage Index: Non Seasonally Adjusted Total Pay Including Arrears - Office for National Statistics</t>
  </si>
  <si>
    <t>4b</t>
  </si>
  <si>
    <r>
      <rPr>
        <b/>
        <sz val="12"/>
        <color theme="4"/>
        <rFont val="Calibri"/>
        <family val="2"/>
      </rPr>
      <t xml:space="preserve">Diesel Cost </t>
    </r>
    <r>
      <rPr>
        <sz val="12"/>
        <color theme="1"/>
        <rFont val="Calibri"/>
        <family val="2"/>
      </rPr>
      <t>is the average cost of diesel in the UK taken from DESNZ</t>
    </r>
  </si>
  <si>
    <t>Monthly and annual prices of road fuels (including diesel)</t>
  </si>
  <si>
    <t>4c</t>
  </si>
  <si>
    <r>
      <rPr>
        <b/>
        <sz val="12"/>
        <color theme="4"/>
        <rFont val="Calibri"/>
        <family val="2"/>
      </rPr>
      <t xml:space="preserve">CPI </t>
    </r>
    <r>
      <rPr>
        <sz val="12"/>
        <color theme="1"/>
        <rFont val="Calibri"/>
        <family val="2"/>
      </rPr>
      <t>is taken from ONS series D7G7 as the annual rate of CPI across all items</t>
    </r>
  </si>
  <si>
    <t>CPI INDEX 00: ALL ITEMS 2015=100 - Office for National Statistics (ons.gov.uk)</t>
  </si>
  <si>
    <t>4d</t>
  </si>
  <si>
    <r>
      <rPr>
        <b/>
        <sz val="12"/>
        <color theme="4"/>
        <rFont val="Calibri"/>
        <family val="2"/>
      </rPr>
      <t xml:space="preserve">Average Weekly Earnings Forecast </t>
    </r>
    <r>
      <rPr>
        <sz val="12"/>
        <color theme="1"/>
        <rFont val="Calibri"/>
        <family val="2"/>
      </rPr>
      <t>is taken from the OBR economic and fiscal outlook forecasts, Nominal Earning Growth. Current forecasts are from the November 2025 release.</t>
    </r>
  </si>
  <si>
    <t>Economic and fiscal outlook – November 2025 - Office for Budget Responsibility</t>
  </si>
  <si>
    <t>4e</t>
  </si>
  <si>
    <r>
      <rPr>
        <b/>
        <sz val="12"/>
        <color theme="4"/>
        <rFont val="Calibri"/>
        <family val="2"/>
      </rPr>
      <t xml:space="preserve">Diesel Cost Forecast </t>
    </r>
    <r>
      <rPr>
        <sz val="12"/>
        <color theme="1"/>
        <rFont val="Calibri"/>
        <family val="2"/>
      </rPr>
      <t>is taken from A1.3.7 in the TAG Databook, and represents pence per litre in real (2010) prices.</t>
    </r>
  </si>
  <si>
    <t>TAG data book - GOV.UK (www.gov.uk)</t>
  </si>
  <si>
    <t>4f</t>
  </si>
  <si>
    <r>
      <rPr>
        <b/>
        <sz val="12"/>
        <color theme="4"/>
        <rFont val="Calibri"/>
        <family val="2"/>
      </rPr>
      <t xml:space="preserve">CPI Forecast </t>
    </r>
    <r>
      <rPr>
        <sz val="12"/>
        <color theme="1"/>
        <rFont val="Calibri"/>
        <family val="2"/>
      </rPr>
      <t>is also taken from the OBR economic and fiscal outlook forecasts. Current forecasts are from the November 2025 release.</t>
    </r>
  </si>
  <si>
    <t>This worksheet is protected, but without a password, and so can be unlocked by the user if so desired.</t>
  </si>
  <si>
    <t>5a</t>
  </si>
  <si>
    <r>
      <rPr>
        <b/>
        <sz val="12"/>
        <color theme="4"/>
        <rFont val="Calibri"/>
        <family val="2"/>
      </rPr>
      <t>Area Type</t>
    </r>
    <r>
      <rPr>
        <b/>
        <sz val="12"/>
        <color indexed="8"/>
        <rFont val="Calibri"/>
        <family val="2"/>
      </rPr>
      <t>:</t>
    </r>
    <r>
      <rPr>
        <sz val="12"/>
        <color indexed="8"/>
        <rFont val="Calibri"/>
        <family val="2"/>
      </rPr>
      <t xml:space="preserve"> Displays the relevant area type (urban or rural) that was chosen in the General Inputs. </t>
    </r>
  </si>
  <si>
    <t>5b</t>
  </si>
  <si>
    <r>
      <rPr>
        <b/>
        <sz val="12"/>
        <color theme="4"/>
        <rFont val="Calibri"/>
        <family val="2"/>
      </rPr>
      <t>Year</t>
    </r>
    <r>
      <rPr>
        <sz val="12"/>
        <color indexed="8"/>
        <rFont val="Calibri"/>
        <family val="2"/>
      </rPr>
      <t>: Displays the relevant period for which reimbursement is being calculated as chosen in the General Inputs.</t>
    </r>
  </si>
  <si>
    <t>5c</t>
  </si>
  <si>
    <r>
      <rPr>
        <b/>
        <sz val="12"/>
        <color theme="4"/>
        <rFont val="Calibri"/>
        <family val="2"/>
      </rPr>
      <t>Observed Concessionary journeys</t>
    </r>
    <r>
      <rPr>
        <sz val="12"/>
        <color indexed="8"/>
        <rFont val="Calibri"/>
        <family val="2"/>
      </rPr>
      <t>: Displays the number of concessionary journeys observed in the relevant reimbursement period as entered in the General Inputs.</t>
    </r>
  </si>
  <si>
    <t>5d</t>
  </si>
  <si>
    <r>
      <rPr>
        <b/>
        <sz val="12"/>
        <color theme="4"/>
        <rFont val="Calibri"/>
        <family val="2"/>
      </rPr>
      <t>Average Fare Forgone</t>
    </r>
    <r>
      <rPr>
        <sz val="12"/>
        <color indexed="8"/>
        <rFont val="Calibri"/>
        <family val="2"/>
      </rPr>
      <t>: Displays the average fare forgone as derived in either Basket of Fares - Calculations or Discount Fator - Calculations using the Average Fare Inputs (AF - Basket of Fares or AF - Discount Factor), Lookup Tables and Inflation parameters.</t>
    </r>
  </si>
  <si>
    <t>5e</t>
  </si>
  <si>
    <r>
      <rPr>
        <b/>
        <sz val="12"/>
        <color theme="4"/>
        <rFont val="Calibri"/>
        <family val="2"/>
      </rPr>
      <t>Discount Factor</t>
    </r>
    <r>
      <rPr>
        <sz val="12"/>
        <color indexed="8"/>
        <rFont val="Calibri"/>
        <family val="2"/>
      </rPr>
      <t>: Displays the final Discount Factor calculated in the Discount Fator - Calculations using the Average Fare Inputs (AF - Basket of Fares or AF - Discount Factor), Lookup Tables and Inflation parameters. This cell is greyed out if the Discount Factor method is not selected to derive the Average Fare Forgone.</t>
    </r>
  </si>
  <si>
    <t>5f</t>
  </si>
  <si>
    <r>
      <rPr>
        <b/>
        <sz val="12"/>
        <color theme="4"/>
        <rFont val="Calibri"/>
        <family val="2"/>
      </rPr>
      <t>Reimbursement Factor</t>
    </r>
    <r>
      <rPr>
        <sz val="12"/>
        <color indexed="8"/>
        <rFont val="Calibri"/>
        <family val="2"/>
      </rPr>
      <t>: Displays the reimbursement factor as derived in RF - Calculations using the General Inputs, Inflation Inputs, and Average Fare Inputs.</t>
    </r>
  </si>
  <si>
    <t>5g</t>
  </si>
  <si>
    <r>
      <rPr>
        <b/>
        <sz val="12"/>
        <color theme="4"/>
        <rFont val="Calibri"/>
        <family val="2"/>
      </rPr>
      <t>Total Reimbursement for Revenue Forgone</t>
    </r>
    <r>
      <rPr>
        <sz val="12"/>
        <color indexed="8"/>
        <rFont val="Calibri"/>
        <family val="2"/>
      </rPr>
      <t>: Calculated as Observed Concessionary journeys x Reimbursement Factor x Average Fare Forgone.</t>
    </r>
  </si>
  <si>
    <t>5h</t>
  </si>
  <si>
    <r>
      <rPr>
        <b/>
        <sz val="12"/>
        <color theme="4"/>
        <rFont val="Calibri"/>
        <family val="2"/>
      </rPr>
      <t>Generation Factor</t>
    </r>
    <r>
      <rPr>
        <sz val="12"/>
        <color indexed="8"/>
        <rFont val="Calibri"/>
        <family val="2"/>
      </rPr>
      <t>: This is the 1- Reimbursement Factor%.</t>
    </r>
  </si>
  <si>
    <t>5i</t>
  </si>
  <si>
    <r>
      <rPr>
        <b/>
        <sz val="12"/>
        <color theme="4"/>
        <rFont val="Calibri"/>
        <family val="2"/>
      </rPr>
      <t>Additional Marginal Operating Cost per Journey</t>
    </r>
    <r>
      <rPr>
        <sz val="12"/>
        <color indexed="8"/>
        <rFont val="Calibri"/>
        <family val="2"/>
      </rPr>
      <t>: Displays the marginal operating cost per journey calculated in MOC - Calculations using the General Inputs and Inflation parameters.</t>
    </r>
  </si>
  <si>
    <t>5j</t>
  </si>
  <si>
    <r>
      <rPr>
        <b/>
        <sz val="12"/>
        <color theme="4"/>
        <rFont val="Calibri"/>
        <family val="2"/>
      </rPr>
      <t>Total Marginal Operating Costs</t>
    </r>
    <r>
      <rPr>
        <sz val="12"/>
        <color indexed="8"/>
        <rFont val="Calibri"/>
        <family val="2"/>
      </rPr>
      <t>: calculated as total concessionary journeys x Generation Factor x MOC in pence per journey.</t>
    </r>
  </si>
  <si>
    <t>5k</t>
  </si>
  <si>
    <r>
      <rPr>
        <b/>
        <sz val="12"/>
        <color theme="4"/>
        <rFont val="Calibri"/>
        <family val="2"/>
        <scheme val="minor"/>
      </rPr>
      <t>Average additional Capacity Cost per generated passenger journey (£ per trip)</t>
    </r>
    <r>
      <rPr>
        <sz val="12"/>
        <color theme="1"/>
        <rFont val="Calibri"/>
        <family val="2"/>
        <scheme val="minor"/>
      </rPr>
      <t>: Average across all entered networks, calculated in MCC - Calculations using the Marginal Capacity Costs Inputs, General Inputs, Inflation Inputs, Average Fare and Reimbursement Factor.</t>
    </r>
  </si>
  <si>
    <t>5l</t>
  </si>
  <si>
    <r>
      <rPr>
        <b/>
        <sz val="12"/>
        <color theme="4"/>
        <rFont val="Calibri"/>
        <family val="2"/>
      </rPr>
      <t>Total Marginal Capacity Costs</t>
    </r>
    <r>
      <rPr>
        <sz val="12"/>
        <color indexed="8"/>
        <rFont val="Calibri"/>
        <family val="2"/>
      </rPr>
      <t xml:space="preserve"> calculated in MCC - Calculations using the Marginal Capacity Costs Inputs, General Inputs, Inflation Inputs, Average Fare and Reimbursement Factor.</t>
    </r>
  </si>
  <si>
    <t>5m</t>
  </si>
  <si>
    <r>
      <rPr>
        <b/>
        <sz val="12"/>
        <color theme="4"/>
        <rFont val="Calibri"/>
        <family val="2"/>
      </rPr>
      <t>Scheme Administration Costs</t>
    </r>
    <r>
      <rPr>
        <sz val="12"/>
        <color indexed="8"/>
        <rFont val="Calibri"/>
        <family val="2"/>
      </rPr>
      <t xml:space="preserve"> entered in General Inputs.</t>
    </r>
  </si>
  <si>
    <t>5n</t>
  </si>
  <si>
    <r>
      <rPr>
        <b/>
        <sz val="12"/>
        <color theme="4"/>
        <rFont val="Calibri"/>
        <family val="2"/>
      </rPr>
      <t>PVR Costs</t>
    </r>
    <r>
      <rPr>
        <sz val="12"/>
        <color indexed="8"/>
        <rFont val="Calibri"/>
        <family val="2"/>
      </rPr>
      <t>: Displays Peak Vehicle Requirement Costs entered in AC Model.</t>
    </r>
  </si>
  <si>
    <t>5o</t>
  </si>
  <si>
    <r>
      <rPr>
        <b/>
        <sz val="12"/>
        <color theme="4"/>
        <rFont val="Calibri"/>
        <family val="2"/>
      </rPr>
      <t>Total Reimbursement for Additional Costs</t>
    </r>
    <r>
      <rPr>
        <sz val="12"/>
        <color indexed="8"/>
        <rFont val="Calibri"/>
        <family val="2"/>
      </rPr>
      <t>: Calculated as Generation Factor x Concessionary journeys x (Marginal Operating Cost per journey  + Marginal Capacity Cost per journey) + Peak Vehicle Requirement costs.</t>
    </r>
  </si>
  <si>
    <t>5p</t>
  </si>
  <si>
    <r>
      <rPr>
        <b/>
        <sz val="12"/>
        <color theme="4"/>
        <rFont val="Calibri"/>
        <family val="2"/>
      </rPr>
      <t>Total Reimbursement</t>
    </r>
    <r>
      <rPr>
        <sz val="12"/>
        <color indexed="8"/>
        <rFont val="Calibri"/>
        <family val="2"/>
      </rPr>
      <t>: Calculated as Total Reimbursement for Revenue Forgone + Total Reimbursement for Additional Costs.</t>
    </r>
  </si>
  <si>
    <t>Marginal Capacity Costs Outputs</t>
  </si>
  <si>
    <t>6a</t>
  </si>
  <si>
    <r>
      <rPr>
        <b/>
        <sz val="12"/>
        <color theme="4"/>
        <rFont val="Calibri"/>
        <family val="2"/>
      </rPr>
      <t>Active Calculation</t>
    </r>
    <r>
      <rPr>
        <sz val="12"/>
        <color indexed="8"/>
        <rFont val="Calibri"/>
        <family val="2"/>
      </rPr>
      <t>, from the Marginal Capacity Costs Inputs worksheet.</t>
    </r>
  </si>
  <si>
    <t>6b</t>
  </si>
  <si>
    <r>
      <t xml:space="preserve">Network/Subset of networks description, </t>
    </r>
    <r>
      <rPr>
        <sz val="12"/>
        <color theme="1"/>
        <rFont val="Calibri"/>
        <family val="2"/>
      </rPr>
      <t>from the Marginal Capacity Inputs worksheet.</t>
    </r>
  </si>
  <si>
    <t>6c</t>
  </si>
  <si>
    <r>
      <rPr>
        <b/>
        <sz val="12"/>
        <color theme="4"/>
        <rFont val="Calibri"/>
        <family val="2"/>
      </rPr>
      <t>Net Additional Capacity Cost per Generated Passenger Journey</t>
    </r>
    <r>
      <rPr>
        <sz val="12"/>
        <color indexed="8"/>
        <rFont val="Calibri"/>
        <family val="2"/>
      </rPr>
      <t>: Displays the capacity cost per generated passenger journey for the considered network calculated in the MCC - Calculations worksheet.</t>
    </r>
  </si>
  <si>
    <t>6d</t>
  </si>
  <si>
    <r>
      <rPr>
        <b/>
        <sz val="12"/>
        <color theme="4"/>
        <rFont val="Calibri"/>
        <family val="2"/>
      </rPr>
      <t>Total Net Costs for the Network / Subset of Networks:</t>
    </r>
    <r>
      <rPr>
        <sz val="12"/>
        <color indexed="8"/>
        <rFont val="Calibri"/>
        <family val="2"/>
      </rPr>
      <t xml:space="preserve"> calculated in MCC - Calculations using the Marginal Capacity Costs Inputs, General Inputs, Inflation Inputs, Average Fare and Reimbursement Factor.</t>
    </r>
  </si>
  <si>
    <t>Lists</t>
  </si>
  <si>
    <t>This sheet records the lists used in the dropdown inputs</t>
  </si>
  <si>
    <t>Named Lists</t>
  </si>
  <si>
    <t>Year</t>
  </si>
  <si>
    <t>2023-24</t>
  </si>
  <si>
    <t>2024-25</t>
  </si>
  <si>
    <t>2025-26</t>
  </si>
  <si>
    <t>2026-27</t>
  </si>
  <si>
    <t>Area Type</t>
  </si>
  <si>
    <t>Urban</t>
  </si>
  <si>
    <t>Non-urban</t>
  </si>
  <si>
    <t>Reimbursement Factor Calculation Method</t>
  </si>
  <si>
    <t>Percentage change in nominal fares between 2019/20 and the current reimbursement period</t>
  </si>
  <si>
    <t>New Operator</t>
  </si>
  <si>
    <t>Default or Local</t>
  </si>
  <si>
    <t>Default</t>
  </si>
  <si>
    <t>Local</t>
  </si>
  <si>
    <t>Yes or No</t>
  </si>
  <si>
    <t>Yes</t>
  </si>
  <si>
    <t>No</t>
  </si>
  <si>
    <t>Average Fare Forgone Calculation Method</t>
  </si>
  <si>
    <t>Enter average fare forgone directly</t>
  </si>
  <si>
    <t>Discount Factor Method (enter average ticket prices directly)</t>
  </si>
  <si>
    <t>Discount Factor Method (use template to calculate fares changes)</t>
  </si>
  <si>
    <t>Lookup Tables</t>
  </si>
  <si>
    <t>Mixed Urban Rural</t>
  </si>
  <si>
    <t>Medium-Sized Urban</t>
  </si>
  <si>
    <t>Large Urban</t>
  </si>
  <si>
    <t>Rural</t>
  </si>
  <si>
    <t>Custom</t>
  </si>
  <si>
    <t>This sheet records the user's selected methodologies and mandatory inputs</t>
  </si>
  <si>
    <t>Observed Concessionary Journeys</t>
  </si>
  <si>
    <t>Average Fare Forgone</t>
  </si>
  <si>
    <t>Selected Calculation Method</t>
  </si>
  <si>
    <t>Reimbursement Factor</t>
  </si>
  <si>
    <t>Marginal Operating Costs</t>
  </si>
  <si>
    <t>Use Default or Local Mean Journey Length?</t>
  </si>
  <si>
    <t>Marginal Capacity Costs</t>
  </si>
  <si>
    <t>Are you providing for Marginal Capacity Costs?</t>
  </si>
  <si>
    <t>Additional Costs</t>
  </si>
  <si>
    <t>Please enter total administration costs</t>
  </si>
  <si>
    <t>Please enter total peak vehicle requirement costs</t>
  </si>
  <si>
    <t>Links to</t>
  </si>
  <si>
    <t>Average Fare - Basket of Fares Inputs</t>
  </si>
  <si>
    <t>This sheet records the user's inputs to calculate the Average Fare using the Basket of Fares method</t>
  </si>
  <si>
    <t>Enter Ticket Prices via Template</t>
  </si>
  <si>
    <t>Type of ticket</t>
  </si>
  <si>
    <t>Price £</t>
  </si>
  <si>
    <t>Assumed journeys per ticket purchased</t>
  </si>
  <si>
    <t>% of total journeys with this ticket type</t>
  </si>
  <si>
    <t>Average Fare - Discount Factor Inputs</t>
  </si>
  <si>
    <t>This sheet records the user's inputs to calculate the Discount Factor using the Discount Factor method</t>
  </si>
  <si>
    <t>Selected Lookup Table</t>
  </si>
  <si>
    <t>Average Cash Fare</t>
  </si>
  <si>
    <t>Average Daily Ticket Price</t>
  </si>
  <si>
    <t>Average Weekly Ticket Price</t>
  </si>
  <si>
    <t>Cash Fare Template</t>
  </si>
  <si>
    <t>Product</t>
  </si>
  <si>
    <t>Single journey multiplier</t>
  </si>
  <si>
    <t>Number of tickets sold</t>
  </si>
  <si>
    <t>Total revenue (£)</t>
  </si>
  <si>
    <t>Day Ticket Template</t>
  </si>
  <si>
    <t>Weekly Ticket Template</t>
  </si>
  <si>
    <t>End</t>
  </si>
  <si>
    <t>This sheet records the user's inputs to calculate Marginal Capacity Costs</t>
  </si>
  <si>
    <t>Network Number</t>
  </si>
  <si>
    <t>Activate calculation</t>
  </si>
  <si>
    <t>Network/Subset of networks</t>
  </si>
  <si>
    <t>Total Concessionary Journeys on Network/Subset of networks</t>
  </si>
  <si>
    <t>Cost/Vehicle Hour (£)</t>
  </si>
  <si>
    <t>Cost/Vehicle Mile (£)</t>
  </si>
  <si>
    <t>Speed (mph)</t>
  </si>
  <si>
    <t>Mean vehicle occupancy (passengers per bus mile)</t>
  </si>
  <si>
    <t>Mean Journey Length (miles)</t>
  </si>
  <si>
    <t>Mean route length (miles)</t>
  </si>
  <si>
    <t>Average commercial fare (£)</t>
  </si>
  <si>
    <t>Commercial Journeys as a % of Total</t>
  </si>
  <si>
    <t xml:space="preserve">This sheet records the user's inputs to update inflation. </t>
  </si>
  <si>
    <t>Indices</t>
  </si>
  <si>
    <t>Forecasts</t>
  </si>
  <si>
    <t>Average Weekly Earnings Index</t>
  </si>
  <si>
    <t>Diesel Cost</t>
  </si>
  <si>
    <t>CPI</t>
  </si>
  <si>
    <t>Average Weekly Earnings (%)</t>
  </si>
  <si>
    <t>Diesel Costs (p/litre)</t>
  </si>
  <si>
    <t>CPI (%)</t>
  </si>
  <si>
    <t>Weight</t>
  </si>
  <si>
    <t>This sheet gathers all of the Calculator outputs</t>
  </si>
  <si>
    <t>General Parameters</t>
  </si>
  <si>
    <t>Revenue Forgone</t>
  </si>
  <si>
    <t>Average Fare Forgone (£)</t>
  </si>
  <si>
    <t xml:space="preserve">Discount Factor  </t>
  </si>
  <si>
    <t>Reimbursement Factor (%)</t>
  </si>
  <si>
    <t>Total Reimbursement for Revenue Forgone (£)</t>
  </si>
  <si>
    <t>Generation Factor (%)</t>
  </si>
  <si>
    <t>Marginal Operating Costs (£ per trip)</t>
  </si>
  <si>
    <t>Total Marginal Operating Costs (£)</t>
  </si>
  <si>
    <t>Average additional Capacity Cost per generated passenger journey (£ per trip)</t>
  </si>
  <si>
    <t>Total Marginal Capacity Costs (£)</t>
  </si>
  <si>
    <t>Scheme Administration Costs (£)</t>
  </si>
  <si>
    <t>PVR Costs (£)</t>
  </si>
  <si>
    <t>Total Reimbursement for Additional Costs</t>
  </si>
  <si>
    <t>Total Reimbursement</t>
  </si>
  <si>
    <t>This sheet gathers the detailed Marginal Capacity Costs outputs at network level</t>
  </si>
  <si>
    <t>Active calculation</t>
  </si>
  <si>
    <t>Net additional capacity cost per generated passenger journey (Final)</t>
  </si>
  <si>
    <t>Total net costs for the network/subset of networks (£)</t>
  </si>
  <si>
    <t>Lookup Tables Options</t>
  </si>
  <si>
    <t>This sheet gives the four lookup tables options used to calculate the Average Fare using the Discount Factor method, and an additional slot to include a custom lookup table</t>
  </si>
  <si>
    <t>Weekly Ticket Price as Multiple of Cash Fare per Journey</t>
  </si>
  <si>
    <t>Weekly Tickets</t>
  </si>
  <si>
    <t>No Day Ticket</t>
  </si>
  <si>
    <t>Daily Ticket Price as Multiple of Cash Fare per Journey</t>
  </si>
  <si>
    <t>Daily Tickets</t>
  </si>
  <si>
    <t>Daily Journeys</t>
  </si>
  <si>
    <t>Cash Fares</t>
  </si>
  <si>
    <t>Weekly Journeys</t>
  </si>
  <si>
    <t>Cash Fare Journeys</t>
  </si>
  <si>
    <t>More than 40</t>
  </si>
  <si>
    <t>Worksheet needs to be unprotected from excel Review tab to add Custom lookup table</t>
  </si>
  <si>
    <t>This sheet lists all the model parameters used to derive the Calculator outputs</t>
  </si>
  <si>
    <t>Parameters</t>
  </si>
  <si>
    <t>Discount Factor Calculations Parameters</t>
  </si>
  <si>
    <t>Factor</t>
  </si>
  <si>
    <t>Cash fare journeys per ticket</t>
  </si>
  <si>
    <t>Reimbursement Factor Calculations Parameters</t>
  </si>
  <si>
    <t>λ</t>
  </si>
  <si>
    <t>β</t>
  </si>
  <si>
    <t>MOC Calculations Parameters</t>
  </si>
  <si>
    <t>Value</t>
  </si>
  <si>
    <t>MOC Fixed Element</t>
  </si>
  <si>
    <t>Journey Length</t>
  </si>
  <si>
    <t>MOC Variable Element</t>
  </si>
  <si>
    <t>MCC Calculations Parameters</t>
  </si>
  <si>
    <t>Mohring Power</t>
  </si>
  <si>
    <t>Cost/Vehicle Hour (£) Coefficient</t>
  </si>
  <si>
    <t>Cost/Vehicle Mile (£) Coefficient</t>
  </si>
  <si>
    <t>Base Frequency (buses / hr)</t>
  </si>
  <si>
    <t>Service Elasticity</t>
  </si>
  <si>
    <t>Inflation Calculations Parameters</t>
  </si>
  <si>
    <t>MOC Costs Rebase factor</t>
  </si>
  <si>
    <t>MCC Costs / Hour Rebase factor</t>
  </si>
  <si>
    <t>MCC Costs / Mile Rebase factor</t>
  </si>
  <si>
    <t>Average Fare Calculations - Basket of Fares Method</t>
  </si>
  <si>
    <t>This sheet contains the calculations to derive the Average Fare via the Basket of Fares method</t>
  </si>
  <si>
    <t>Weighted Average Fare</t>
  </si>
  <si>
    <t>Implied revenue per journey (£s)</t>
  </si>
  <si>
    <t>Journey weighted revenue per ticket</t>
  </si>
  <si>
    <t>Total</t>
  </si>
  <si>
    <t>Weighted Average Fare:</t>
  </si>
  <si>
    <t>Average Fare Calculations - Discount Factor Method</t>
  </si>
  <si>
    <t>This sheet contains the calculations to derive the Average Fare via the Discount Factor method</t>
  </si>
  <si>
    <t xml:space="preserve">Discounted Average Fare </t>
  </si>
  <si>
    <t>Distribution of tickets and journeys</t>
  </si>
  <si>
    <t>Journeys</t>
  </si>
  <si>
    <t>Cash Fare</t>
  </si>
  <si>
    <t>Daily</t>
  </si>
  <si>
    <t>Weekly</t>
  </si>
  <si>
    <t>Tickets</t>
  </si>
  <si>
    <t>Discount Factor</t>
  </si>
  <si>
    <t>Method Selection</t>
  </si>
  <si>
    <t>Selected Method</t>
  </si>
  <si>
    <t>Method Selected</t>
  </si>
  <si>
    <t>Cash Fare - Equivalent Number of Journeys</t>
  </si>
  <si>
    <t>Total Tickets Sold</t>
  </si>
  <si>
    <t>Total Revenue</t>
  </si>
  <si>
    <t>Average Day Ticket Price</t>
  </si>
  <si>
    <t>Day Tickets</t>
  </si>
  <si>
    <t>Average Ticket Prices Calculation</t>
  </si>
  <si>
    <t>Discount Factor Before Degeneration</t>
  </si>
  <si>
    <t>Final Discount Factor</t>
  </si>
  <si>
    <t>Lookup Table Interpolation</t>
  </si>
  <si>
    <t>User Input Derived Values</t>
  </si>
  <si>
    <t>Lower Band</t>
  </si>
  <si>
    <t>Upper Band</t>
  </si>
  <si>
    <t>Daily Ticket Price / Cash Fare</t>
  </si>
  <si>
    <t>Weekly Ticket Price / Cash Fare</t>
  </si>
  <si>
    <t>Interpolated Value</t>
  </si>
  <si>
    <t>Check Journey Total</t>
  </si>
  <si>
    <t>Average Discount Factor</t>
  </si>
  <si>
    <t>Average Fare Calculations</t>
  </si>
  <si>
    <t>Price ratio</t>
  </si>
  <si>
    <t>Price per ticket</t>
  </si>
  <si>
    <t>Tickets sold (from Look Up Table)</t>
  </si>
  <si>
    <t>journeys made (from Look Up Table)</t>
  </si>
  <si>
    <t>journeys per ticket</t>
  </si>
  <si>
    <t>Price per journey</t>
  </si>
  <si>
    <t>Degenerate Price Ratio</t>
  </si>
  <si>
    <t>Price Ratio</t>
  </si>
  <si>
    <t>Further Interpolation</t>
  </si>
  <si>
    <t>Further Degeneration of Cash Fare Journeys</t>
  </si>
  <si>
    <t>Tickets Sold</t>
  </si>
  <si>
    <t>Journeys Made</t>
  </si>
  <si>
    <t>Reimbursement Factor Calculations</t>
  </si>
  <si>
    <t>This sheet contains the calculations to derive the Reimbursement Factor</t>
  </si>
  <si>
    <t>Average Fare Foregone</t>
  </si>
  <si>
    <t>Single Demand Curve Parameters</t>
  </si>
  <si>
    <t>Method</t>
  </si>
  <si>
    <t>Current average fare in 2019 prices</t>
  </si>
  <si>
    <t>Percentage Change in Average Fares between 2019/20 and the current year</t>
  </si>
  <si>
    <t>Estimated average fare in 2019 prices</t>
  </si>
  <si>
    <t>Average fare index on SDC</t>
  </si>
  <si>
    <t>Marginal Operating Costs Calculations</t>
  </si>
  <si>
    <t>This sheet contains the calculations to derive the Marginal Operating Costs</t>
  </si>
  <si>
    <t>Marginal Operating Cost</t>
  </si>
  <si>
    <t>Marginal Operating Cost per Generated Journey</t>
  </si>
  <si>
    <t>Marginal Capacity Costs Calculations</t>
  </si>
  <si>
    <t>This sheet contains the calculations to derive the Marginal Capacity Costs</t>
  </si>
  <si>
    <t>Average additional capacity cost per generated passenger journey</t>
  </si>
  <si>
    <t>Total net MCCs</t>
  </si>
  <si>
    <t>Marginal Capacity Costs Default Values</t>
  </si>
  <si>
    <t>User Parameters</t>
  </si>
  <si>
    <t>MCC Active</t>
  </si>
  <si>
    <t>Active</t>
  </si>
  <si>
    <t>Generation Factor</t>
  </si>
  <si>
    <t>Default Cost/Vehicle Hour (£)</t>
  </si>
  <si>
    <t>Default Cost/Vehicle Mile (£)</t>
  </si>
  <si>
    <t>Base frequency (buses/hr)</t>
  </si>
  <si>
    <t>Pax boardings/m of route/bus</t>
  </si>
  <si>
    <t>Pax boardings/m of route/hr</t>
  </si>
  <si>
    <t>Additional pax per m of route/hr</t>
  </si>
  <si>
    <t>χ1 (Buses/hr)</t>
  </si>
  <si>
    <t>Veh hrs/hr to operate BOTH sides of the route - Without marginal pax</t>
  </si>
  <si>
    <t>Veh hrs/hr to operate on ONE side of the route - Without marginal pax</t>
  </si>
  <si>
    <t>Veh hrs/hr to operate BOTH sides of the route - With marginal pax</t>
  </si>
  <si>
    <t>Veh hrs/hr to operate on ONE side of the route - With marginal pax</t>
  </si>
  <si>
    <t>Δveh hrs</t>
  </si>
  <si>
    <t>£ per additional passenger journey</t>
  </si>
  <si>
    <t>Veh miles/hr to operate BOTH sides of the route - Without marginal pax</t>
  </si>
  <si>
    <t>Veh miles/hr to operate on ONE side of the route - Without marginal pax</t>
  </si>
  <si>
    <t>Veh miles/hr to operate BOTH sides of the route - With marginal pax</t>
  </si>
  <si>
    <t>Veh miles/hr to operate on ONE side of the route - With marginal pax</t>
  </si>
  <si>
    <t>Δveh miles</t>
  </si>
  <si>
    <t>Total additional capacity cost per generated passenger journey excluding any effect on the PVR</t>
  </si>
  <si>
    <t>Percentage change in frequency</t>
  </si>
  <si>
    <t>Percentage change in demand</t>
  </si>
  <si>
    <t>Total boardings/hr BOTH WAYS</t>
  </si>
  <si>
    <t>Total boardings/hr ONE WAY</t>
  </si>
  <si>
    <t>Of which commercial journeys</t>
  </si>
  <si>
    <t>Change in commercial journeys</t>
  </si>
  <si>
    <t>Revenue Gain</t>
  </si>
  <si>
    <t>Net of marginal costs of commercial journeys generated by the service elasticity</t>
  </si>
  <si>
    <t>Net additional capacity cost per generated passenger journey</t>
  </si>
  <si>
    <t>Inflation Calculations</t>
  </si>
  <si>
    <t>This sheet contains the calculations to derive Inflation</t>
  </si>
  <si>
    <t>MOC Composite Cost Inflation Index</t>
  </si>
  <si>
    <t>MCC Costs / Hour Composite Inflation Index</t>
  </si>
  <si>
    <t>MCC Costs / Mile Composite Inflation Index</t>
  </si>
  <si>
    <t>CPI Deflator</t>
  </si>
  <si>
    <t>Cost Inflation</t>
  </si>
  <si>
    <t>AWE Y1</t>
  </si>
  <si>
    <t>AWE Y2</t>
  </si>
  <si>
    <t>AWE Index</t>
  </si>
  <si>
    <t>AWE Index Rebase</t>
  </si>
  <si>
    <t>Diesel Y1</t>
  </si>
  <si>
    <t>Diesel Y2</t>
  </si>
  <si>
    <t>Diesel Index</t>
  </si>
  <si>
    <t>Diesel Index Rebase</t>
  </si>
  <si>
    <t>CPI Y1</t>
  </si>
  <si>
    <t>CPI Y2</t>
  </si>
  <si>
    <t>CPI Index</t>
  </si>
  <si>
    <t>CPI Index Rebase</t>
  </si>
  <si>
    <t>Composite Cost Index</t>
  </si>
  <si>
    <t>MOC costs Rebase</t>
  </si>
  <si>
    <t>MCC Cost / Hour Rebase</t>
  </si>
  <si>
    <t>MCC Cost / Mile Rebase</t>
  </si>
  <si>
    <t>2009-10</t>
  </si>
  <si>
    <t>2010-11</t>
  </si>
  <si>
    <t>2011-12</t>
  </si>
  <si>
    <t>2012-13</t>
  </si>
  <si>
    <t>2013-14</t>
  </si>
  <si>
    <t>2014-15</t>
  </si>
  <si>
    <t>2015-16</t>
  </si>
  <si>
    <t>2016-17</t>
  </si>
  <si>
    <t>2017-18</t>
  </si>
  <si>
    <t>2018-19</t>
  </si>
  <si>
    <t>2019-20</t>
  </si>
  <si>
    <t>2020-21</t>
  </si>
  <si>
    <t>2021-22</t>
  </si>
  <si>
    <t>2022-23</t>
  </si>
  <si>
    <t>2027-28</t>
  </si>
  <si>
    <t>2028-29</t>
  </si>
  <si>
    <t>2029-30</t>
  </si>
  <si>
    <t>2030-31</t>
  </si>
  <si>
    <t>2031-32</t>
  </si>
  <si>
    <t>2032-33</t>
  </si>
  <si>
    <t>2033-34</t>
  </si>
  <si>
    <t>2034-35</t>
  </si>
  <si>
    <t>Lookup Table Selection</t>
  </si>
  <si>
    <t>This sheet references the lookup table selected by the user to calculate the Average Fare using the Discount Factor method</t>
  </si>
  <si>
    <t>Selected Area</t>
  </si>
  <si>
    <t>Lookup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</si>
</sst>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164" formatCode="&quot;£&quot;#,##0.00"/>
    <numFmt numFmtId="165" formatCode="0.0%"/>
    <numFmt numFmtId="166" formatCode="0.0000%"/>
    <numFmt numFmtId="167" formatCode="0.0000000"/>
    <numFmt numFmtId="168" formatCode="0.000000"/>
    <numFmt numFmtId="169" formatCode="0.0000"/>
    <numFmt numFmtId="170" formatCode="0.000"/>
    <numFmt numFmtId="171" formatCode="0.000%"/>
  </numFmts>
  <fonts count="44">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2"/>
      <color theme="1"/>
      <name val="Calibri"/>
      <family val="2"/>
      <scheme val="minor"/>
    </font>
    <font>
      <b/>
      <sz val="12"/>
      <color rgb="FF1F8B8A"/>
      <name val="Calibri"/>
      <family val="2"/>
      <scheme val="minor"/>
    </font>
    <font>
      <b/>
      <sz val="12"/>
      <color theme="0"/>
      <name val="Calibri"/>
      <family val="2"/>
      <scheme val="minor"/>
    </font>
    <font>
      <b/>
      <sz val="12"/>
      <color theme="1"/>
      <name val="Calibri"/>
      <family val="2"/>
      <scheme val="minor"/>
    </font>
    <font>
      <i/>
      <u/>
      <sz val="12"/>
      <color theme="4"/>
      <name val="Calibri"/>
      <family val="2"/>
      <scheme val="minor"/>
    </font>
    <font>
      <b/>
      <sz val="12"/>
      <name val="Calibri"/>
      <family val="2"/>
      <scheme val="minor"/>
    </font>
    <font>
      <sz val="12"/>
      <color theme="1"/>
      <name val="Calibri"/>
      <family val="2"/>
    </font>
    <font>
      <sz val="12"/>
      <color theme="0"/>
      <name val="Calibri"/>
      <family val="2"/>
      <scheme val="minor"/>
    </font>
    <font>
      <b/>
      <sz val="12"/>
      <color indexed="8"/>
      <name val="Calibri"/>
      <family val="2"/>
    </font>
    <font>
      <b/>
      <sz val="14"/>
      <color theme="8"/>
      <name val="Calibri"/>
      <family val="2"/>
      <scheme val="minor"/>
    </font>
    <font>
      <b/>
      <sz val="20"/>
      <color theme="0"/>
      <name val="Calibri"/>
      <family val="2"/>
      <scheme val="minor"/>
    </font>
    <font>
      <sz val="8"/>
      <name val="Calibri"/>
      <family val="2"/>
      <scheme val="minor"/>
    </font>
    <font>
      <u/>
      <sz val="11"/>
      <color theme="10"/>
      <name val="Calibri"/>
      <family val="2"/>
      <scheme val="minor"/>
    </font>
    <font>
      <b/>
      <sz val="11"/>
      <color rgb="FFFF0000"/>
      <name val="Calibri"/>
      <family val="2"/>
      <scheme val="minor"/>
    </font>
    <font>
      <b/>
      <sz val="12"/>
      <color theme="4"/>
      <name val="Calibri"/>
      <family val="2"/>
      <scheme val="minor"/>
    </font>
    <font>
      <sz val="12"/>
      <color theme="2"/>
      <name val="Calibri"/>
      <family val="2"/>
      <scheme val="minor"/>
    </font>
    <font>
      <b/>
      <sz val="12"/>
      <color theme="2"/>
      <name val="Calibri"/>
      <family val="2"/>
      <scheme val="minor"/>
    </font>
    <font>
      <b/>
      <sz val="20"/>
      <color theme="2"/>
      <name val="Calibri"/>
      <family val="2"/>
      <scheme val="minor"/>
    </font>
    <font>
      <sz val="11"/>
      <color theme="2"/>
      <name val="Calibri"/>
      <family val="2"/>
      <scheme val="minor"/>
    </font>
    <font>
      <b/>
      <sz val="11"/>
      <color theme="2"/>
      <name val="Calibri"/>
      <family val="2"/>
      <scheme val="minor"/>
    </font>
    <font>
      <b/>
      <sz val="18"/>
      <color theme="8"/>
      <name val="Calibri"/>
      <family val="2"/>
      <scheme val="minor"/>
    </font>
    <font>
      <b/>
      <sz val="12"/>
      <color theme="2"/>
      <name val="Calibri"/>
      <family val="2"/>
    </font>
    <font>
      <b/>
      <sz val="14"/>
      <color theme="2"/>
      <name val="Calibri"/>
      <family val="2"/>
      <scheme val="minor"/>
    </font>
    <font>
      <b/>
      <sz val="14"/>
      <color theme="1"/>
      <name val="Calibri"/>
      <family val="2"/>
      <scheme val="minor"/>
    </font>
    <font>
      <i/>
      <sz val="12"/>
      <color theme="8"/>
      <name val="Calibri"/>
      <family val="2"/>
      <scheme val="minor"/>
    </font>
    <font>
      <b/>
      <sz val="12"/>
      <color theme="8"/>
      <name val="Calibri"/>
      <family val="2"/>
      <scheme val="minor"/>
    </font>
    <font>
      <i/>
      <sz val="11"/>
      <color theme="8"/>
      <name val="Calibri"/>
      <family val="2"/>
      <scheme val="minor"/>
    </font>
    <font>
      <sz val="12"/>
      <color indexed="8"/>
      <name val="Calibri"/>
      <family val="2"/>
    </font>
    <font>
      <u/>
      <sz val="12"/>
      <color theme="1"/>
      <name val="Calibri"/>
      <family val="2"/>
      <scheme val="minor"/>
    </font>
    <font>
      <b/>
      <sz val="11"/>
      <color theme="8"/>
      <name val="Calibri"/>
      <family val="2"/>
      <scheme val="minor"/>
    </font>
    <font>
      <sz val="12"/>
      <name val="Calibri"/>
      <family val="2"/>
      <scheme val="minor"/>
    </font>
    <font>
      <sz val="12"/>
      <name val="Calibri"/>
      <family val="2"/>
    </font>
    <font>
      <sz val="12"/>
      <color theme="4"/>
      <name val="Calibri"/>
      <family val="2"/>
      <scheme val="minor"/>
    </font>
    <font>
      <sz val="11"/>
      <color indexed="8"/>
      <name val="Calibri"/>
      <family val="2"/>
    </font>
    <font>
      <sz val="12"/>
      <color theme="8"/>
      <name val="Calibri"/>
      <family val="2"/>
      <scheme val="minor"/>
    </font>
    <font>
      <sz val="12"/>
      <color indexed="8"/>
      <name val="Calibri"/>
      <family val="2"/>
      <scheme val="minor"/>
    </font>
    <font>
      <b/>
      <sz val="12"/>
      <color theme="4"/>
      <name val="Calibri"/>
      <family val="2"/>
    </font>
    <font>
      <b/>
      <u/>
      <sz val="12"/>
      <color theme="1"/>
      <name val="Calibri"/>
      <family val="2"/>
      <scheme val="minor"/>
    </font>
    <font>
      <b/>
      <u/>
      <sz val="12"/>
      <color theme="10"/>
      <name val="Calibri"/>
      <family val="2"/>
      <scheme val="minor"/>
    </font>
    <font>
      <u/>
      <sz val="12"/>
      <color theme="10"/>
      <name val="Calibri"/>
      <family val="2"/>
      <scheme val="minor"/>
    </font>
  </fonts>
  <fills count="14">
    <fill>
      <patternFill patternType="none"/>
    </fill>
    <fill>
      <patternFill patternType="gray125"/>
    </fill>
    <fill>
      <patternFill patternType="solid">
        <fgColor rgb="FF197371"/>
        <bgColor indexed="64"/>
      </patternFill>
    </fill>
    <fill>
      <patternFill patternType="solid">
        <fgColor theme="0"/>
        <bgColor indexed="64"/>
      </patternFill>
    </fill>
    <fill>
      <patternFill patternType="solid">
        <fgColor theme="8" tint="0.79998168889431442"/>
        <bgColor indexed="64"/>
      </patternFill>
    </fill>
    <fill>
      <patternFill patternType="solid">
        <fgColor theme="4"/>
        <bgColor indexed="64"/>
      </patternFill>
    </fill>
    <fill>
      <patternFill patternType="solid">
        <fgColor them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bgColor indexed="64"/>
      </patternFill>
    </fill>
    <fill>
      <patternFill patternType="solid">
        <fgColor theme="9" tint="0.59999389629810485"/>
        <bgColor indexed="64"/>
      </patternFill>
    </fill>
    <fill>
      <patternFill patternType="solid">
        <fgColor theme="5" tint="-0.249977111117893"/>
        <bgColor indexed="64"/>
      </patternFill>
    </fill>
    <fill>
      <patternFill patternType="solid">
        <fgColor theme="8" tint="-0.249977111117893"/>
        <bgColor indexed="64"/>
      </patternFill>
    </fill>
    <fill>
      <patternFill patternType="solid">
        <fgColor theme="9"/>
        <bgColor indexed="64"/>
      </patternFill>
    </fill>
  </fills>
  <borders count="2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s>
  <cellStyleXfs count="4">
    <xf numFmtId="0" fontId="0" fillId="0" borderId="0"/>
    <xf numFmtId="9" fontId="2" fillId="0" borderId="0" applyFont="0" applyFill="0" applyBorder="0" applyAlignment="0" applyProtection="0"/>
    <xf numFmtId="0" fontId="3" fillId="0" borderId="0"/>
    <xf numFmtId="0" fontId="16" fillId="0" borderId="0" applyNumberFormat="0" applyFill="0" applyBorder="0" applyAlignment="0" applyProtection="0"/>
  </cellStyleXfs>
  <cellXfs count="359">
    <xf numFmtId="0" fontId="0" fillId="0" borderId="0" xfId="0"/>
    <xf numFmtId="0" fontId="0" fillId="0" borderId="0" xfId="0" applyAlignment="1">
      <alignment horizontal="right"/>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horizontal="center" vertical="center" wrapText="1"/>
    </xf>
    <xf numFmtId="0" fontId="4" fillId="0" borderId="0" xfId="0" applyFont="1" applyAlignment="1">
      <alignment horizontal="right" vertical="center"/>
    </xf>
    <xf numFmtId="0" fontId="4" fillId="0" borderId="0" xfId="0" applyFont="1" applyAlignment="1">
      <alignment horizontal="right"/>
    </xf>
    <xf numFmtId="0" fontId="4" fillId="0" borderId="0" xfId="0" applyFont="1" applyAlignment="1">
      <alignment horizontal="center"/>
    </xf>
    <xf numFmtId="0" fontId="4" fillId="0" borderId="0" xfId="0" applyFont="1" applyAlignment="1">
      <alignment horizontal="center" vertical="center"/>
    </xf>
    <xf numFmtId="0" fontId="4" fillId="0" borderId="0" xfId="0" applyFont="1"/>
    <xf numFmtId="0" fontId="4" fillId="2" borderId="0" xfId="0" applyFont="1" applyFill="1" applyAlignment="1">
      <alignment horizontal="right"/>
    </xf>
    <xf numFmtId="0" fontId="5" fillId="0" borderId="0" xfId="0" applyFont="1" applyAlignment="1">
      <alignment horizontal="right" vertical="center"/>
    </xf>
    <xf numFmtId="0" fontId="5" fillId="0" borderId="0" xfId="0" applyFont="1" applyAlignment="1">
      <alignment horizontal="right"/>
    </xf>
    <xf numFmtId="0" fontId="7" fillId="0" borderId="0" xfId="0" applyFont="1" applyAlignment="1">
      <alignment horizontal="center"/>
    </xf>
    <xf numFmtId="0" fontId="8" fillId="0" borderId="0" xfId="0" applyFont="1"/>
    <xf numFmtId="0" fontId="4" fillId="0" borderId="0" xfId="0" applyFont="1" applyAlignment="1">
      <alignment horizontal="center" vertical="center" wrapText="1"/>
    </xf>
    <xf numFmtId="0" fontId="7" fillId="0" borderId="0" xfId="0" applyFont="1" applyAlignment="1">
      <alignment horizontal="left"/>
    </xf>
    <xf numFmtId="0" fontId="5" fillId="0" borderId="0" xfId="0" applyFont="1" applyAlignment="1">
      <alignment horizontal="left" vertical="center"/>
    </xf>
    <xf numFmtId="0" fontId="5" fillId="0" borderId="0" xfId="0" applyFont="1" applyAlignment="1">
      <alignment horizontal="left" vertical="center" wrapText="1"/>
    </xf>
    <xf numFmtId="0" fontId="4" fillId="0" borderId="0" xfId="0" applyFont="1" applyAlignment="1">
      <alignment horizontal="left" vertical="center" wrapText="1"/>
    </xf>
    <xf numFmtId="3" fontId="4" fillId="0" borderId="0" xfId="0" applyNumberFormat="1" applyFont="1" applyAlignment="1">
      <alignment horizontal="center"/>
    </xf>
    <xf numFmtId="165" fontId="4" fillId="0" borderId="0" xfId="1" applyNumberFormat="1" applyFont="1" applyBorder="1" applyAlignment="1">
      <alignment horizontal="center"/>
    </xf>
    <xf numFmtId="0" fontId="4" fillId="0" borderId="0" xfId="0" applyFont="1" applyAlignment="1">
      <alignment horizontal="left"/>
    </xf>
    <xf numFmtId="0" fontId="0" fillId="4" borderId="4" xfId="0" applyFill="1" applyBorder="1"/>
    <xf numFmtId="0" fontId="4" fillId="4" borderId="0" xfId="0" applyFont="1" applyFill="1"/>
    <xf numFmtId="3" fontId="4" fillId="4" borderId="0" xfId="0" applyNumberFormat="1" applyFont="1" applyFill="1" applyAlignment="1">
      <alignment horizontal="center"/>
    </xf>
    <xf numFmtId="8" fontId="4" fillId="4" borderId="0" xfId="0" applyNumberFormat="1" applyFont="1" applyFill="1" applyAlignment="1">
      <alignment horizontal="center"/>
    </xf>
    <xf numFmtId="3" fontId="4" fillId="4" borderId="0" xfId="0" applyNumberFormat="1" applyFont="1" applyFill="1" applyAlignment="1">
      <alignment horizontal="center" vertical="center"/>
    </xf>
    <xf numFmtId="0" fontId="4" fillId="4" borderId="4" xfId="0" applyFont="1" applyFill="1" applyBorder="1" applyAlignment="1">
      <alignment horizontal="left"/>
    </xf>
    <xf numFmtId="164" fontId="4" fillId="4" borderId="4" xfId="0" applyNumberFormat="1" applyFont="1" applyFill="1" applyBorder="1" applyAlignment="1">
      <alignment horizontal="left"/>
    </xf>
    <xf numFmtId="0" fontId="4" fillId="5" borderId="0" xfId="0" applyFont="1" applyFill="1" applyAlignment="1">
      <alignment horizontal="right"/>
    </xf>
    <xf numFmtId="0" fontId="4" fillId="4" borderId="4" xfId="0" applyFont="1" applyFill="1" applyBorder="1" applyAlignment="1">
      <alignment horizontal="right"/>
    </xf>
    <xf numFmtId="0" fontId="13" fillId="0" borderId="0" xfId="0" applyFont="1"/>
    <xf numFmtId="0" fontId="14" fillId="5" borderId="0" xfId="0" applyFont="1" applyFill="1" applyAlignment="1">
      <alignment horizontal="left" vertical="center"/>
    </xf>
    <xf numFmtId="0" fontId="11" fillId="5" borderId="0" xfId="0" applyFont="1" applyFill="1" applyAlignment="1">
      <alignment horizontal="right"/>
    </xf>
    <xf numFmtId="0" fontId="11" fillId="5" borderId="0" xfId="0" applyFont="1" applyFill="1" applyAlignment="1">
      <alignment horizontal="center"/>
    </xf>
    <xf numFmtId="0" fontId="11" fillId="5" borderId="0" xfId="0" applyFont="1" applyFill="1" applyAlignment="1">
      <alignment horizontal="left" vertical="center"/>
    </xf>
    <xf numFmtId="0" fontId="4" fillId="5" borderId="0" xfId="0" applyFont="1" applyFill="1" applyAlignment="1">
      <alignment horizontal="center" vertical="center"/>
    </xf>
    <xf numFmtId="0" fontId="4" fillId="5" borderId="0" xfId="0" applyFont="1" applyFill="1"/>
    <xf numFmtId="164" fontId="0" fillId="0" borderId="0" xfId="0" applyNumberFormat="1"/>
    <xf numFmtId="0" fontId="16" fillId="0" borderId="0" xfId="3"/>
    <xf numFmtId="0" fontId="17" fillId="0" borderId="0" xfId="0" applyFont="1"/>
    <xf numFmtId="0" fontId="4" fillId="5" borderId="0" xfId="0" applyFont="1" applyFill="1" applyAlignment="1">
      <alignment horizontal="right" vertical="center"/>
    </xf>
    <xf numFmtId="0" fontId="6" fillId="5" borderId="0" xfId="0" applyFont="1" applyFill="1" applyAlignment="1">
      <alignment horizontal="left" vertical="center"/>
    </xf>
    <xf numFmtId="0" fontId="19" fillId="5" borderId="0" xfId="0" applyFont="1" applyFill="1" applyAlignment="1">
      <alignment horizontal="center" vertical="center"/>
    </xf>
    <xf numFmtId="0" fontId="20" fillId="5" borderId="0" xfId="0" applyFont="1" applyFill="1" applyAlignment="1">
      <alignment horizontal="left" vertical="center"/>
    </xf>
    <xf numFmtId="0" fontId="21" fillId="5" borderId="0" xfId="0" applyFont="1" applyFill="1" applyAlignment="1">
      <alignment horizontal="left" vertical="center"/>
    </xf>
    <xf numFmtId="0" fontId="19" fillId="5" borderId="0" xfId="0" applyFont="1" applyFill="1" applyAlignment="1">
      <alignment horizontal="left" vertical="center"/>
    </xf>
    <xf numFmtId="0" fontId="19" fillId="5" borderId="0" xfId="0" applyFont="1" applyFill="1" applyAlignment="1">
      <alignment horizontal="right" vertical="center"/>
    </xf>
    <xf numFmtId="0" fontId="19" fillId="5" borderId="0" xfId="0" applyFont="1" applyFill="1" applyAlignment="1">
      <alignment horizontal="right"/>
    </xf>
    <xf numFmtId="0" fontId="19" fillId="5" borderId="0" xfId="0" applyFont="1" applyFill="1"/>
    <xf numFmtId="0" fontId="22" fillId="5" borderId="0" xfId="0" applyFont="1" applyFill="1" applyAlignment="1">
      <alignment horizontal="right" vertical="center"/>
    </xf>
    <xf numFmtId="0" fontId="23" fillId="5" borderId="0" xfId="0" applyFont="1" applyFill="1" applyAlignment="1">
      <alignment horizontal="left" vertical="center"/>
    </xf>
    <xf numFmtId="0" fontId="22" fillId="5" borderId="0" xfId="0" applyFont="1" applyFill="1" applyAlignment="1">
      <alignment horizontal="center" vertical="center"/>
    </xf>
    <xf numFmtId="0" fontId="22" fillId="5" borderId="0" xfId="0" applyFont="1" applyFill="1"/>
    <xf numFmtId="0" fontId="24" fillId="0" borderId="0" xfId="0" applyFont="1"/>
    <xf numFmtId="0" fontId="19" fillId="9" borderId="0" xfId="0" applyFont="1" applyFill="1" applyAlignment="1">
      <alignment horizontal="center"/>
    </xf>
    <xf numFmtId="3" fontId="4" fillId="8" borderId="4" xfId="0" applyNumberFormat="1" applyFont="1" applyFill="1" applyBorder="1" applyAlignment="1">
      <alignment horizontal="center" vertical="center"/>
    </xf>
    <xf numFmtId="0" fontId="4" fillId="7" borderId="4" xfId="0" applyFont="1" applyFill="1" applyBorder="1" applyAlignment="1">
      <alignment horizontal="center" vertical="center"/>
    </xf>
    <xf numFmtId="0" fontId="19" fillId="9" borderId="0" xfId="0" applyFont="1" applyFill="1" applyAlignment="1">
      <alignment horizontal="center" vertical="center"/>
    </xf>
    <xf numFmtId="0" fontId="4" fillId="7" borderId="4" xfId="0" applyFont="1" applyFill="1" applyBorder="1" applyAlignment="1">
      <alignment horizontal="center" vertical="center" wrapText="1"/>
    </xf>
    <xf numFmtId="164" fontId="4" fillId="8" borderId="4" xfId="1" applyNumberFormat="1" applyFont="1" applyFill="1" applyBorder="1" applyAlignment="1">
      <alignment horizontal="center" vertical="center"/>
    </xf>
    <xf numFmtId="0" fontId="0" fillId="0" borderId="0" xfId="0" applyAlignment="1">
      <alignment vertical="center"/>
    </xf>
    <xf numFmtId="0" fontId="19" fillId="9" borderId="0" xfId="0" applyFont="1" applyFill="1" applyAlignment="1">
      <alignment horizontal="center" vertical="center" wrapText="1"/>
    </xf>
    <xf numFmtId="10" fontId="4" fillId="8" borderId="4" xfId="1" applyNumberFormat="1" applyFont="1" applyFill="1" applyBorder="1" applyAlignment="1">
      <alignment horizontal="center" vertical="center"/>
    </xf>
    <xf numFmtId="2" fontId="4" fillId="8" borderId="4" xfId="1" applyNumberFormat="1" applyFont="1" applyFill="1" applyBorder="1" applyAlignment="1">
      <alignment horizontal="center" vertical="center"/>
    </xf>
    <xf numFmtId="164" fontId="4" fillId="8" borderId="4" xfId="0" applyNumberFormat="1" applyFont="1" applyFill="1" applyBorder="1" applyAlignment="1">
      <alignment horizontal="left"/>
    </xf>
    <xf numFmtId="0" fontId="4" fillId="8" borderId="4" xfId="0" applyFont="1" applyFill="1" applyBorder="1" applyAlignment="1">
      <alignment horizontal="left"/>
    </xf>
    <xf numFmtId="9" fontId="4" fillId="8" borderId="4" xfId="1" applyFont="1" applyFill="1" applyBorder="1" applyAlignment="1">
      <alignment horizontal="left"/>
    </xf>
    <xf numFmtId="8" fontId="4" fillId="8" borderId="4" xfId="0" applyNumberFormat="1" applyFont="1" applyFill="1" applyBorder="1"/>
    <xf numFmtId="0" fontId="6" fillId="0" borderId="0" xfId="0" applyFont="1" applyAlignment="1">
      <alignment horizontal="left" vertical="center"/>
    </xf>
    <xf numFmtId="0" fontId="19" fillId="0" borderId="0" xfId="0" applyFont="1" applyAlignment="1">
      <alignment horizontal="center" vertical="center"/>
    </xf>
    <xf numFmtId="0" fontId="19" fillId="0" borderId="0" xfId="0" applyFont="1"/>
    <xf numFmtId="0" fontId="1" fillId="0" borderId="0" xfId="0" applyFont="1"/>
    <xf numFmtId="0" fontId="7" fillId="0" borderId="0" xfId="0" applyFont="1"/>
    <xf numFmtId="0" fontId="4" fillId="0" borderId="4" xfId="0" applyFont="1" applyBorder="1" applyAlignment="1">
      <alignment horizontal="center"/>
    </xf>
    <xf numFmtId="44" fontId="10" fillId="4" borderId="4" xfId="0" applyNumberFormat="1" applyFont="1" applyFill="1" applyBorder="1" applyAlignment="1">
      <alignment horizontal="center" vertical="center" wrapText="1"/>
    </xf>
    <xf numFmtId="0" fontId="4" fillId="0" borderId="4" xfId="0" applyFont="1" applyBorder="1" applyAlignment="1">
      <alignment horizontal="center" vertical="center"/>
    </xf>
    <xf numFmtId="0" fontId="4" fillId="4" borderId="21" xfId="0" applyFont="1" applyFill="1" applyBorder="1" applyAlignment="1">
      <alignment horizontal="center"/>
    </xf>
    <xf numFmtId="0" fontId="4" fillId="4" borderId="8" xfId="0" applyFont="1" applyFill="1" applyBorder="1" applyAlignment="1">
      <alignment horizontal="center"/>
    </xf>
    <xf numFmtId="0" fontId="4" fillId="4" borderId="11" xfId="0" applyFont="1" applyFill="1" applyBorder="1" applyAlignment="1">
      <alignment horizontal="center"/>
    </xf>
    <xf numFmtId="0" fontId="4" fillId="4" borderId="16" xfId="0" applyFont="1" applyFill="1" applyBorder="1" applyAlignment="1">
      <alignment horizontal="center" vertical="center"/>
    </xf>
    <xf numFmtId="0" fontId="4" fillId="4" borderId="15" xfId="0" applyFont="1" applyFill="1" applyBorder="1"/>
    <xf numFmtId="0" fontId="4" fillId="4" borderId="17" xfId="0" applyFont="1" applyFill="1" applyBorder="1"/>
    <xf numFmtId="0" fontId="4" fillId="4" borderId="9" xfId="0" applyFont="1" applyFill="1" applyBorder="1" applyAlignment="1">
      <alignment horizontal="center" vertical="center"/>
    </xf>
    <xf numFmtId="0" fontId="4" fillId="4" borderId="10" xfId="0" applyFont="1" applyFill="1" applyBorder="1"/>
    <xf numFmtId="0" fontId="4" fillId="4" borderId="12" xfId="0" applyFont="1" applyFill="1" applyBorder="1" applyAlignment="1">
      <alignment horizontal="center" vertical="center"/>
    </xf>
    <xf numFmtId="0" fontId="4" fillId="4" borderId="14" xfId="0" applyFont="1" applyFill="1" applyBorder="1"/>
    <xf numFmtId="0" fontId="4" fillId="4" borderId="13" xfId="0" applyFont="1" applyFill="1" applyBorder="1"/>
    <xf numFmtId="0" fontId="4" fillId="0" borderId="21" xfId="0" applyFont="1" applyBorder="1" applyAlignment="1">
      <alignment horizontal="center"/>
    </xf>
    <xf numFmtId="0" fontId="4" fillId="0" borderId="8" xfId="0" applyFont="1" applyBorder="1" applyAlignment="1">
      <alignment horizontal="center"/>
    </xf>
    <xf numFmtId="0" fontId="4" fillId="0" borderId="11" xfId="0" applyFont="1" applyBorder="1" applyAlignment="1">
      <alignment horizontal="center"/>
    </xf>
    <xf numFmtId="8" fontId="4" fillId="4" borderId="21" xfId="0" applyNumberFormat="1" applyFont="1" applyFill="1" applyBorder="1"/>
    <xf numFmtId="8" fontId="4" fillId="4" borderId="8" xfId="0" applyNumberFormat="1" applyFont="1" applyFill="1" applyBorder="1"/>
    <xf numFmtId="8" fontId="4" fillId="4" borderId="11" xfId="0" applyNumberFormat="1" applyFont="1" applyFill="1" applyBorder="1"/>
    <xf numFmtId="165" fontId="4" fillId="4" borderId="21" xfId="0" applyNumberFormat="1" applyFont="1" applyFill="1" applyBorder="1" applyAlignment="1">
      <alignment horizontal="right"/>
    </xf>
    <xf numFmtId="165" fontId="4" fillId="4" borderId="11" xfId="0" applyNumberFormat="1" applyFont="1" applyFill="1" applyBorder="1" applyAlignment="1">
      <alignment horizontal="right"/>
    </xf>
    <xf numFmtId="0" fontId="4" fillId="0" borderId="7"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2" fontId="4" fillId="4" borderId="16" xfId="0" applyNumberFormat="1" applyFont="1" applyFill="1" applyBorder="1" applyAlignment="1">
      <alignment horizontal="center"/>
    </xf>
    <xf numFmtId="2" fontId="4" fillId="4" borderId="15" xfId="0" applyNumberFormat="1" applyFont="1" applyFill="1" applyBorder="1" applyAlignment="1">
      <alignment horizontal="center"/>
    </xf>
    <xf numFmtId="2" fontId="4" fillId="4" borderId="17" xfId="0" applyNumberFormat="1" applyFont="1" applyFill="1" applyBorder="1" applyAlignment="1">
      <alignment horizontal="center"/>
    </xf>
    <xf numFmtId="2" fontId="4" fillId="4" borderId="12" xfId="0" applyNumberFormat="1" applyFont="1" applyFill="1" applyBorder="1" applyAlignment="1">
      <alignment horizontal="center"/>
    </xf>
    <xf numFmtId="2" fontId="4" fillId="4" borderId="14" xfId="0" applyNumberFormat="1" applyFont="1" applyFill="1" applyBorder="1" applyAlignment="1">
      <alignment horizontal="center"/>
    </xf>
    <xf numFmtId="2" fontId="4" fillId="4" borderId="13" xfId="0" applyNumberFormat="1" applyFont="1" applyFill="1" applyBorder="1" applyAlignment="1">
      <alignment horizontal="center"/>
    </xf>
    <xf numFmtId="165" fontId="4" fillId="4" borderId="4" xfId="0" applyNumberFormat="1" applyFont="1" applyFill="1" applyBorder="1" applyAlignment="1">
      <alignment horizontal="center" vertical="center"/>
    </xf>
    <xf numFmtId="165" fontId="4" fillId="4" borderId="7" xfId="1" applyNumberFormat="1" applyFont="1" applyFill="1" applyBorder="1" applyAlignment="1">
      <alignment horizontal="center"/>
    </xf>
    <xf numFmtId="165" fontId="4" fillId="4" borderId="6" xfId="1" applyNumberFormat="1" applyFont="1" applyFill="1" applyBorder="1" applyAlignment="1">
      <alignment horizontal="center"/>
    </xf>
    <xf numFmtId="165" fontId="4" fillId="4" borderId="4" xfId="1" applyNumberFormat="1" applyFont="1" applyFill="1" applyBorder="1" applyAlignment="1">
      <alignment horizontal="center"/>
    </xf>
    <xf numFmtId="3" fontId="4" fillId="4" borderId="16" xfId="0" applyNumberFormat="1" applyFont="1" applyFill="1" applyBorder="1" applyAlignment="1">
      <alignment horizontal="center"/>
    </xf>
    <xf numFmtId="3" fontId="4" fillId="4" borderId="15" xfId="0" applyNumberFormat="1" applyFont="1" applyFill="1" applyBorder="1" applyAlignment="1">
      <alignment horizontal="center"/>
    </xf>
    <xf numFmtId="4" fontId="4" fillId="4" borderId="17" xfId="0" applyNumberFormat="1" applyFont="1" applyFill="1" applyBorder="1" applyAlignment="1">
      <alignment horizontal="center"/>
    </xf>
    <xf numFmtId="3" fontId="4" fillId="4" borderId="9" xfId="0" applyNumberFormat="1" applyFont="1" applyFill="1" applyBorder="1" applyAlignment="1">
      <alignment horizontal="center"/>
    </xf>
    <xf numFmtId="4" fontId="4" fillId="4" borderId="10" xfId="0" applyNumberFormat="1" applyFont="1" applyFill="1" applyBorder="1" applyAlignment="1">
      <alignment horizontal="center"/>
    </xf>
    <xf numFmtId="3" fontId="4" fillId="4" borderId="12" xfId="0" applyNumberFormat="1" applyFont="1" applyFill="1" applyBorder="1" applyAlignment="1">
      <alignment horizontal="center"/>
    </xf>
    <xf numFmtId="3" fontId="4" fillId="4" borderId="14" xfId="0" applyNumberFormat="1" applyFont="1" applyFill="1" applyBorder="1" applyAlignment="1">
      <alignment horizontal="center"/>
    </xf>
    <xf numFmtId="4" fontId="4" fillId="4" borderId="13" xfId="0" applyNumberFormat="1" applyFont="1" applyFill="1" applyBorder="1" applyAlignment="1">
      <alignment horizontal="center"/>
    </xf>
    <xf numFmtId="3" fontId="4" fillId="4" borderId="7" xfId="0" applyNumberFormat="1" applyFont="1" applyFill="1" applyBorder="1" applyAlignment="1">
      <alignment horizontal="center"/>
    </xf>
    <xf numFmtId="3" fontId="4" fillId="4" borderId="6" xfId="0" applyNumberFormat="1" applyFont="1" applyFill="1" applyBorder="1" applyAlignment="1">
      <alignment horizontal="center"/>
    </xf>
    <xf numFmtId="3" fontId="4" fillId="4" borderId="21" xfId="0" applyNumberFormat="1" applyFont="1" applyFill="1" applyBorder="1" applyAlignment="1">
      <alignment horizontal="center"/>
    </xf>
    <xf numFmtId="3" fontId="4" fillId="4" borderId="8" xfId="0" applyNumberFormat="1" applyFont="1" applyFill="1" applyBorder="1" applyAlignment="1">
      <alignment horizontal="center"/>
    </xf>
    <xf numFmtId="3" fontId="4" fillId="4" borderId="11" xfId="0" applyNumberFormat="1" applyFont="1" applyFill="1" applyBorder="1" applyAlignment="1">
      <alignment horizontal="center"/>
    </xf>
    <xf numFmtId="3" fontId="4" fillId="4" borderId="4" xfId="0" applyNumberFormat="1" applyFont="1" applyFill="1" applyBorder="1" applyAlignment="1">
      <alignment horizontal="center"/>
    </xf>
    <xf numFmtId="0" fontId="4" fillId="0" borderId="7" xfId="0" applyFont="1" applyBorder="1" applyAlignment="1">
      <alignment horizontal="center" vertical="center"/>
    </xf>
    <xf numFmtId="0" fontId="4" fillId="0" borderId="5" xfId="0" applyFont="1" applyBorder="1"/>
    <xf numFmtId="0" fontId="4" fillId="0" borderId="6" xfId="0" applyFont="1" applyBorder="1"/>
    <xf numFmtId="8" fontId="4" fillId="4" borderId="9" xfId="0" applyNumberFormat="1" applyFont="1" applyFill="1" applyBorder="1" applyAlignment="1">
      <alignment horizontal="center" vertical="center"/>
    </xf>
    <xf numFmtId="8" fontId="4" fillId="4" borderId="10" xfId="0" applyNumberFormat="1" applyFont="1" applyFill="1" applyBorder="1" applyAlignment="1">
      <alignment horizontal="center"/>
    </xf>
    <xf numFmtId="3" fontId="4" fillId="4" borderId="9" xfId="0" applyNumberFormat="1" applyFont="1" applyFill="1" applyBorder="1" applyAlignment="1">
      <alignment horizontal="center" vertical="center"/>
    </xf>
    <xf numFmtId="3" fontId="4" fillId="4" borderId="10" xfId="0" applyNumberFormat="1" applyFont="1" applyFill="1" applyBorder="1" applyAlignment="1">
      <alignment horizontal="center"/>
    </xf>
    <xf numFmtId="10" fontId="4" fillId="4" borderId="16" xfId="1" applyNumberFormat="1" applyFont="1" applyFill="1" applyBorder="1" applyAlignment="1">
      <alignment horizontal="center" vertical="center"/>
    </xf>
    <xf numFmtId="10" fontId="4" fillId="4" borderId="15" xfId="1" applyNumberFormat="1" applyFont="1" applyFill="1" applyBorder="1" applyAlignment="1">
      <alignment horizontal="center" vertical="center"/>
    </xf>
    <xf numFmtId="10" fontId="4" fillId="4" borderId="17" xfId="1" applyNumberFormat="1" applyFont="1" applyFill="1" applyBorder="1" applyAlignment="1">
      <alignment horizontal="center" vertical="center"/>
    </xf>
    <xf numFmtId="2" fontId="4" fillId="4" borderId="16" xfId="1" applyNumberFormat="1" applyFont="1" applyFill="1" applyBorder="1" applyAlignment="1">
      <alignment horizontal="center" vertical="center"/>
    </xf>
    <xf numFmtId="2" fontId="4" fillId="4" borderId="15" xfId="1" applyNumberFormat="1" applyFont="1" applyFill="1" applyBorder="1" applyAlignment="1">
      <alignment horizontal="center" vertical="center"/>
    </xf>
    <xf numFmtId="2" fontId="4" fillId="4" borderId="17" xfId="1" applyNumberFormat="1" applyFont="1" applyFill="1" applyBorder="1" applyAlignment="1">
      <alignment horizontal="center" vertical="center"/>
    </xf>
    <xf numFmtId="3" fontId="4" fillId="4" borderId="10" xfId="0" applyNumberFormat="1" applyFont="1" applyFill="1" applyBorder="1" applyAlignment="1">
      <alignment horizontal="center" vertical="center"/>
    </xf>
    <xf numFmtId="3" fontId="4" fillId="4" borderId="12" xfId="0" applyNumberFormat="1" applyFont="1" applyFill="1" applyBorder="1" applyAlignment="1">
      <alignment horizontal="center" vertical="center"/>
    </xf>
    <xf numFmtId="3" fontId="4" fillId="4" borderId="14" xfId="0" applyNumberFormat="1" applyFont="1" applyFill="1" applyBorder="1" applyAlignment="1">
      <alignment horizontal="center" vertical="center"/>
    </xf>
    <xf numFmtId="3" fontId="4" fillId="4" borderId="13" xfId="0" applyNumberFormat="1" applyFont="1" applyFill="1" applyBorder="1" applyAlignment="1">
      <alignment horizontal="center" vertical="center"/>
    </xf>
    <xf numFmtId="0" fontId="7" fillId="0" borderId="4" xfId="0" applyFont="1" applyBorder="1" applyAlignment="1">
      <alignment horizontal="center"/>
    </xf>
    <xf numFmtId="165" fontId="4" fillId="0" borderId="4" xfId="1" applyNumberFormat="1" applyFont="1" applyBorder="1" applyAlignment="1">
      <alignment horizontal="center" vertical="center"/>
    </xf>
    <xf numFmtId="164" fontId="10" fillId="4" borderId="4" xfId="0" applyNumberFormat="1" applyFont="1" applyFill="1" applyBorder="1" applyAlignment="1">
      <alignment horizontal="center" vertical="center" wrapText="1"/>
    </xf>
    <xf numFmtId="0" fontId="9" fillId="3" borderId="4" xfId="0" applyFont="1" applyFill="1" applyBorder="1" applyAlignment="1">
      <alignment horizontal="center" vertical="center" wrapText="1"/>
    </xf>
    <xf numFmtId="9" fontId="4" fillId="4" borderId="4" xfId="0" applyNumberFormat="1" applyFont="1" applyFill="1" applyBorder="1" applyAlignment="1">
      <alignment horizontal="left"/>
    </xf>
    <xf numFmtId="0" fontId="4" fillId="0" borderId="4" xfId="0" applyFont="1" applyBorder="1" applyAlignment="1">
      <alignment horizontal="left"/>
    </xf>
    <xf numFmtId="9" fontId="4" fillId="4" borderId="4" xfId="1" applyFont="1" applyFill="1" applyBorder="1" applyAlignment="1">
      <alignment horizontal="left"/>
    </xf>
    <xf numFmtId="164" fontId="7" fillId="4" borderId="4" xfId="0" applyNumberFormat="1" applyFont="1" applyFill="1" applyBorder="1" applyAlignment="1">
      <alignment horizontal="center"/>
    </xf>
    <xf numFmtId="165" fontId="10" fillId="4" borderId="4" xfId="1" applyNumberFormat="1" applyFont="1" applyFill="1" applyBorder="1" applyAlignment="1">
      <alignment horizontal="center" vertical="center" wrapText="1"/>
    </xf>
    <xf numFmtId="9" fontId="0" fillId="0" borderId="4" xfId="0" applyNumberFormat="1" applyBorder="1" applyAlignment="1">
      <alignment horizontal="center"/>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4" fillId="10" borderId="16" xfId="0" applyFont="1" applyFill="1" applyBorder="1" applyAlignment="1">
      <alignment horizontal="right"/>
    </xf>
    <xf numFmtId="0" fontId="4" fillId="10" borderId="15" xfId="0" applyFont="1" applyFill="1" applyBorder="1" applyAlignment="1">
      <alignment horizontal="center"/>
    </xf>
    <xf numFmtId="0" fontId="4" fillId="10" borderId="15" xfId="0" applyFont="1" applyFill="1" applyBorder="1" applyAlignment="1">
      <alignment horizontal="center" vertical="center"/>
    </xf>
    <xf numFmtId="0" fontId="4" fillId="10" borderId="15" xfId="0" applyFont="1" applyFill="1" applyBorder="1"/>
    <xf numFmtId="0" fontId="4" fillId="10" borderId="17" xfId="0" applyFont="1" applyFill="1" applyBorder="1"/>
    <xf numFmtId="0" fontId="4" fillId="10" borderId="12" xfId="0" applyFont="1" applyFill="1" applyBorder="1" applyAlignment="1">
      <alignment horizontal="right"/>
    </xf>
    <xf numFmtId="0" fontId="4" fillId="10" borderId="14" xfId="0" applyFont="1" applyFill="1" applyBorder="1" applyAlignment="1">
      <alignment horizontal="center"/>
    </xf>
    <xf numFmtId="0" fontId="4" fillId="10" borderId="14" xfId="0" applyFont="1" applyFill="1" applyBorder="1" applyAlignment="1">
      <alignment horizontal="center" vertical="center"/>
    </xf>
    <xf numFmtId="0" fontId="4" fillId="10" borderId="14" xfId="0" applyFont="1" applyFill="1" applyBorder="1"/>
    <xf numFmtId="0" fontId="4" fillId="10" borderId="13" xfId="0" applyFont="1" applyFill="1" applyBorder="1"/>
    <xf numFmtId="0" fontId="4" fillId="0" borderId="21" xfId="0" applyFont="1" applyBorder="1" applyAlignment="1">
      <alignment horizontal="right"/>
    </xf>
    <xf numFmtId="0" fontId="4" fillId="0" borderId="11" xfId="0" applyFont="1" applyBorder="1" applyAlignment="1">
      <alignment horizontal="right"/>
    </xf>
    <xf numFmtId="0" fontId="4" fillId="0" borderId="7" xfId="0" applyFont="1" applyBorder="1" applyAlignment="1">
      <alignment horizontal="right"/>
    </xf>
    <xf numFmtId="0" fontId="4" fillId="4" borderId="6" xfId="0" applyFont="1" applyFill="1" applyBorder="1" applyAlignment="1">
      <alignment horizontal="center"/>
    </xf>
    <xf numFmtId="0" fontId="7" fillId="0" borderId="4" xfId="0" applyFont="1" applyBorder="1" applyAlignment="1">
      <alignment horizontal="center" vertical="center" wrapText="1"/>
    </xf>
    <xf numFmtId="0" fontId="12" fillId="0" borderId="4" xfId="0" applyFont="1" applyBorder="1" applyAlignment="1">
      <alignment horizontal="center" vertical="center" wrapText="1"/>
    </xf>
    <xf numFmtId="2" fontId="4" fillId="4" borderId="4" xfId="0" applyNumberFormat="1" applyFont="1" applyFill="1" applyBorder="1" applyAlignment="1">
      <alignment horizontal="center" vertical="center"/>
    </xf>
    <xf numFmtId="0" fontId="9" fillId="3" borderId="4" xfId="0" applyFont="1" applyFill="1" applyBorder="1" applyAlignment="1">
      <alignment horizontal="center"/>
    </xf>
    <xf numFmtId="0" fontId="4" fillId="8" borderId="21" xfId="0" applyFont="1" applyFill="1" applyBorder="1"/>
    <xf numFmtId="0" fontId="11" fillId="0" borderId="11" xfId="0" applyFont="1" applyBorder="1"/>
    <xf numFmtId="0" fontId="4" fillId="0" borderId="11" xfId="0" applyFont="1" applyBorder="1"/>
    <xf numFmtId="0" fontId="4" fillId="0" borderId="12" xfId="0" applyFont="1" applyBorder="1"/>
    <xf numFmtId="0" fontId="20" fillId="9" borderId="4" xfId="0" applyFont="1" applyFill="1" applyBorder="1" applyAlignment="1">
      <alignment horizontal="center" vertical="center" wrapText="1"/>
    </xf>
    <xf numFmtId="0" fontId="25" fillId="9" borderId="4" xfId="0" applyFont="1" applyFill="1" applyBorder="1" applyAlignment="1">
      <alignment horizontal="center" vertical="center" wrapText="1"/>
    </xf>
    <xf numFmtId="0" fontId="25" fillId="9" borderId="4" xfId="0" applyFont="1" applyFill="1" applyBorder="1" applyAlignment="1">
      <alignment horizontal="center" vertical="center"/>
    </xf>
    <xf numFmtId="0" fontId="25" fillId="9" borderId="7" xfId="0" applyFont="1" applyFill="1" applyBorder="1" applyAlignment="1">
      <alignment horizontal="center" vertical="center" wrapText="1"/>
    </xf>
    <xf numFmtId="0" fontId="25" fillId="9" borderId="6" xfId="0" applyFont="1" applyFill="1" applyBorder="1" applyAlignment="1">
      <alignment horizontal="center" vertical="center" wrapText="1"/>
    </xf>
    <xf numFmtId="164" fontId="0" fillId="6" borderId="4" xfId="0" applyNumberFormat="1" applyFill="1" applyBorder="1" applyAlignment="1">
      <alignment horizontal="center" vertical="center"/>
    </xf>
    <xf numFmtId="0" fontId="4" fillId="0" borderId="0" xfId="0" applyFont="1" applyAlignment="1">
      <alignment vertical="center"/>
    </xf>
    <xf numFmtId="0" fontId="0" fillId="6" borderId="4" xfId="0" applyFill="1" applyBorder="1" applyAlignment="1">
      <alignment horizontal="center" vertical="center"/>
    </xf>
    <xf numFmtId="10" fontId="0" fillId="6" borderId="4" xfId="1" applyNumberFormat="1" applyFont="1" applyFill="1" applyBorder="1" applyAlignment="1">
      <alignment horizontal="center" vertical="center"/>
    </xf>
    <xf numFmtId="0" fontId="20" fillId="9" borderId="0" xfId="0" applyFont="1" applyFill="1" applyAlignment="1">
      <alignment horizontal="center" vertical="center"/>
    </xf>
    <xf numFmtId="164" fontId="1" fillId="6" borderId="4" xfId="0" applyNumberFormat="1" applyFont="1" applyFill="1" applyBorder="1" applyAlignment="1">
      <alignment horizontal="center" vertical="center"/>
    </xf>
    <xf numFmtId="0" fontId="26" fillId="9" borderId="0" xfId="0" applyFont="1" applyFill="1" applyAlignment="1">
      <alignment horizontal="center" vertical="center"/>
    </xf>
    <xf numFmtId="0" fontId="27" fillId="0" borderId="0" xfId="0" applyFont="1"/>
    <xf numFmtId="164" fontId="27" fillId="6" borderId="4" xfId="0" applyNumberFormat="1" applyFont="1" applyFill="1" applyBorder="1" applyAlignment="1">
      <alignment horizontal="center" vertical="center"/>
    </xf>
    <xf numFmtId="0" fontId="28" fillId="0" borderId="0" xfId="0" applyFont="1" applyAlignment="1">
      <alignment horizontal="left"/>
    </xf>
    <xf numFmtId="169" fontId="0" fillId="4" borderId="4" xfId="0" applyNumberFormat="1" applyFill="1" applyBorder="1"/>
    <xf numFmtId="169" fontId="4" fillId="4" borderId="4" xfId="0" applyNumberFormat="1" applyFont="1" applyFill="1" applyBorder="1"/>
    <xf numFmtId="168" fontId="4" fillId="4" borderId="4" xfId="0" applyNumberFormat="1" applyFont="1" applyFill="1" applyBorder="1"/>
    <xf numFmtId="166" fontId="4" fillId="4" borderId="4" xfId="1" applyNumberFormat="1" applyFont="1" applyFill="1" applyBorder="1"/>
    <xf numFmtId="1" fontId="4" fillId="4" borderId="4" xfId="0" applyNumberFormat="1" applyFont="1" applyFill="1" applyBorder="1"/>
    <xf numFmtId="167" fontId="4" fillId="4" borderId="4" xfId="0" applyNumberFormat="1" applyFont="1" applyFill="1" applyBorder="1"/>
    <xf numFmtId="0" fontId="4" fillId="8" borderId="13" xfId="0" applyFont="1" applyFill="1" applyBorder="1"/>
    <xf numFmtId="0" fontId="20" fillId="9" borderId="0" xfId="0" applyFont="1" applyFill="1" applyAlignment="1">
      <alignment horizontal="center"/>
    </xf>
    <xf numFmtId="0" fontId="4" fillId="0" borderId="21" xfId="0" applyFont="1" applyBorder="1" applyAlignment="1">
      <alignment horizontal="center" vertical="center"/>
    </xf>
    <xf numFmtId="8" fontId="4" fillId="7" borderId="4" xfId="0" applyNumberFormat="1" applyFont="1" applyFill="1" applyBorder="1" applyAlignment="1">
      <alignment horizontal="center"/>
    </xf>
    <xf numFmtId="164" fontId="4" fillId="7" borderId="4" xfId="0" applyNumberFormat="1" applyFont="1" applyFill="1" applyBorder="1" applyAlignment="1">
      <alignment horizontal="center"/>
    </xf>
    <xf numFmtId="44" fontId="4" fillId="4" borderId="4" xfId="0" applyNumberFormat="1" applyFont="1" applyFill="1" applyBorder="1" applyAlignment="1">
      <alignment horizontal="center" vertical="center"/>
    </xf>
    <xf numFmtId="0" fontId="29" fillId="0" borderId="0" xfId="0" applyFont="1"/>
    <xf numFmtId="1" fontId="10" fillId="4" borderId="4" xfId="0" applyNumberFormat="1" applyFont="1" applyFill="1" applyBorder="1" applyAlignment="1">
      <alignment horizontal="center" vertical="center" wrapText="1"/>
    </xf>
    <xf numFmtId="164" fontId="4" fillId="4" borderId="4" xfId="0" applyNumberFormat="1" applyFont="1" applyFill="1" applyBorder="1" applyAlignment="1">
      <alignment horizontal="center" vertical="center"/>
    </xf>
    <xf numFmtId="4" fontId="4" fillId="4" borderId="0" xfId="0" applyNumberFormat="1" applyFont="1" applyFill="1" applyAlignment="1">
      <alignment horizontal="center" vertical="center"/>
    </xf>
    <xf numFmtId="4" fontId="4" fillId="4" borderId="10" xfId="0" applyNumberFormat="1" applyFont="1" applyFill="1" applyBorder="1" applyAlignment="1">
      <alignment horizontal="center" vertical="center"/>
    </xf>
    <xf numFmtId="164" fontId="4" fillId="4" borderId="12" xfId="0" applyNumberFormat="1" applyFont="1" applyFill="1" applyBorder="1" applyAlignment="1">
      <alignment horizontal="center" vertical="center"/>
    </xf>
    <xf numFmtId="164" fontId="4" fillId="4" borderId="14" xfId="0" applyNumberFormat="1" applyFont="1" applyFill="1" applyBorder="1" applyAlignment="1">
      <alignment horizontal="center" vertical="center"/>
    </xf>
    <xf numFmtId="164" fontId="4" fillId="4" borderId="13" xfId="0" applyNumberFormat="1" applyFont="1" applyFill="1" applyBorder="1" applyAlignment="1">
      <alignment horizontal="center" vertical="center"/>
    </xf>
    <xf numFmtId="0" fontId="30" fillId="0" borderId="0" xfId="0" applyFont="1"/>
    <xf numFmtId="4" fontId="4" fillId="4" borderId="9" xfId="0" applyNumberFormat="1" applyFont="1" applyFill="1" applyBorder="1" applyAlignment="1">
      <alignment horizontal="center" vertical="center"/>
    </xf>
    <xf numFmtId="2" fontId="4" fillId="4" borderId="12" xfId="0" applyNumberFormat="1" applyFont="1" applyFill="1" applyBorder="1" applyAlignment="1">
      <alignment horizontal="center" vertical="center"/>
    </xf>
    <xf numFmtId="0" fontId="4" fillId="4" borderId="16" xfId="0" applyFont="1" applyFill="1" applyBorder="1" applyAlignment="1">
      <alignment horizontal="right"/>
    </xf>
    <xf numFmtId="0" fontId="4" fillId="4" borderId="15" xfId="0" applyFont="1" applyFill="1" applyBorder="1" applyAlignment="1">
      <alignment horizontal="center"/>
    </xf>
    <xf numFmtId="0" fontId="4" fillId="4" borderId="15" xfId="0" applyFont="1" applyFill="1" applyBorder="1" applyAlignment="1">
      <alignment horizontal="center" vertical="center"/>
    </xf>
    <xf numFmtId="0" fontId="4" fillId="4" borderId="12" xfId="0" applyFont="1" applyFill="1" applyBorder="1" applyAlignment="1">
      <alignment horizontal="right"/>
    </xf>
    <xf numFmtId="0" fontId="4" fillId="4" borderId="14" xfId="0" applyFont="1" applyFill="1" applyBorder="1" applyAlignment="1">
      <alignment horizontal="center"/>
    </xf>
    <xf numFmtId="0" fontId="4" fillId="4" borderId="14" xfId="0" applyFont="1" applyFill="1" applyBorder="1" applyAlignment="1">
      <alignment horizontal="center" vertical="center"/>
    </xf>
    <xf numFmtId="0" fontId="28" fillId="0" borderId="0" xfId="0" applyFont="1"/>
    <xf numFmtId="0" fontId="10" fillId="7" borderId="1" xfId="0" applyFont="1" applyFill="1" applyBorder="1"/>
    <xf numFmtId="0" fontId="10" fillId="8" borderId="2" xfId="0" applyFont="1" applyFill="1" applyBorder="1"/>
    <xf numFmtId="0" fontId="31" fillId="4" borderId="2" xfId="0" applyFont="1" applyFill="1" applyBorder="1"/>
    <xf numFmtId="0" fontId="31" fillId="0" borderId="0" xfId="0" applyFont="1"/>
    <xf numFmtId="0" fontId="33" fillId="0" borderId="0" xfId="0" applyFont="1"/>
    <xf numFmtId="2" fontId="4" fillId="4" borderId="4" xfId="0" applyNumberFormat="1" applyFont="1" applyFill="1" applyBorder="1" applyAlignment="1">
      <alignment horizontal="center"/>
    </xf>
    <xf numFmtId="0" fontId="7" fillId="0" borderId="4" xfId="0" applyFont="1" applyBorder="1"/>
    <xf numFmtId="0" fontId="4" fillId="10" borderId="4" xfId="0" applyFont="1" applyFill="1" applyBorder="1"/>
    <xf numFmtId="2" fontId="4" fillId="10" borderId="4" xfId="0" applyNumberFormat="1" applyFont="1" applyFill="1" applyBorder="1"/>
    <xf numFmtId="170" fontId="4" fillId="10" borderId="4" xfId="0" applyNumberFormat="1" applyFont="1" applyFill="1" applyBorder="1"/>
    <xf numFmtId="2" fontId="4" fillId="4" borderId="21" xfId="0" applyNumberFormat="1" applyFont="1" applyFill="1" applyBorder="1"/>
    <xf numFmtId="2" fontId="4" fillId="4" borderId="8" xfId="0" applyNumberFormat="1" applyFont="1" applyFill="1" applyBorder="1"/>
    <xf numFmtId="170" fontId="4" fillId="4" borderId="11" xfId="0" applyNumberFormat="1" applyFont="1" applyFill="1" applyBorder="1"/>
    <xf numFmtId="164" fontId="4" fillId="4" borderId="21" xfId="0" applyNumberFormat="1" applyFont="1" applyFill="1" applyBorder="1"/>
    <xf numFmtId="0" fontId="4" fillId="4" borderId="8" xfId="0" applyFont="1" applyFill="1" applyBorder="1"/>
    <xf numFmtId="164" fontId="4" fillId="4" borderId="8" xfId="0" applyNumberFormat="1" applyFont="1" applyFill="1" applyBorder="1"/>
    <xf numFmtId="164" fontId="4" fillId="4" borderId="11" xfId="0" applyNumberFormat="1" applyFont="1" applyFill="1" applyBorder="1"/>
    <xf numFmtId="0" fontId="4" fillId="0" borderId="4" xfId="0" applyFont="1" applyBorder="1"/>
    <xf numFmtId="9" fontId="4" fillId="0" borderId="4" xfId="0" applyNumberFormat="1" applyFont="1" applyBorder="1" applyAlignment="1">
      <alignment horizontal="center"/>
    </xf>
    <xf numFmtId="0" fontId="4" fillId="4" borderId="4" xfId="0" applyFont="1" applyFill="1" applyBorder="1"/>
    <xf numFmtId="164" fontId="4" fillId="4" borderId="4" xfId="0" applyNumberFormat="1" applyFont="1" applyFill="1" applyBorder="1"/>
    <xf numFmtId="0" fontId="4" fillId="4" borderId="4" xfId="0" applyFont="1" applyFill="1" applyBorder="1" applyAlignment="1">
      <alignment horizontal="center"/>
    </xf>
    <xf numFmtId="9" fontId="4" fillId="4" borderId="4" xfId="1" applyFont="1" applyFill="1" applyBorder="1"/>
    <xf numFmtId="2" fontId="4" fillId="4" borderId="4" xfId="0" applyNumberFormat="1" applyFont="1" applyFill="1" applyBorder="1"/>
    <xf numFmtId="2" fontId="4" fillId="4" borderId="7" xfId="0" applyNumberFormat="1" applyFont="1" applyFill="1" applyBorder="1"/>
    <xf numFmtId="2" fontId="4" fillId="4" borderId="18" xfId="0" applyNumberFormat="1" applyFont="1" applyFill="1" applyBorder="1"/>
    <xf numFmtId="2" fontId="4" fillId="4" borderId="20" xfId="0" applyNumberFormat="1" applyFont="1" applyFill="1" applyBorder="1"/>
    <xf numFmtId="2" fontId="34" fillId="4" borderId="20" xfId="0" applyNumberFormat="1" applyFont="1" applyFill="1" applyBorder="1"/>
    <xf numFmtId="2" fontId="4" fillId="4" borderId="22" xfId="0" applyNumberFormat="1" applyFont="1" applyFill="1" applyBorder="1"/>
    <xf numFmtId="2" fontId="4" fillId="4" borderId="19" xfId="0" applyNumberFormat="1" applyFont="1" applyFill="1" applyBorder="1"/>
    <xf numFmtId="0" fontId="31" fillId="0" borderId="4" xfId="2" applyFont="1" applyBorder="1" applyAlignment="1">
      <alignment horizontal="center" vertical="center" wrapText="1"/>
    </xf>
    <xf numFmtId="165" fontId="31" fillId="0" borderId="4" xfId="1" applyNumberFormat="1" applyFont="1" applyBorder="1" applyAlignment="1">
      <alignment horizontal="center" vertical="center" wrapText="1"/>
    </xf>
    <xf numFmtId="0" fontId="31" fillId="0" borderId="7" xfId="2" applyFont="1" applyBorder="1" applyAlignment="1">
      <alignment horizontal="center" vertical="center" wrapText="1"/>
    </xf>
    <xf numFmtId="0" fontId="31" fillId="0" borderId="16" xfId="2" applyFont="1" applyBorder="1" applyAlignment="1">
      <alignment horizontal="center" vertical="center" wrapText="1"/>
    </xf>
    <xf numFmtId="0" fontId="31" fillId="0" borderId="15" xfId="2" applyFont="1" applyBorder="1" applyAlignment="1">
      <alignment horizontal="center" vertical="center" wrapText="1"/>
    </xf>
    <xf numFmtId="0" fontId="31" fillId="0" borderId="17" xfId="2" applyFont="1" applyBorder="1" applyAlignment="1">
      <alignment horizontal="center" vertical="center" wrapText="1"/>
    </xf>
    <xf numFmtId="3" fontId="35" fillId="0" borderId="4" xfId="0" applyNumberFormat="1" applyFont="1" applyBorder="1" applyAlignment="1">
      <alignment horizontal="center" vertical="center" wrapText="1"/>
    </xf>
    <xf numFmtId="3" fontId="35" fillId="4" borderId="7" xfId="0" applyNumberFormat="1" applyFont="1" applyFill="1" applyBorder="1" applyAlignment="1">
      <alignment horizontal="center" vertical="center"/>
    </xf>
    <xf numFmtId="3" fontId="35" fillId="4" borderId="6" xfId="0" applyNumberFormat="1" applyFont="1" applyFill="1" applyBorder="1" applyAlignment="1">
      <alignment horizontal="center" vertical="center"/>
    </xf>
    <xf numFmtId="3" fontId="35" fillId="4" borderId="5" xfId="0" applyNumberFormat="1" applyFont="1" applyFill="1" applyBorder="1" applyAlignment="1">
      <alignment horizontal="center" vertical="center"/>
    </xf>
    <xf numFmtId="3" fontId="35" fillId="4" borderId="12" xfId="0" applyNumberFormat="1" applyFont="1" applyFill="1" applyBorder="1" applyAlignment="1">
      <alignment horizontal="center" vertical="center"/>
    </xf>
    <xf numFmtId="3" fontId="35" fillId="4" borderId="14" xfId="0" applyNumberFormat="1" applyFont="1" applyFill="1" applyBorder="1" applyAlignment="1">
      <alignment horizontal="center" vertical="center"/>
    </xf>
    <xf numFmtId="3" fontId="35" fillId="4" borderId="13" xfId="0" applyNumberFormat="1" applyFont="1" applyFill="1" applyBorder="1" applyAlignment="1">
      <alignment horizontal="center" vertical="center"/>
    </xf>
    <xf numFmtId="3" fontId="35" fillId="0" borderId="8" xfId="0" applyNumberFormat="1" applyFont="1" applyBorder="1" applyAlignment="1">
      <alignment horizontal="center" vertical="center"/>
    </xf>
    <xf numFmtId="3" fontId="35" fillId="4" borderId="9" xfId="0" applyNumberFormat="1" applyFont="1" applyFill="1" applyBorder="1" applyAlignment="1">
      <alignment horizontal="center" vertical="center"/>
    </xf>
    <xf numFmtId="3" fontId="35" fillId="4" borderId="10" xfId="0" applyNumberFormat="1" applyFont="1" applyFill="1" applyBorder="1" applyAlignment="1">
      <alignment horizontal="center" vertical="center"/>
    </xf>
    <xf numFmtId="3" fontId="35" fillId="4" borderId="0" xfId="0" applyNumberFormat="1" applyFont="1" applyFill="1" applyAlignment="1">
      <alignment horizontal="center" vertical="center"/>
    </xf>
    <xf numFmtId="3" fontId="35" fillId="4" borderId="16" xfId="0" applyNumberFormat="1" applyFont="1" applyFill="1" applyBorder="1" applyAlignment="1">
      <alignment horizontal="center" vertical="center"/>
    </xf>
    <xf numFmtId="3" fontId="35" fillId="4" borderId="15" xfId="0" applyNumberFormat="1" applyFont="1" applyFill="1" applyBorder="1" applyAlignment="1">
      <alignment horizontal="center" vertical="center"/>
    </xf>
    <xf numFmtId="3" fontId="35" fillId="4" borderId="17" xfId="0" applyNumberFormat="1" applyFont="1" applyFill="1" applyBorder="1" applyAlignment="1">
      <alignment horizontal="center" vertical="center"/>
    </xf>
    <xf numFmtId="3" fontId="35" fillId="0" borderId="11" xfId="0" applyNumberFormat="1" applyFont="1" applyBorder="1" applyAlignment="1">
      <alignment horizontal="center" vertical="center"/>
    </xf>
    <xf numFmtId="3" fontId="35" fillId="10" borderId="7" xfId="0" applyNumberFormat="1" applyFont="1" applyFill="1" applyBorder="1" applyAlignment="1">
      <alignment horizontal="center" vertical="center"/>
    </xf>
    <xf numFmtId="3" fontId="35" fillId="10" borderId="6" xfId="0" applyNumberFormat="1" applyFont="1" applyFill="1" applyBorder="1" applyAlignment="1">
      <alignment horizontal="center" vertical="center"/>
    </xf>
    <xf numFmtId="3" fontId="35" fillId="10" borderId="5" xfId="0" applyNumberFormat="1" applyFont="1" applyFill="1" applyBorder="1" applyAlignment="1">
      <alignment horizontal="center" vertical="center"/>
    </xf>
    <xf numFmtId="3" fontId="35" fillId="10" borderId="12" xfId="0" applyNumberFormat="1" applyFont="1" applyFill="1" applyBorder="1" applyAlignment="1">
      <alignment horizontal="center" vertical="center"/>
    </xf>
    <xf numFmtId="3" fontId="35" fillId="10" borderId="14" xfId="0" applyNumberFormat="1" applyFont="1" applyFill="1" applyBorder="1" applyAlignment="1">
      <alignment horizontal="center" vertical="center"/>
    </xf>
    <xf numFmtId="3" fontId="35" fillId="10" borderId="13" xfId="0" applyNumberFormat="1" applyFont="1" applyFill="1" applyBorder="1" applyAlignment="1">
      <alignment horizontal="center" vertical="center"/>
    </xf>
    <xf numFmtId="3" fontId="35" fillId="10" borderId="9" xfId="0" applyNumberFormat="1" applyFont="1" applyFill="1" applyBorder="1" applyAlignment="1">
      <alignment horizontal="center" vertical="center"/>
    </xf>
    <xf numFmtId="3" fontId="35" fillId="10" borderId="10" xfId="0" applyNumberFormat="1" applyFont="1" applyFill="1" applyBorder="1" applyAlignment="1">
      <alignment horizontal="center" vertical="center"/>
    </xf>
    <xf numFmtId="3" fontId="35" fillId="10" borderId="0" xfId="0" applyNumberFormat="1" applyFont="1" applyFill="1" applyAlignment="1">
      <alignment horizontal="center" vertical="center"/>
    </xf>
    <xf numFmtId="3" fontId="35" fillId="10" borderId="16" xfId="0" applyNumberFormat="1" applyFont="1" applyFill="1" applyBorder="1" applyAlignment="1">
      <alignment horizontal="center" vertical="center"/>
    </xf>
    <xf numFmtId="3" fontId="35" fillId="10" borderId="15" xfId="0" applyNumberFormat="1" applyFont="1" applyFill="1" applyBorder="1" applyAlignment="1">
      <alignment horizontal="center" vertical="center"/>
    </xf>
    <xf numFmtId="3" fontId="35" fillId="10" borderId="17" xfId="0" applyNumberFormat="1" applyFont="1" applyFill="1" applyBorder="1" applyAlignment="1">
      <alignment horizontal="center" vertical="center"/>
    </xf>
    <xf numFmtId="0" fontId="4" fillId="0" borderId="21" xfId="0" applyFont="1" applyBorder="1"/>
    <xf numFmtId="0" fontId="19" fillId="11" borderId="0" xfId="0" applyFont="1" applyFill="1"/>
    <xf numFmtId="0" fontId="19" fillId="12" borderId="0" xfId="0" applyFont="1" applyFill="1"/>
    <xf numFmtId="0" fontId="19" fillId="13" borderId="0" xfId="0" applyFont="1" applyFill="1"/>
    <xf numFmtId="0" fontId="4" fillId="0" borderId="8" xfId="0" applyFont="1" applyBorder="1"/>
    <xf numFmtId="0" fontId="5" fillId="0" borderId="0" xfId="0" applyFont="1" applyAlignment="1">
      <alignment horizontal="center"/>
    </xf>
    <xf numFmtId="0" fontId="11" fillId="5" borderId="0" xfId="0" applyFont="1" applyFill="1" applyAlignment="1">
      <alignment horizontal="center" wrapText="1"/>
    </xf>
    <xf numFmtId="0" fontId="4" fillId="0" borderId="0" xfId="0" applyFont="1" applyAlignment="1">
      <alignment horizontal="center" wrapText="1"/>
    </xf>
    <xf numFmtId="0" fontId="20" fillId="5" borderId="0" xfId="0" applyFont="1" applyFill="1" applyAlignment="1">
      <alignment horizontal="left" vertical="center" wrapText="1"/>
    </xf>
    <xf numFmtId="0" fontId="0" fillId="0" borderId="0" xfId="0" applyAlignment="1">
      <alignment wrapText="1"/>
    </xf>
    <xf numFmtId="0" fontId="4" fillId="0" borderId="0" xfId="0" applyFont="1" applyAlignment="1">
      <alignment wrapText="1"/>
    </xf>
    <xf numFmtId="0" fontId="20" fillId="5" borderId="0" xfId="0" applyFont="1" applyFill="1" applyAlignment="1">
      <alignment horizontal="center" vertical="center"/>
    </xf>
    <xf numFmtId="0" fontId="10" fillId="10" borderId="3" xfId="0" applyFont="1" applyFill="1" applyBorder="1"/>
    <xf numFmtId="0" fontId="31" fillId="6" borderId="2" xfId="0" applyFont="1" applyFill="1" applyBorder="1"/>
    <xf numFmtId="0" fontId="18" fillId="0" borderId="0" xfId="0" applyFont="1" applyAlignment="1">
      <alignment horizontal="center"/>
    </xf>
    <xf numFmtId="0" fontId="18" fillId="0" borderId="0" xfId="0" applyFont="1" applyAlignment="1">
      <alignment wrapText="1"/>
    </xf>
    <xf numFmtId="0" fontId="37" fillId="0" borderId="0" xfId="0" applyFont="1" applyAlignment="1" applyProtection="1">
      <alignment horizontal="left" wrapText="1"/>
      <protection locked="0"/>
    </xf>
    <xf numFmtId="0" fontId="20" fillId="5" borderId="0" xfId="0" applyFont="1" applyFill="1" applyAlignment="1">
      <alignment horizontal="right" vertical="center"/>
    </xf>
    <xf numFmtId="0" fontId="38" fillId="0" borderId="0" xfId="0" applyFont="1"/>
    <xf numFmtId="0" fontId="39" fillId="0" borderId="0" xfId="2" applyFont="1"/>
    <xf numFmtId="0" fontId="34" fillId="0" borderId="0" xfId="2" applyFont="1"/>
    <xf numFmtId="0" fontId="39" fillId="0" borderId="21" xfId="2" applyFont="1" applyBorder="1" applyAlignment="1">
      <alignment horizontal="left"/>
    </xf>
    <xf numFmtId="0" fontId="39" fillId="0" borderId="4" xfId="2" applyFont="1" applyBorder="1"/>
    <xf numFmtId="9" fontId="39" fillId="4" borderId="4" xfId="1" applyFont="1" applyFill="1" applyBorder="1"/>
    <xf numFmtId="0" fontId="39" fillId="0" borderId="8" xfId="2" applyFont="1" applyBorder="1" applyAlignment="1">
      <alignment horizontal="left"/>
    </xf>
    <xf numFmtId="0" fontId="39" fillId="0" borderId="11" xfId="2" applyFont="1" applyBorder="1" applyAlignment="1">
      <alignment horizontal="left"/>
    </xf>
    <xf numFmtId="0" fontId="20" fillId="5" borderId="0" xfId="0" applyFont="1" applyFill="1" applyAlignment="1">
      <alignment horizontal="center"/>
    </xf>
    <xf numFmtId="0" fontId="18" fillId="0" borderId="0" xfId="0" applyFont="1" applyAlignment="1">
      <alignment horizontal="center" vertical="center"/>
    </xf>
    <xf numFmtId="0" fontId="31" fillId="0" borderId="0" xfId="0" applyFont="1" applyAlignment="1" applyProtection="1">
      <alignment horizontal="left" wrapText="1"/>
      <protection locked="0"/>
    </xf>
    <xf numFmtId="0" fontId="4" fillId="7" borderId="21" xfId="0" applyFont="1" applyFill="1" applyBorder="1"/>
    <xf numFmtId="0" fontId="4" fillId="7" borderId="16" xfId="0" applyFont="1" applyFill="1" applyBorder="1"/>
    <xf numFmtId="0" fontId="25" fillId="9" borderId="7" xfId="0" applyFont="1" applyFill="1" applyBorder="1" applyAlignment="1">
      <alignment horizontal="left" vertical="center"/>
    </xf>
    <xf numFmtId="0" fontId="25" fillId="9" borderId="7" xfId="0" applyFont="1" applyFill="1" applyBorder="1" applyAlignment="1">
      <alignment horizontal="left" vertical="center" wrapText="1"/>
    </xf>
    <xf numFmtId="0" fontId="31" fillId="0" borderId="0" xfId="0" applyFont="1" applyAlignment="1" applyProtection="1">
      <alignment horizontal="left" vertical="center" wrapText="1"/>
      <protection locked="0"/>
    </xf>
    <xf numFmtId="0" fontId="4" fillId="0" borderId="0" xfId="0" applyFont="1" applyAlignment="1">
      <alignment vertical="center" wrapText="1"/>
    </xf>
    <xf numFmtId="0" fontId="34" fillId="0" borderId="0" xfId="0" applyFont="1" applyAlignment="1">
      <alignment vertical="center" wrapText="1"/>
    </xf>
    <xf numFmtId="0" fontId="12" fillId="0" borderId="0" xfId="0" applyFont="1" applyAlignment="1" applyProtection="1">
      <alignment horizontal="left" vertical="center" wrapText="1"/>
      <protection locked="0"/>
    </xf>
    <xf numFmtId="0" fontId="36" fillId="0" borderId="0" xfId="0" applyFont="1" applyAlignment="1">
      <alignment vertical="center" wrapText="1"/>
    </xf>
    <xf numFmtId="164" fontId="4" fillId="8" borderId="4" xfId="1" applyNumberFormat="1" applyFont="1" applyFill="1" applyBorder="1" applyAlignment="1">
      <alignment horizontal="left"/>
    </xf>
    <xf numFmtId="0" fontId="8" fillId="0" borderId="0" xfId="3" applyFont="1" applyAlignment="1">
      <alignment horizontal="left"/>
    </xf>
    <xf numFmtId="0" fontId="8" fillId="0" borderId="0" xfId="0" applyFont="1" applyAlignment="1">
      <alignment horizontal="left"/>
    </xf>
    <xf numFmtId="0" fontId="8" fillId="0" borderId="0" xfId="0" applyFont="1" applyAlignment="1">
      <alignment horizontal="center"/>
    </xf>
    <xf numFmtId="0" fontId="8" fillId="0" borderId="0" xfId="0" applyFont="1" applyAlignment="1">
      <alignment horizontal="right"/>
    </xf>
    <xf numFmtId="9" fontId="4" fillId="10" borderId="15" xfId="1" applyFont="1" applyFill="1" applyBorder="1"/>
    <xf numFmtId="9" fontId="4" fillId="10" borderId="14" xfId="1" applyFont="1" applyFill="1" applyBorder="1"/>
    <xf numFmtId="171" fontId="0" fillId="0" borderId="0" xfId="1" applyNumberFormat="1" applyFont="1"/>
    <xf numFmtId="0" fontId="4" fillId="6" borderId="21" xfId="0" applyFont="1" applyFill="1" applyBorder="1"/>
    <xf numFmtId="0" fontId="40" fillId="0" borderId="0" xfId="0" applyFont="1" applyAlignment="1" applyProtection="1">
      <alignment horizontal="left" vertical="center" wrapText="1"/>
      <protection locked="0"/>
    </xf>
    <xf numFmtId="2" fontId="4" fillId="8" borderId="4" xfId="0" applyNumberFormat="1" applyFont="1" applyFill="1" applyBorder="1"/>
    <xf numFmtId="9" fontId="9" fillId="8" borderId="6" xfId="1" applyFont="1" applyFill="1" applyBorder="1" applyAlignment="1">
      <alignment horizontal="right"/>
    </xf>
    <xf numFmtId="9" fontId="9" fillId="8" borderId="4" xfId="1" applyFont="1" applyFill="1" applyBorder="1" applyAlignment="1">
      <alignment horizontal="right"/>
    </xf>
    <xf numFmtId="0" fontId="42" fillId="8" borderId="4" xfId="3" applyFont="1" applyFill="1" applyBorder="1"/>
    <xf numFmtId="0" fontId="43" fillId="0" borderId="8" xfId="3" applyFont="1" applyBorder="1"/>
    <xf numFmtId="0" fontId="43" fillId="0" borderId="11" xfId="3" applyFont="1" applyBorder="1"/>
    <xf numFmtId="0" fontId="43" fillId="0" borderId="21" xfId="3" applyFont="1" applyBorder="1"/>
    <xf numFmtId="0" fontId="4" fillId="0" borderId="17" xfId="0" applyFont="1" applyBorder="1"/>
    <xf numFmtId="0" fontId="4" fillId="0" borderId="13" xfId="0" applyFont="1" applyBorder="1"/>
    <xf numFmtId="2" fontId="4" fillId="8" borderId="13" xfId="0" applyNumberFormat="1" applyFont="1" applyFill="1" applyBorder="1"/>
    <xf numFmtId="2" fontId="4" fillId="4" borderId="17" xfId="0" applyNumberFormat="1" applyFont="1" applyFill="1" applyBorder="1"/>
    <xf numFmtId="2" fontId="4" fillId="8" borderId="21" xfId="0" applyNumberFormat="1" applyFont="1" applyFill="1" applyBorder="1" applyAlignment="1">
      <alignment horizontal="right"/>
    </xf>
    <xf numFmtId="2" fontId="4" fillId="0" borderId="0" xfId="0" applyNumberFormat="1" applyFont="1"/>
    <xf numFmtId="0" fontId="16" fillId="0" borderId="0" xfId="3" applyAlignment="1">
      <alignment vertical="center"/>
    </xf>
    <xf numFmtId="0" fontId="8" fillId="0" borderId="0" xfId="3" applyFont="1" applyAlignment="1">
      <alignment horizontal="left" vertical="center"/>
    </xf>
    <xf numFmtId="0" fontId="19" fillId="5" borderId="0" xfId="0" applyFont="1" applyFill="1" applyAlignment="1">
      <alignment vertical="center"/>
    </xf>
    <xf numFmtId="170" fontId="0" fillId="0" borderId="0" xfId="0" applyNumberFormat="1"/>
    <xf numFmtId="0" fontId="12" fillId="0" borderId="4" xfId="2" applyFont="1" applyBorder="1" applyAlignment="1">
      <alignment horizontal="center" vertical="center" wrapText="1"/>
    </xf>
    <xf numFmtId="0" fontId="12" fillId="0" borderId="4" xfId="2" applyFont="1" applyBorder="1" applyAlignment="1">
      <alignment horizontal="center" vertical="center"/>
    </xf>
    <xf numFmtId="0" fontId="12" fillId="0" borderId="7" xfId="2" applyFont="1" applyBorder="1" applyAlignment="1">
      <alignment horizontal="center" vertical="center"/>
    </xf>
    <xf numFmtId="0" fontId="12" fillId="0" borderId="5" xfId="2" applyFont="1" applyBorder="1" applyAlignment="1">
      <alignment horizontal="center" vertical="center"/>
    </xf>
    <xf numFmtId="0" fontId="12" fillId="0" borderId="16" xfId="2" applyFont="1" applyBorder="1" applyAlignment="1">
      <alignment horizontal="center" vertical="center"/>
    </xf>
    <xf numFmtId="0" fontId="12" fillId="0" borderId="15" xfId="2" applyFont="1" applyBorder="1" applyAlignment="1">
      <alignment horizontal="center" vertical="center"/>
    </xf>
    <xf numFmtId="0" fontId="12" fillId="0" borderId="17" xfId="2" applyFont="1" applyBorder="1" applyAlignment="1">
      <alignment horizontal="center" vertical="center"/>
    </xf>
  </cellXfs>
  <cellStyles count="4">
    <cellStyle name="Hyperlink" xfId="3" builtinId="8"/>
    <cellStyle name="Normal" xfId="0" builtinId="0"/>
    <cellStyle name="Normal_Difference between AL new and old method" xfId="2" xr:uid="{2E507209-9CD9-404B-BA82-6CB708BD9578}"/>
    <cellStyle name="Per cent" xfId="1" builtinId="5"/>
  </cellStyles>
  <dxfs count="70">
    <dxf>
      <font>
        <color theme="8" tint="0.79998168889431442"/>
      </font>
    </dxf>
    <dxf>
      <font>
        <u/>
        <color theme="4"/>
      </font>
    </dxf>
    <dxf>
      <font>
        <u/>
        <color theme="4"/>
      </font>
    </dxf>
    <dxf>
      <font>
        <u/>
        <color theme="4"/>
      </font>
    </dxf>
    <dxf>
      <font>
        <color theme="3" tint="0.39994506668294322"/>
      </font>
      <fill>
        <patternFill>
          <bgColor theme="3"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3" tint="0.39994506668294322"/>
      </font>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ont>
        <u/>
        <color theme="4"/>
      </font>
    </dxf>
    <dxf>
      <font>
        <u/>
        <color theme="4"/>
      </font>
    </dxf>
    <dxf>
      <fill>
        <patternFill>
          <bgColor theme="3" tint="0.39994506668294322"/>
        </patternFill>
      </fill>
    </dxf>
    <dxf>
      <font>
        <color theme="3" tint="0.39994506668294322"/>
      </font>
      <fill>
        <patternFill patternType="solid">
          <bgColor theme="3" tint="0.39994506668294322"/>
        </patternFill>
      </fill>
      <border>
        <left/>
        <right/>
        <top/>
        <bottom/>
        <vertical/>
        <horizontal/>
      </border>
    </dxf>
    <dxf>
      <font>
        <color theme="3" tint="0.39994506668294322"/>
      </font>
      <fill>
        <patternFill patternType="solid">
          <bgColor theme="3" tint="0.39994506668294322"/>
        </patternFill>
      </fill>
      <border>
        <left/>
        <right/>
        <top/>
        <bottom/>
        <vertical/>
        <horizontal/>
      </border>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Calibri"/>
        <family val="2"/>
        <scheme val="minor"/>
      </font>
      <alignment horizontal="center" vertical="center" textRotation="0" indent="0" justifyLastLine="0" shrinkToFit="0" readingOrder="0"/>
    </dxf>
    <dxf>
      <font>
        <b/>
        <strike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Calibri"/>
        <family val="2"/>
        <scheme val="minor"/>
      </font>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Calibri"/>
        <family val="2"/>
        <scheme val="minor"/>
      </font>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s>
  <tableStyles count="0" defaultTableStyle="TableStyleMedium2" defaultPivotStyle="PivotStyleLight16"/>
  <colors>
    <mruColors>
      <color rgb="FF7EBEC0"/>
      <color rgb="FF24A8A5"/>
      <color rgb="FF197371"/>
      <color rgb="FFCAEAC4"/>
      <color rgb="FFC4EAE6"/>
      <color rgb="FF1F8B8A"/>
      <color rgb="FF84D2CB"/>
      <color rgb="FFE66100"/>
      <color rgb="FFE1BE6A"/>
      <color rgb="FFFFC2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5</xdr:col>
      <xdr:colOff>47625</xdr:colOff>
      <xdr:row>0</xdr:row>
      <xdr:rowOff>0</xdr:rowOff>
    </xdr:from>
    <xdr:to>
      <xdr:col>5</xdr:col>
      <xdr:colOff>1028700</xdr:colOff>
      <xdr:row>2</xdr:row>
      <xdr:rowOff>30079</xdr:rowOff>
    </xdr:to>
    <xdr:pic>
      <xdr:nvPicPr>
        <xdr:cNvPr id="2" name="Picture 1" descr="Department for Transport - Wikipedia">
          <a:extLst>
            <a:ext uri="{FF2B5EF4-FFF2-40B4-BE49-F238E27FC236}">
              <a16:creationId xmlns:a16="http://schemas.microsoft.com/office/drawing/2014/main" id="{F8AE8E68-513B-41D2-AEC3-801EBCC3E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20575" y="0"/>
          <a:ext cx="981075"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238125</xdr:colOff>
      <xdr:row>58</xdr:row>
      <xdr:rowOff>73025</xdr:rowOff>
    </xdr:from>
    <xdr:to>
      <xdr:col>5</xdr:col>
      <xdr:colOff>949690</xdr:colOff>
      <xdr:row>92</xdr:row>
      <xdr:rowOff>73025</xdr:rowOff>
    </xdr:to>
    <xdr:pic>
      <xdr:nvPicPr>
        <xdr:cNvPr id="6" name="Picture 5">
          <a:extLst>
            <a:ext uri="{FF2B5EF4-FFF2-40B4-BE49-F238E27FC236}">
              <a16:creationId xmlns:a16="http://schemas.microsoft.com/office/drawing/2014/main" id="{ABC8F4BF-29B9-C95B-DF11-FA899E2451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04875" y="5645150"/>
          <a:ext cx="12217765" cy="68008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40823</xdr:colOff>
      <xdr:row>0</xdr:row>
      <xdr:rowOff>11906</xdr:rowOff>
    </xdr:from>
    <xdr:to>
      <xdr:col>5</xdr:col>
      <xdr:colOff>1018723</xdr:colOff>
      <xdr:row>2</xdr:row>
      <xdr:rowOff>18853</xdr:rowOff>
    </xdr:to>
    <xdr:pic>
      <xdr:nvPicPr>
        <xdr:cNvPr id="2" name="Picture 1" descr="Department for Transport - Wikipedia">
          <a:extLst>
            <a:ext uri="{FF2B5EF4-FFF2-40B4-BE49-F238E27FC236}">
              <a16:creationId xmlns:a16="http://schemas.microsoft.com/office/drawing/2014/main" id="{4CC84020-5355-4A01-9695-331A41426C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60498" y="8731"/>
          <a:ext cx="981075" cy="5816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66675</xdr:colOff>
      <xdr:row>0</xdr:row>
      <xdr:rowOff>19050</xdr:rowOff>
    </xdr:from>
    <xdr:to>
      <xdr:col>8</xdr:col>
      <xdr:colOff>1047750</xdr:colOff>
      <xdr:row>2</xdr:row>
      <xdr:rowOff>45954</xdr:rowOff>
    </xdr:to>
    <xdr:pic>
      <xdr:nvPicPr>
        <xdr:cNvPr id="5" name="Picture 4" descr="Department for Transport - Wikipedia">
          <a:extLst>
            <a:ext uri="{FF2B5EF4-FFF2-40B4-BE49-F238E27FC236}">
              <a16:creationId xmlns:a16="http://schemas.microsoft.com/office/drawing/2014/main" id="{E3FBDE41-5B18-4B36-A0D8-F2A27773CA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687175" y="19050"/>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57943</xdr:colOff>
      <xdr:row>0</xdr:row>
      <xdr:rowOff>0</xdr:rowOff>
    </xdr:from>
    <xdr:to>
      <xdr:col>5</xdr:col>
      <xdr:colOff>1035843</xdr:colOff>
      <xdr:row>2</xdr:row>
      <xdr:rowOff>30079</xdr:rowOff>
    </xdr:to>
    <xdr:pic>
      <xdr:nvPicPr>
        <xdr:cNvPr id="2" name="Picture 1" descr="Department for Transport - Wikipedia">
          <a:extLst>
            <a:ext uri="{FF2B5EF4-FFF2-40B4-BE49-F238E27FC236}">
              <a16:creationId xmlns:a16="http://schemas.microsoft.com/office/drawing/2014/main" id="{80193878-9453-47AE-864C-727B1AAC45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818" y="0"/>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57943</xdr:colOff>
      <xdr:row>0</xdr:row>
      <xdr:rowOff>0</xdr:rowOff>
    </xdr:from>
    <xdr:to>
      <xdr:col>5</xdr:col>
      <xdr:colOff>1039018</xdr:colOff>
      <xdr:row>2</xdr:row>
      <xdr:rowOff>30079</xdr:rowOff>
    </xdr:to>
    <xdr:pic>
      <xdr:nvPicPr>
        <xdr:cNvPr id="3" name="Picture 2" descr="Department for Transport - Wikipedia">
          <a:extLst>
            <a:ext uri="{FF2B5EF4-FFF2-40B4-BE49-F238E27FC236}">
              <a16:creationId xmlns:a16="http://schemas.microsoft.com/office/drawing/2014/main" id="{A4DC4786-9986-4157-9AE2-C6CB0B8603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3093" y="0"/>
          <a:ext cx="981075"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38100</xdr:colOff>
      <xdr:row>0</xdr:row>
      <xdr:rowOff>0</xdr:rowOff>
    </xdr:from>
    <xdr:to>
      <xdr:col>6</xdr:col>
      <xdr:colOff>1019175</xdr:colOff>
      <xdr:row>2</xdr:row>
      <xdr:rowOff>26904</xdr:rowOff>
    </xdr:to>
    <xdr:pic>
      <xdr:nvPicPr>
        <xdr:cNvPr id="3" name="Picture 2" descr="Department for Transport - Wikipedia">
          <a:extLst>
            <a:ext uri="{FF2B5EF4-FFF2-40B4-BE49-F238E27FC236}">
              <a16:creationId xmlns:a16="http://schemas.microsoft.com/office/drawing/2014/main" id="{E3D7B7DD-ACB0-4113-8AC9-03A83F42FC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81725" y="0"/>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25400</xdr:colOff>
      <xdr:row>0</xdr:row>
      <xdr:rowOff>0</xdr:rowOff>
    </xdr:from>
    <xdr:to>
      <xdr:col>4</xdr:col>
      <xdr:colOff>1019810</xdr:colOff>
      <xdr:row>2</xdr:row>
      <xdr:rowOff>28809</xdr:rowOff>
    </xdr:to>
    <xdr:pic>
      <xdr:nvPicPr>
        <xdr:cNvPr id="5" name="Picture 4" descr="Department for Transport - Wikipedia">
          <a:extLst>
            <a:ext uri="{FF2B5EF4-FFF2-40B4-BE49-F238E27FC236}">
              <a16:creationId xmlns:a16="http://schemas.microsoft.com/office/drawing/2014/main" id="{1DBE57AF-4986-417C-A6FA-A228006084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11725"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25400</xdr:colOff>
      <xdr:row>0</xdr:row>
      <xdr:rowOff>0</xdr:rowOff>
    </xdr:from>
    <xdr:to>
      <xdr:col>4</xdr:col>
      <xdr:colOff>1009650</xdr:colOff>
      <xdr:row>2</xdr:row>
      <xdr:rowOff>30079</xdr:rowOff>
    </xdr:to>
    <xdr:pic>
      <xdr:nvPicPr>
        <xdr:cNvPr id="4" name="Picture 3" descr="Department for Transport - Wikipedia">
          <a:extLst>
            <a:ext uri="{FF2B5EF4-FFF2-40B4-BE49-F238E27FC236}">
              <a16:creationId xmlns:a16="http://schemas.microsoft.com/office/drawing/2014/main" id="{6FBB85FD-503F-4DA6-BE6B-244874A9FC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2225"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6</xdr:col>
      <xdr:colOff>67468</xdr:colOff>
      <xdr:row>0</xdr:row>
      <xdr:rowOff>9525</xdr:rowOff>
    </xdr:from>
    <xdr:to>
      <xdr:col>6</xdr:col>
      <xdr:colOff>1048543</xdr:colOff>
      <xdr:row>2</xdr:row>
      <xdr:rowOff>39604</xdr:rowOff>
    </xdr:to>
    <xdr:pic>
      <xdr:nvPicPr>
        <xdr:cNvPr id="3" name="Picture 2" descr="Department for Transport - Wikipedia">
          <a:extLst>
            <a:ext uri="{FF2B5EF4-FFF2-40B4-BE49-F238E27FC236}">
              <a16:creationId xmlns:a16="http://schemas.microsoft.com/office/drawing/2014/main" id="{8FB9800C-196A-4DAC-9E68-D65420EE91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58618" y="9525"/>
          <a:ext cx="981075"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32543</xdr:colOff>
      <xdr:row>0</xdr:row>
      <xdr:rowOff>0</xdr:rowOff>
    </xdr:from>
    <xdr:to>
      <xdr:col>6</xdr:col>
      <xdr:colOff>793</xdr:colOff>
      <xdr:row>2</xdr:row>
      <xdr:rowOff>30079</xdr:rowOff>
    </xdr:to>
    <xdr:pic>
      <xdr:nvPicPr>
        <xdr:cNvPr id="4" name="Picture 3" descr="Department for Transport - Wikipedia">
          <a:extLst>
            <a:ext uri="{FF2B5EF4-FFF2-40B4-BE49-F238E27FC236}">
              <a16:creationId xmlns:a16="http://schemas.microsoft.com/office/drawing/2014/main" id="{57478D9C-740E-444F-90EB-94120694B0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66418" y="0"/>
          <a:ext cx="97790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25400</xdr:colOff>
      <xdr:row>0</xdr:row>
      <xdr:rowOff>0</xdr:rowOff>
    </xdr:from>
    <xdr:to>
      <xdr:col>6</xdr:col>
      <xdr:colOff>1009650</xdr:colOff>
      <xdr:row>2</xdr:row>
      <xdr:rowOff>30079</xdr:rowOff>
    </xdr:to>
    <xdr:pic>
      <xdr:nvPicPr>
        <xdr:cNvPr id="3" name="Picture 2" descr="Department for Transport - Wikipedia">
          <a:extLst>
            <a:ext uri="{FF2B5EF4-FFF2-40B4-BE49-F238E27FC236}">
              <a16:creationId xmlns:a16="http://schemas.microsoft.com/office/drawing/2014/main" id="{B41334CD-8AC6-4B7A-8831-882A92934A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8825"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25400</xdr:colOff>
      <xdr:row>0</xdr:row>
      <xdr:rowOff>0</xdr:rowOff>
    </xdr:from>
    <xdr:to>
      <xdr:col>5</xdr:col>
      <xdr:colOff>800100</xdr:colOff>
      <xdr:row>2</xdr:row>
      <xdr:rowOff>26904</xdr:rowOff>
    </xdr:to>
    <xdr:pic>
      <xdr:nvPicPr>
        <xdr:cNvPr id="3" name="Picture 2" descr="Department for Transport - Wikipedia">
          <a:extLst>
            <a:ext uri="{FF2B5EF4-FFF2-40B4-BE49-F238E27FC236}">
              <a16:creationId xmlns:a16="http://schemas.microsoft.com/office/drawing/2014/main" id="{2172817A-AA98-432F-826A-0101F2371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02750"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5</xdr:col>
      <xdr:colOff>762192</xdr:colOff>
      <xdr:row>2</xdr:row>
      <xdr:rowOff>44450</xdr:rowOff>
    </xdr:to>
    <xdr:pic>
      <xdr:nvPicPr>
        <xdr:cNvPr id="3" name="Picture 2" descr="Department for Transport - Wikipedia">
          <a:extLst>
            <a:ext uri="{FF2B5EF4-FFF2-40B4-BE49-F238E27FC236}">
              <a16:creationId xmlns:a16="http://schemas.microsoft.com/office/drawing/2014/main" id="{9AF14129-5148-44BA-A2D0-80271CA184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1009842"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53975</xdr:colOff>
      <xdr:row>0</xdr:row>
      <xdr:rowOff>0</xdr:rowOff>
    </xdr:from>
    <xdr:to>
      <xdr:col>7</xdr:col>
      <xdr:colOff>457392</xdr:colOff>
      <xdr:row>2</xdr:row>
      <xdr:rowOff>48895</xdr:rowOff>
    </xdr:to>
    <xdr:pic>
      <xdr:nvPicPr>
        <xdr:cNvPr id="5" name="Picture 4" descr="Department for Transport - Wikipedia">
          <a:extLst>
            <a:ext uri="{FF2B5EF4-FFF2-40B4-BE49-F238E27FC236}">
              <a16:creationId xmlns:a16="http://schemas.microsoft.com/office/drawing/2014/main" id="{D665DF20-87E1-4E58-BB79-A06CC5B5B9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97700" y="0"/>
          <a:ext cx="1013017"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44450</xdr:colOff>
      <xdr:row>0</xdr:row>
      <xdr:rowOff>0</xdr:rowOff>
    </xdr:from>
    <xdr:to>
      <xdr:col>5</xdr:col>
      <xdr:colOff>1028700</xdr:colOff>
      <xdr:row>2</xdr:row>
      <xdr:rowOff>26904</xdr:rowOff>
    </xdr:to>
    <xdr:pic>
      <xdr:nvPicPr>
        <xdr:cNvPr id="3" name="Picture 2" descr="Department for Transport - Wikipedia">
          <a:extLst>
            <a:ext uri="{FF2B5EF4-FFF2-40B4-BE49-F238E27FC236}">
              <a16:creationId xmlns:a16="http://schemas.microsoft.com/office/drawing/2014/main" id="{9531128F-BDC4-4F3D-8A20-C31567DD25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50150"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38100</xdr:colOff>
      <xdr:row>0</xdr:row>
      <xdr:rowOff>0</xdr:rowOff>
    </xdr:from>
    <xdr:to>
      <xdr:col>6</xdr:col>
      <xdr:colOff>1016000</xdr:colOff>
      <xdr:row>2</xdr:row>
      <xdr:rowOff>30079</xdr:rowOff>
    </xdr:to>
    <xdr:pic>
      <xdr:nvPicPr>
        <xdr:cNvPr id="4" name="Picture 3" descr="Department for Transport - Wikipedia">
          <a:extLst>
            <a:ext uri="{FF2B5EF4-FFF2-40B4-BE49-F238E27FC236}">
              <a16:creationId xmlns:a16="http://schemas.microsoft.com/office/drawing/2014/main" id="{0AF1C815-D109-4429-994B-719962E79E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6725" y="0"/>
          <a:ext cx="97790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40823</xdr:colOff>
      <xdr:row>0</xdr:row>
      <xdr:rowOff>11906</xdr:rowOff>
    </xdr:from>
    <xdr:to>
      <xdr:col>5</xdr:col>
      <xdr:colOff>1021898</xdr:colOff>
      <xdr:row>2</xdr:row>
      <xdr:rowOff>18853</xdr:rowOff>
    </xdr:to>
    <xdr:pic>
      <xdr:nvPicPr>
        <xdr:cNvPr id="3" name="Picture 2" descr="Department for Transport - Wikipedia">
          <a:extLst>
            <a:ext uri="{FF2B5EF4-FFF2-40B4-BE49-F238E27FC236}">
              <a16:creationId xmlns:a16="http://schemas.microsoft.com/office/drawing/2014/main" id="{EBD205B2-BDDA-494B-B14A-D9FB19C969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36698" y="11906"/>
          <a:ext cx="977900" cy="5784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38100</xdr:colOff>
      <xdr:row>0</xdr:row>
      <xdr:rowOff>9525</xdr:rowOff>
    </xdr:from>
    <xdr:to>
      <xdr:col>5</xdr:col>
      <xdr:colOff>1025525</xdr:colOff>
      <xdr:row>2</xdr:row>
      <xdr:rowOff>36429</xdr:rowOff>
    </xdr:to>
    <xdr:pic>
      <xdr:nvPicPr>
        <xdr:cNvPr id="3" name="Picture 2" descr="Department for Transport - Wikipedia">
          <a:extLst>
            <a:ext uri="{FF2B5EF4-FFF2-40B4-BE49-F238E27FC236}">
              <a16:creationId xmlns:a16="http://schemas.microsoft.com/office/drawing/2014/main" id="{90E6A5D5-9688-4AB6-9A2A-89C833A029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19625" y="9525"/>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44450</xdr:colOff>
      <xdr:row>0</xdr:row>
      <xdr:rowOff>0</xdr:rowOff>
    </xdr:from>
    <xdr:to>
      <xdr:col>5</xdr:col>
      <xdr:colOff>904432</xdr:colOff>
      <xdr:row>2</xdr:row>
      <xdr:rowOff>48260</xdr:rowOff>
    </xdr:to>
    <xdr:pic>
      <xdr:nvPicPr>
        <xdr:cNvPr id="2" name="Picture 1" descr="Department for Transport - Wikipedia">
          <a:extLst>
            <a:ext uri="{FF2B5EF4-FFF2-40B4-BE49-F238E27FC236}">
              <a16:creationId xmlns:a16="http://schemas.microsoft.com/office/drawing/2014/main" id="{9170D350-1389-49AB-90B8-3FE9945109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68800" y="0"/>
          <a:ext cx="1006667"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DC52799-EF10-4FBD-B368-20CDDA21946C}" name="RF_Method" displayName="RF_Method" ref="D16:D18" totalsRowShown="0" headerRowDxfId="69" dataDxfId="68" tableBorderDxfId="67">
  <tableColumns count="1">
    <tableColumn id="1" xr3:uid="{22DCA0B7-2EEF-477E-8215-C1ECA288C90B}" name="Reimbursement Factor Calculation Method" dataDxfId="6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A4338F-1431-4151-8C46-51AE07534CD5}" name="Default_Local" displayName="Default_Local" ref="D20:D22" totalsRowShown="0" headerRowDxfId="65" dataDxfId="64">
  <tableColumns count="1">
    <tableColumn id="1" xr3:uid="{12593DAA-CC58-4B03-93B7-7F5536D4B265}" name="Default or Local" dataDxfId="6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B0574B3-AC55-4403-A61D-89B02BA4DB22}" name="Yes_No" displayName="Yes_No" ref="D24:D26" totalsRowShown="0" headerRowDxfId="62" dataDxfId="61">
  <tableColumns count="1">
    <tableColumn id="1" xr3:uid="{8743D7A6-216C-4272-814D-A385B25E4177}" name="Yes or No" dataDxfId="6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8993714-5573-4550-997F-D90619D41924}" name="AFF_Method" displayName="AFF_Method" ref="D28:D32" totalsRowShown="0" headerRowDxfId="59" dataDxfId="58" tableBorderDxfId="57">
  <tableColumns count="1">
    <tableColumn id="1" xr3:uid="{61DC41D0-B39A-4EF0-A7DE-0EAEC3756BA0}" name="Average Fare Forgone Calculation Method" dataDxfId="5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746C26-21C3-4037-A94F-3A5983390EBA}" name="Area_Type" displayName="Area_Type" ref="D12:D14" totalsRowShown="0" headerRowDxfId="55" dataDxfId="54" tableBorderDxfId="53">
  <tableColumns count="1">
    <tableColumn id="1" xr3:uid="{26E35874-A60C-4DCD-AC76-73BD7C8E3EFB}" name="Area Type" dataDxfId="52"/>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3A0377-B394-41EC-9675-1704530B4F77}" name="Year" displayName="Year" ref="D6:D10" totalsRowShown="0" headerRowDxfId="51" dataDxfId="50">
  <tableColumns count="1">
    <tableColumn id="1" xr3:uid="{4C1BFDA1-8116-4A57-B552-95BEDF431939}" name="Year" dataDxfId="49"/>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B2E29C-0CB2-4025-A06E-B4371F6B945D}" name="Area_Type2" displayName="Area_Type2" ref="D34:D39" totalsRowShown="0" headerRowDxfId="48" dataDxfId="47" tableBorderDxfId="46">
  <tableColumns count="1">
    <tableColumn id="1" xr3:uid="{0F734DF6-F4A8-435A-B4F4-E323069BE01C}" name="Lookup Tables" dataDxfId="45"/>
  </tableColumns>
  <tableStyleInfo showFirstColumn="0" showLastColumn="0" showRowStripes="1" showColumnStripes="0"/>
</table>
</file>

<file path=xl/theme/theme1.xml><?xml version="1.0" encoding="utf-8"?>
<a:theme xmlns:a="http://schemas.openxmlformats.org/drawingml/2006/main" name="Office Theme">
  <a:themeElements>
    <a:clrScheme name="DfT Theme">
      <a:dk1>
        <a:srgbClr val="232323"/>
      </a:dk1>
      <a:lt1>
        <a:sysClr val="window" lastClr="FFFFFF"/>
      </a:lt1>
      <a:dk2>
        <a:srgbClr val="626262"/>
      </a:dk2>
      <a:lt2>
        <a:srgbClr val="EEF1F2"/>
      </a:lt2>
      <a:accent1>
        <a:srgbClr val="006853"/>
      </a:accent1>
      <a:accent2>
        <a:srgbClr val="15B542"/>
      </a:accent2>
      <a:accent3>
        <a:srgbClr val="1DE9B6"/>
      </a:accent3>
      <a:accent4>
        <a:srgbClr val="0082CA"/>
      </a:accent4>
      <a:accent5>
        <a:srgbClr val="E60000"/>
      </a:accent5>
      <a:accent6>
        <a:srgbClr val="FE5500"/>
      </a:accent6>
      <a:hlink>
        <a:srgbClr val="001A7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hyperlink" Target="https://obr.uk/efo/economic-and-fiscal-outlook-november-2025/" TargetMode="External"/><Relationship Id="rId3" Type="http://schemas.openxmlformats.org/officeDocument/2006/relationships/hyperlink" Target="https://www.gov.uk/government/publications/guidance-on-reimbursing-bus-operators-for-concessionary-travel" TargetMode="External"/><Relationship Id="rId7" Type="http://schemas.openxmlformats.org/officeDocument/2006/relationships/hyperlink" Target="https://obr.uk/efo/economic-and-fiscal-outlook-november-2025/" TargetMode="External"/><Relationship Id="rId2" Type="http://schemas.openxmlformats.org/officeDocument/2006/relationships/hyperlink" Target="https://www.gov.uk/government/publications/tag-data-book" TargetMode="External"/><Relationship Id="rId1" Type="http://schemas.openxmlformats.org/officeDocument/2006/relationships/hyperlink" Target="https://www.ons.gov.uk/employmentandlabourmarket/peopleinwork/earningsandworkinghours/timeseries/k5b7/emp" TargetMode="External"/><Relationship Id="rId6" Type="http://schemas.openxmlformats.org/officeDocument/2006/relationships/hyperlink" Target="https://www.gov.uk/government/statistical-data-sets/oil-and-petroleum-products-monthly-statistics" TargetMode="External"/><Relationship Id="rId5" Type="http://schemas.openxmlformats.org/officeDocument/2006/relationships/hyperlink" Target="https://www.gov.uk/government/publications/concessionary-bus-travel-reimbursement-calculator" TargetMode="External"/><Relationship Id="rId10" Type="http://schemas.openxmlformats.org/officeDocument/2006/relationships/drawing" Target="../drawings/drawing2.xml"/><Relationship Id="rId4" Type="http://schemas.openxmlformats.org/officeDocument/2006/relationships/hyperlink" Target="https://www.ons.gov.uk/economy/inflationandpriceindices/timeseries/d7bt/mm23" TargetMode="External"/><Relationship Id="rId9"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18B5E-93F5-4EDF-9D0C-0716E97F9666}">
  <sheetPr>
    <tabColor theme="3"/>
  </sheetPr>
  <dimension ref="A1:T98"/>
  <sheetViews>
    <sheetView showGridLines="0" topLeftCell="A34" workbookViewId="0"/>
  </sheetViews>
  <sheetFormatPr defaultColWidth="8.7109375" defaultRowHeight="15.6"/>
  <cols>
    <col min="1" max="1" width="6.85546875" style="6" customWidth="1"/>
    <col min="2" max="2" width="1.5703125" style="7" customWidth="1"/>
    <col min="3" max="3" width="1.28515625" style="7" customWidth="1"/>
    <col min="4" max="4" width="51.140625" style="8" customWidth="1"/>
    <col min="5" max="5" width="113.5703125" style="9" bestFit="1" customWidth="1"/>
    <col min="6" max="6" width="25.5703125" style="10" customWidth="1"/>
    <col min="7" max="7" width="20.5703125" style="10" customWidth="1"/>
    <col min="8" max="8" width="26.140625" style="10" bestFit="1" customWidth="1"/>
    <col min="9" max="9" width="19.85546875" style="10" customWidth="1"/>
    <col min="10" max="19" width="8.7109375" style="10"/>
    <col min="20" max="20" width="0.5703125" style="7" customWidth="1"/>
    <col min="21" max="16384" width="8.7109375" style="10"/>
  </cols>
  <sheetData>
    <row r="1" spans="1:20" ht="26.1">
      <c r="A1" s="34" t="s">
        <v>0</v>
      </c>
      <c r="B1" s="35"/>
      <c r="C1" s="35"/>
      <c r="D1" s="36"/>
      <c r="E1" s="38"/>
    </row>
    <row r="2" spans="1:20" ht="18.95" customHeight="1">
      <c r="A2" s="37" t="s">
        <v>1</v>
      </c>
      <c r="B2" s="35"/>
      <c r="C2" s="35"/>
      <c r="D2" s="36"/>
      <c r="E2" s="38"/>
    </row>
    <row r="4" spans="1:20">
      <c r="A4" s="43"/>
      <c r="B4" s="31"/>
      <c r="C4" s="31"/>
      <c r="D4" s="44" t="s">
        <v>2</v>
      </c>
      <c r="E4" s="38"/>
      <c r="F4" s="39"/>
      <c r="G4" s="39"/>
      <c r="H4" s="39"/>
      <c r="I4" s="39"/>
      <c r="J4" s="39"/>
      <c r="K4" s="39"/>
      <c r="L4" s="39"/>
      <c r="M4" s="39"/>
      <c r="N4" s="39"/>
      <c r="O4" s="39"/>
      <c r="P4" s="39"/>
      <c r="Q4" s="39"/>
      <c r="R4" s="39"/>
      <c r="S4" s="39"/>
      <c r="T4" s="11"/>
    </row>
    <row r="6" spans="1:20" customFormat="1">
      <c r="D6" s="10" t="s">
        <v>3</v>
      </c>
    </row>
    <row r="7" spans="1:20" customFormat="1">
      <c r="D7" s="10"/>
    </row>
    <row r="8" spans="1:20" customFormat="1">
      <c r="D8" s="10" t="s">
        <v>4</v>
      </c>
    </row>
    <row r="9" spans="1:20" customFormat="1">
      <c r="D9" s="10" t="s">
        <v>5</v>
      </c>
    </row>
    <row r="10" spans="1:20" customFormat="1">
      <c r="D10" s="10"/>
    </row>
    <row r="11" spans="1:20" customFormat="1">
      <c r="D11" s="10" t="s">
        <v>6</v>
      </c>
    </row>
    <row r="12" spans="1:20" customFormat="1">
      <c r="D12" s="10" t="s">
        <v>7</v>
      </c>
    </row>
    <row r="13" spans="1:20" customFormat="1">
      <c r="D13" s="10"/>
    </row>
    <row r="14" spans="1:20" customFormat="1">
      <c r="D14" s="10" t="s">
        <v>8</v>
      </c>
    </row>
    <row r="15" spans="1:20" customFormat="1" ht="15.95" thickBot="1">
      <c r="D15" s="10"/>
    </row>
    <row r="16" spans="1:20" customFormat="1">
      <c r="D16" s="224" t="s">
        <v>9</v>
      </c>
    </row>
    <row r="17" spans="1:20" customFormat="1">
      <c r="D17" s="225" t="s">
        <v>10</v>
      </c>
    </row>
    <row r="18" spans="1:20" customFormat="1">
      <c r="D18" s="300" t="s">
        <v>11</v>
      </c>
      <c r="E18" s="9"/>
    </row>
    <row r="19" spans="1:20" customFormat="1">
      <c r="D19" s="226" t="s">
        <v>12</v>
      </c>
    </row>
    <row r="20" spans="1:20" customFormat="1" ht="15.95" thickBot="1">
      <c r="D20" s="299" t="s">
        <v>13</v>
      </c>
      <c r="E20" s="9"/>
    </row>
    <row r="21" spans="1:20" customFormat="1">
      <c r="D21" s="227"/>
    </row>
    <row r="22" spans="1:20" customFormat="1">
      <c r="D22" s="10" t="s">
        <v>14</v>
      </c>
      <c r="F22" s="228"/>
    </row>
    <row r="23" spans="1:20" customFormat="1">
      <c r="D23" s="75" t="s">
        <v>15</v>
      </c>
      <c r="F23" s="228"/>
    </row>
    <row r="24" spans="1:20" customFormat="1">
      <c r="D24" s="10"/>
    </row>
    <row r="25" spans="1:20">
      <c r="A25" s="43"/>
      <c r="B25" s="31"/>
      <c r="C25" s="31"/>
      <c r="D25" s="44" t="s">
        <v>16</v>
      </c>
      <c r="E25" s="38"/>
      <c r="F25" s="39"/>
      <c r="G25" s="39"/>
      <c r="H25" s="39"/>
      <c r="I25" s="39"/>
      <c r="J25" s="39"/>
      <c r="K25" s="39"/>
      <c r="L25" s="39"/>
      <c r="M25" s="39"/>
      <c r="N25" s="39"/>
      <c r="O25" s="39"/>
      <c r="P25" s="39"/>
      <c r="Q25" s="39"/>
      <c r="R25" s="39"/>
      <c r="S25" s="39"/>
      <c r="T25" s="11"/>
    </row>
    <row r="26" spans="1:20" customFormat="1" ht="14.45"/>
    <row r="27" spans="1:20" customFormat="1">
      <c r="D27" s="10"/>
    </row>
    <row r="28" spans="1:20" customFormat="1">
      <c r="D28" s="230" t="s">
        <v>17</v>
      </c>
      <c r="E28" s="230" t="s">
        <v>18</v>
      </c>
    </row>
    <row r="29" spans="1:20" customFormat="1">
      <c r="D29" s="339" t="str" cm="1">
        <f t="array" aca="1" ref="D29" ca="1">HYPERLINK("#"&amp;CELL("address",A1),A1)</f>
        <v>Concessionary Reimbursement Calculator - Contents</v>
      </c>
      <c r="E29" s="291" t="str">
        <f>A2</f>
        <v>This sheet provides guidance on the formatting, contents and structure of the Calculator</v>
      </c>
    </row>
    <row r="30" spans="1:20" customFormat="1">
      <c r="D30" s="339" t="str" cm="1">
        <f t="array" aca="1" ref="D30" ca="1">HYPERLINK("#"&amp;CELL("address",Instructions!A1),Instructions!A1)</f>
        <v>Instructions</v>
      </c>
      <c r="E30" s="291" t="str">
        <f>Instructions!A2</f>
        <v>This sheet provides instructions on the calculator methodology, inputs, and outputs.</v>
      </c>
    </row>
    <row r="31" spans="1:20" customFormat="1">
      <c r="D31" s="340" t="str" cm="1">
        <f t="array" aca="1" ref="D31" ca="1">HYPERLINK("#"&amp;CELL("address",Lists!A1),Lists!A1)</f>
        <v>Lists</v>
      </c>
      <c r="E31" s="177" t="str">
        <f>Lists!A2</f>
        <v>This sheet records the lists used in the dropdown inputs</v>
      </c>
    </row>
    <row r="32" spans="1:20" customFormat="1">
      <c r="D32" s="288" t="s">
        <v>19</v>
      </c>
      <c r="E32" s="288"/>
    </row>
    <row r="33" spans="4:5" customFormat="1">
      <c r="D33" s="341" t="str" cm="1">
        <f t="array" aca="1" ref="D33" ca="1">HYPERLINK("#"&amp;CELL("address",'General Inputs'!A1),'General Inputs'!A1)</f>
        <v>General Inputs</v>
      </c>
      <c r="E33" s="287" t="str">
        <f>'General Inputs'!A2</f>
        <v>This sheet records the user's selected methodologies and mandatory inputs</v>
      </c>
    </row>
    <row r="34" spans="4:5" customFormat="1">
      <c r="D34" s="339" t="str" cm="1">
        <f t="array" aca="1" ref="D34" ca="1">HYPERLINK("#"&amp;CELL("address",'AF - Basket of Fares'!A1),'AF - Basket of Fares'!A1)</f>
        <v>Average Fare - Basket of Fares Inputs</v>
      </c>
      <c r="E34" s="291" t="str">
        <f>'AF - Basket of Fares'!A2</f>
        <v>This sheet records the user's inputs to calculate the Average Fare using the Basket of Fares method</v>
      </c>
    </row>
    <row r="35" spans="4:5" customFormat="1">
      <c r="D35" s="339" t="str" cm="1">
        <f t="array" aca="1" ref="D35" ca="1">HYPERLINK("#"&amp;CELL("address",'AF - Discount Factor'!A1),'AF - Discount Factor'!A1)</f>
        <v>Average Fare - Discount Factor Inputs</v>
      </c>
      <c r="E35" s="291" t="str">
        <f>'AF - Discount Factor'!A2</f>
        <v>This sheet records the user's inputs to calculate the Discount Factor using the Discount Factor method</v>
      </c>
    </row>
    <row r="36" spans="4:5" customFormat="1">
      <c r="D36" s="339" t="str" cm="1">
        <f t="array" aca="1" ref="D36" ca="1">HYPERLINK("#"&amp;CELL("address",'Marginal Capacity Costs Inputs'!A1),'Marginal Capacity Costs Inputs'!A1)</f>
        <v>Marginal Capacity Costs Inputs</v>
      </c>
      <c r="E36" s="291" t="str">
        <f>'Marginal Capacity Costs Inputs'!A2</f>
        <v>This sheet records the user's inputs to calculate Marginal Capacity Costs</v>
      </c>
    </row>
    <row r="37" spans="4:5" customFormat="1">
      <c r="D37" s="340" t="str" cm="1">
        <f t="array" aca="1" ref="D37" ca="1">HYPERLINK("#"&amp;CELL("address",Inflation!A1),Inflation!A1)</f>
        <v>Inflation Inputs</v>
      </c>
      <c r="E37" s="177" t="str">
        <f>Inflation!A2</f>
        <v xml:space="preserve">This sheet records the user's inputs to update inflation. </v>
      </c>
    </row>
    <row r="38" spans="4:5" customFormat="1">
      <c r="D38" s="51" t="s">
        <v>20</v>
      </c>
      <c r="E38" s="51"/>
    </row>
    <row r="39" spans="4:5" customFormat="1">
      <c r="D39" s="341" t="str" cm="1">
        <f t="array" aca="1" ref="D39" ca="1">HYPERLINK("#"&amp;CELL("address",Outputs!A1),Outputs!A1)</f>
        <v>Outputs</v>
      </c>
      <c r="E39" s="342" t="str">
        <f>Outputs!A2</f>
        <v>This sheet gathers all of the Calculator outputs</v>
      </c>
    </row>
    <row r="40" spans="4:5" customFormat="1">
      <c r="D40" s="340" t="str" cm="1">
        <f t="array" aca="1" ref="D40" ca="1">HYPERLINK("#"&amp;CELL("address",'Marginal Capacity Costs Outputs'!A1),'Marginal Capacity Costs Outputs'!A1)</f>
        <v>Marginal Capacity Costs Outputs</v>
      </c>
      <c r="E40" s="343" t="str">
        <f>'Marginal Capacity Costs Outputs'!A2</f>
        <v>This sheet gathers the detailed Marginal Capacity Costs outputs at network level</v>
      </c>
    </row>
    <row r="41" spans="4:5" customFormat="1">
      <c r="D41" s="289" t="s">
        <v>12</v>
      </c>
      <c r="E41" s="289"/>
    </row>
    <row r="42" spans="4:5" customFormat="1">
      <c r="D42" s="341" t="str" cm="1">
        <f t="array" aca="1" ref="D42" ca="1">HYPERLINK("#"&amp;CELL("address",'Discount Factor - Calculations'!A1),'Discount Factor - Calculations'!A1)</f>
        <v>Average Fare Calculations - Discount Factor Method</v>
      </c>
      <c r="E42" s="287" t="str">
        <f>'Discount Factor - Calculations'!A2</f>
        <v>This sheet contains the calculations to derive the Average Fare via the Discount Factor method</v>
      </c>
    </row>
    <row r="43" spans="4:5" customFormat="1">
      <c r="D43" s="339" t="str" cm="1">
        <f t="array" aca="1" ref="D43" ca="1">HYPERLINK("#"&amp;CELL("address",'Basket of Fares - Calculations'!A1),'Basket of Fares - Calculations'!A1)</f>
        <v>Average Fare Calculations - Basket of Fares Method</v>
      </c>
      <c r="E43" s="291" t="str">
        <f>'Basket of Fares - Calculations'!A2</f>
        <v>This sheet contains the calculations to derive the Average Fare via the Basket of Fares method</v>
      </c>
    </row>
    <row r="44" spans="4:5" customFormat="1">
      <c r="D44" s="339" t="str" cm="1">
        <f t="array" aca="1" ref="D44" ca="1">HYPERLINK("#"&amp;CELL("address",'RF - Calculations'!A1),'RF - Calculations'!A1)</f>
        <v>Reimbursement Factor Calculations</v>
      </c>
      <c r="E44" s="291" t="str">
        <f>'RF - Calculations'!A2</f>
        <v>This sheet contains the calculations to derive the Reimbursement Factor</v>
      </c>
    </row>
    <row r="45" spans="4:5" customFormat="1">
      <c r="D45" s="339" t="str" cm="1">
        <f t="array" aca="1" ref="D45" ca="1">HYPERLINK("#"&amp;CELL("address",'MOC - Calculations'!A1),'MOC - Calculations'!A1)</f>
        <v>Marginal Operating Costs Calculations</v>
      </c>
      <c r="E45" s="291" t="str">
        <f>'MOC - Calculations'!A2</f>
        <v>This sheet contains the calculations to derive the Marginal Operating Costs</v>
      </c>
    </row>
    <row r="46" spans="4:5" customFormat="1">
      <c r="D46" s="339" t="str" cm="1">
        <f t="array" aca="1" ref="D46" ca="1">HYPERLINK("#"&amp;CELL("address",'MCC - Calculations'!A1),'MCC - Calculations'!A1)</f>
        <v>Marginal Capacity Costs Calculations</v>
      </c>
      <c r="E46" s="291" t="str">
        <f>'MCC - Calculations'!A2</f>
        <v>This sheet contains the calculations to derive the Marginal Capacity Costs</v>
      </c>
    </row>
    <row r="47" spans="4:5" customFormat="1">
      <c r="D47" s="339" t="str" cm="1">
        <f t="array" aca="1" ref="D47" ca="1">HYPERLINK("#"&amp;CELL("address",'Inflation - Calculations'!A1),'Inflation - Calculations'!A1)</f>
        <v>Inflation Calculations</v>
      </c>
      <c r="E47" s="291" t="str">
        <f>'Inflation - Calculations'!A2</f>
        <v>This sheet contains the calculations to derive Inflation</v>
      </c>
    </row>
    <row r="48" spans="4:5" customFormat="1">
      <c r="D48" s="340" t="str" cm="1">
        <f t="array" aca="1" ref="D48" ca="1">HYPERLINK("#"&amp;CELL("address",'Lookup Table'!A1),'Lookup Table'!A1)</f>
        <v>Lookup Table Selection</v>
      </c>
      <c r="E48" s="177" t="str">
        <f>'Lookup Table'!A2</f>
        <v>This sheet references the lookup table selected by the user to calculate the Average Fare using the Discount Factor method</v>
      </c>
    </row>
    <row r="49" spans="1:20" customFormat="1">
      <c r="D49" s="290" t="s">
        <v>21</v>
      </c>
      <c r="E49" s="290"/>
    </row>
    <row r="50" spans="1:20" customFormat="1">
      <c r="D50" s="341" t="str" cm="1">
        <f t="array" aca="1" ref="D50" ca="1">HYPERLINK("#"&amp;CELL("address",'Lookup Tables Options'!A1),'Lookup Tables Options'!A1)</f>
        <v>Lookup Tables Options</v>
      </c>
      <c r="E50" s="287" t="str">
        <f>'Lookup Tables Options'!A2</f>
        <v>This sheet gives the four lookup tables options used to calculate the Average Fare using the Discount Factor method, and an additional slot to include a custom lookup table</v>
      </c>
    </row>
    <row r="51" spans="1:20" customFormat="1">
      <c r="D51" s="340" t="str" cm="1">
        <f t="array" aca="1" ref="D51" ca="1">HYPERLINK("#"&amp;CELL("address",'Calculation Parameters'!A1),'Calculation Parameters'!A1)</f>
        <v>Calculation Parameters</v>
      </c>
      <c r="E51" s="177" t="str">
        <f>'Calculation Parameters'!A2</f>
        <v>This sheet lists all the model parameters used to derive the Calculator outputs</v>
      </c>
    </row>
    <row r="52" spans="1:20" customFormat="1">
      <c r="D52" s="10"/>
    </row>
    <row r="53" spans="1:20" customFormat="1">
      <c r="D53" s="10"/>
    </row>
    <row r="54" spans="1:20" customFormat="1">
      <c r="D54" s="10"/>
    </row>
    <row r="55" spans="1:20">
      <c r="A55" s="43"/>
      <c r="B55" s="31"/>
      <c r="C55" s="31"/>
      <c r="D55" s="44" t="s">
        <v>22</v>
      </c>
      <c r="E55" s="38"/>
      <c r="F55" s="39"/>
      <c r="G55" s="39"/>
      <c r="H55" s="39"/>
      <c r="I55" s="39"/>
      <c r="J55" s="39"/>
      <c r="K55" s="39"/>
      <c r="L55" s="39"/>
      <c r="M55" s="39"/>
      <c r="N55" s="39"/>
      <c r="O55" s="39"/>
      <c r="P55" s="39"/>
      <c r="Q55" s="39"/>
      <c r="R55" s="39"/>
      <c r="S55" s="39"/>
      <c r="T55" s="11"/>
    </row>
    <row r="98" spans="1:20">
      <c r="A98" s="43"/>
      <c r="B98" s="31"/>
      <c r="C98" s="31"/>
      <c r="D98" s="44" t="s">
        <v>23</v>
      </c>
      <c r="E98" s="38"/>
      <c r="F98" s="39"/>
      <c r="G98" s="39"/>
      <c r="H98" s="39"/>
      <c r="I98" s="39"/>
      <c r="J98" s="39"/>
      <c r="K98" s="39"/>
      <c r="L98" s="39"/>
      <c r="M98" s="39"/>
      <c r="N98" s="39"/>
      <c r="O98" s="39"/>
      <c r="P98" s="39"/>
      <c r="Q98" s="39"/>
      <c r="R98" s="39"/>
      <c r="S98" s="39"/>
      <c r="T98" s="11"/>
    </row>
  </sheetData>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61011-F807-46FC-B73F-696979DDF962}">
  <sheetPr codeName="Sheet10">
    <tabColor theme="4"/>
  </sheetPr>
  <dimension ref="A1"/>
  <sheetViews>
    <sheetView showGridLines="0"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D8D79-F05E-474B-B24C-2F4E5A1E2539}">
  <sheetPr codeName="Sheet11">
    <tabColor theme="4" tint="0.79998168889431442"/>
  </sheetPr>
  <dimension ref="A1:Y121"/>
  <sheetViews>
    <sheetView showGridLines="0" topLeftCell="A26" workbookViewId="0">
      <selection activeCell="D12" sqref="D12"/>
    </sheetView>
  </sheetViews>
  <sheetFormatPr defaultRowHeight="15.6"/>
  <cols>
    <col min="1" max="1" width="6.85546875" style="6" customWidth="1"/>
    <col min="2" max="2" width="1.5703125" style="7" customWidth="1"/>
    <col min="3" max="3" width="1.28515625" style="7" customWidth="1"/>
    <col min="4" max="4" width="52.42578125" style="7" customWidth="1"/>
    <col min="5" max="5" width="2.140625" customWidth="1"/>
    <col min="6" max="6" width="31.140625" style="63" customWidth="1"/>
    <col min="10" max="10" width="11" bestFit="1" customWidth="1"/>
  </cols>
  <sheetData>
    <row r="1" spans="1:25" s="10" customFormat="1" ht="26.1">
      <c r="A1" s="47" t="s">
        <v>11</v>
      </c>
      <c r="B1" s="35"/>
      <c r="C1" s="35"/>
      <c r="D1" s="36"/>
      <c r="E1" s="9"/>
      <c r="F1" s="185"/>
      <c r="T1" s="7"/>
    </row>
    <row r="2" spans="1:25" s="10" customFormat="1" ht="18.95" customHeight="1">
      <c r="A2" s="48" t="s">
        <v>272</v>
      </c>
      <c r="B2" s="35"/>
      <c r="C2" s="35"/>
      <c r="D2" s="36"/>
      <c r="E2" s="9"/>
      <c r="F2" s="185"/>
      <c r="T2" s="7"/>
    </row>
    <row r="3" spans="1:25" s="10" customFormat="1" ht="17.45" customHeight="1">
      <c r="A3" s="6"/>
      <c r="B3" s="7"/>
      <c r="C3" s="7"/>
      <c r="D3" s="8"/>
      <c r="E3" s="9"/>
      <c r="F3" s="185"/>
      <c r="T3" s="7"/>
    </row>
    <row r="4" spans="1:25" s="10" customFormat="1">
      <c r="A4" s="43"/>
      <c r="B4" s="31"/>
      <c r="C4" s="31"/>
      <c r="D4" s="46" t="s">
        <v>227</v>
      </c>
      <c r="E4" s="44"/>
      <c r="F4" s="38"/>
      <c r="G4" s="39"/>
      <c r="H4" s="39"/>
      <c r="I4" s="39"/>
      <c r="J4" s="39"/>
      <c r="K4" s="39"/>
      <c r="L4" s="39"/>
      <c r="M4" s="39"/>
      <c r="N4" s="39"/>
      <c r="O4" s="39"/>
      <c r="P4" s="39"/>
      <c r="Q4" s="39"/>
      <c r="R4" s="39"/>
      <c r="S4" s="39"/>
      <c r="T4" s="39"/>
      <c r="U4" s="31"/>
      <c r="V4" s="31"/>
      <c r="W4" s="31"/>
      <c r="X4" s="31"/>
      <c r="Y4" s="31"/>
    </row>
    <row r="5" spans="1:25">
      <c r="D5" s="329"/>
    </row>
    <row r="6" spans="1:25">
      <c r="D6" s="326" t="str" cm="1">
        <f t="array" aca="1" ref="D6" ca="1">HYPERLINK("#"&amp;CELL("address",Instructions),"Instructions")</f>
        <v>Instructions</v>
      </c>
    </row>
    <row r="7" spans="1:25">
      <c r="D7" s="326" t="str" cm="1">
        <f t="array" aca="1" ref="D7" ca="1">HYPERLINK("#"&amp;CELL("address",Gen_Input),"General Inputs")</f>
        <v>General Inputs</v>
      </c>
    </row>
    <row r="8" spans="1:25">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5">
      <c r="D9" s="327" t="str" cm="1">
        <f t="array" aca="1" ref="D9" ca="1">IF(MCC_Choice="No","",HYPERLINK("#"&amp;CELL("address",MCC_Input),"Marginal Capacity Costs Inputs"))</f>
        <v>Marginal Capacity Costs Inputs</v>
      </c>
    </row>
    <row r="10" spans="1:25">
      <c r="D10" s="327" t="str" cm="1">
        <f t="array" aca="1" ref="D10" ca="1">IF(MCC_Choice="No","",HYPERLINK("#"&amp;CELL("address",MCC_Outputs),"Marginal Capacity Costs Outputs"))</f>
        <v>Marginal Capacity Costs Outputs</v>
      </c>
    </row>
    <row r="11" spans="1:25">
      <c r="D11" s="329"/>
    </row>
    <row r="12" spans="1:25" s="10" customFormat="1">
      <c r="A12" s="43"/>
      <c r="B12" s="31"/>
      <c r="C12" s="31"/>
      <c r="D12" s="46" t="s">
        <v>11</v>
      </c>
      <c r="E12" s="44"/>
      <c r="F12" s="38"/>
      <c r="G12" s="39"/>
      <c r="H12" s="39"/>
      <c r="I12" s="39"/>
      <c r="J12" s="39"/>
      <c r="K12" s="39"/>
      <c r="L12" s="39"/>
      <c r="M12" s="39"/>
      <c r="N12" s="39"/>
      <c r="O12" s="39"/>
      <c r="P12" s="39"/>
      <c r="Q12" s="39"/>
      <c r="R12" s="39"/>
      <c r="S12" s="39"/>
      <c r="T12" s="39"/>
      <c r="U12" s="31"/>
      <c r="V12" s="31"/>
      <c r="W12" s="31"/>
      <c r="X12" s="31"/>
      <c r="Y12" s="31"/>
    </row>
    <row r="13" spans="1:25" ht="14.45">
      <c r="A13"/>
      <c r="B13"/>
      <c r="C13"/>
      <c r="D13"/>
    </row>
    <row r="14" spans="1:25" s="10" customFormat="1">
      <c r="A14" s="43"/>
      <c r="B14" s="31"/>
      <c r="C14" s="31"/>
      <c r="D14" s="46" t="s">
        <v>273</v>
      </c>
      <c r="E14" s="44"/>
      <c r="F14" s="38"/>
      <c r="G14" s="39"/>
      <c r="H14" s="39"/>
      <c r="I14" s="39"/>
      <c r="J14" s="39"/>
      <c r="K14" s="39"/>
      <c r="L14" s="39"/>
      <c r="M14" s="39"/>
      <c r="N14" s="39"/>
      <c r="O14" s="39"/>
      <c r="P14" s="39"/>
      <c r="Q14" s="39"/>
      <c r="R14" s="39"/>
      <c r="S14" s="39"/>
      <c r="T14" s="39"/>
      <c r="U14" s="31"/>
      <c r="V14" s="31"/>
      <c r="W14" s="31"/>
      <c r="X14" s="31"/>
      <c r="Y14" s="31"/>
    </row>
    <row r="15" spans="1:25">
      <c r="A15"/>
      <c r="B15"/>
      <c r="C15"/>
      <c r="D15" s="14"/>
    </row>
    <row r="16" spans="1:25">
      <c r="A16" s="314" t="s">
        <v>144</v>
      </c>
      <c r="B16"/>
      <c r="C16"/>
      <c r="D16" s="60" t="s">
        <v>193</v>
      </c>
      <c r="F16" s="186">
        <f>'General Inputs'!F6</f>
        <v>0</v>
      </c>
    </row>
    <row r="17" spans="1:25">
      <c r="A17" s="314"/>
      <c r="B17"/>
      <c r="C17"/>
      <c r="D17" s="63"/>
    </row>
    <row r="18" spans="1:25">
      <c r="A18" s="314" t="s">
        <v>146</v>
      </c>
      <c r="B18"/>
      <c r="C18"/>
      <c r="D18" s="60" t="s">
        <v>188</v>
      </c>
      <c r="F18" s="186" t="str">
        <f>'General Inputs'!F8</f>
        <v>2026-27</v>
      </c>
    </row>
    <row r="19" spans="1:25">
      <c r="A19" s="314"/>
      <c r="B19"/>
      <c r="C19"/>
      <c r="D19" s="9"/>
    </row>
    <row r="20" spans="1:25">
      <c r="A20" s="314" t="s">
        <v>148</v>
      </c>
      <c r="B20"/>
      <c r="C20"/>
      <c r="D20" s="60" t="s">
        <v>216</v>
      </c>
      <c r="F20" s="186">
        <f>'General Inputs'!F10</f>
        <v>0</v>
      </c>
    </row>
    <row r="21" spans="1:25">
      <c r="A21"/>
      <c r="B21"/>
      <c r="C21"/>
      <c r="D21" s="8"/>
    </row>
    <row r="22" spans="1:25" s="10" customFormat="1">
      <c r="A22" s="43"/>
      <c r="B22" s="31"/>
      <c r="C22" s="31"/>
      <c r="D22" s="46" t="s">
        <v>274</v>
      </c>
      <c r="E22" s="44"/>
      <c r="F22" s="38"/>
      <c r="G22" s="39"/>
      <c r="H22" s="39"/>
      <c r="I22" s="39"/>
      <c r="J22" s="39"/>
      <c r="K22" s="39"/>
      <c r="L22" s="39"/>
      <c r="M22" s="39"/>
      <c r="N22" s="39"/>
      <c r="O22" s="39"/>
      <c r="P22" s="39"/>
      <c r="Q22" s="39"/>
      <c r="R22" s="39"/>
      <c r="S22" s="39"/>
      <c r="T22" s="39"/>
      <c r="U22" s="31"/>
      <c r="V22" s="31"/>
      <c r="W22" s="31"/>
      <c r="X22" s="31"/>
      <c r="Y22" s="31"/>
    </row>
    <row r="23" spans="1:25">
      <c r="A23"/>
      <c r="B23"/>
      <c r="C23"/>
      <c r="D23" s="8"/>
    </row>
    <row r="24" spans="1:25">
      <c r="A24" s="314" t="s">
        <v>150</v>
      </c>
      <c r="B24"/>
      <c r="C24"/>
      <c r="D24" s="60" t="s">
        <v>275</v>
      </c>
      <c r="F24" s="184" t="str">
        <f>'RF - Calculations'!E16</f>
        <v/>
      </c>
    </row>
    <row r="25" spans="1:25">
      <c r="A25" s="314"/>
      <c r="B25"/>
      <c r="C25"/>
      <c r="D25" s="8"/>
    </row>
    <row r="26" spans="1:25">
      <c r="A26" s="314" t="s">
        <v>152</v>
      </c>
      <c r="B26"/>
      <c r="C26"/>
      <c r="D26" s="60" t="s">
        <v>276</v>
      </c>
      <c r="F26" s="187" t="str">
        <f>'Discount Factor - Calculations'!E16</f>
        <v/>
      </c>
    </row>
    <row r="27" spans="1:25">
      <c r="A27" s="314"/>
      <c r="B27"/>
      <c r="C27"/>
      <c r="D27" s="8"/>
    </row>
    <row r="28" spans="1:25">
      <c r="A28" s="314" t="s">
        <v>154</v>
      </c>
      <c r="B28"/>
      <c r="C28"/>
      <c r="D28" s="60" t="s">
        <v>277</v>
      </c>
      <c r="F28" s="187" t="e">
        <f>'RF - Calculations'!E6</f>
        <v>#NUM!</v>
      </c>
      <c r="J28" s="332"/>
    </row>
    <row r="29" spans="1:25">
      <c r="A29" s="314"/>
      <c r="B29"/>
      <c r="C29"/>
      <c r="D29" s="8"/>
      <c r="J29" s="332"/>
    </row>
    <row r="30" spans="1:25" ht="18.600000000000001">
      <c r="A30" s="314" t="s">
        <v>156</v>
      </c>
      <c r="B30"/>
      <c r="C30"/>
      <c r="D30" s="190" t="s">
        <v>278</v>
      </c>
      <c r="E30" s="191"/>
      <c r="F30" s="192" t="e">
        <f>F28*F24*F20</f>
        <v>#NUM!</v>
      </c>
      <c r="J30" s="332"/>
    </row>
    <row r="31" spans="1:25">
      <c r="A31"/>
      <c r="B31"/>
      <c r="C31"/>
      <c r="D31" s="8"/>
    </row>
    <row r="32" spans="1:25" s="10" customFormat="1">
      <c r="A32" s="43"/>
      <c r="B32" s="31"/>
      <c r="C32" s="31"/>
      <c r="D32" s="46" t="s">
        <v>224</v>
      </c>
      <c r="E32" s="44"/>
      <c r="F32" s="38"/>
      <c r="G32" s="39"/>
      <c r="H32" s="39"/>
      <c r="I32" s="39"/>
      <c r="J32" s="39"/>
      <c r="K32" s="39"/>
      <c r="L32" s="39"/>
      <c r="M32" s="39"/>
      <c r="N32" s="39"/>
      <c r="O32" s="39"/>
      <c r="P32" s="39"/>
      <c r="Q32" s="39"/>
      <c r="R32" s="39"/>
      <c r="S32" s="39"/>
      <c r="T32" s="39"/>
      <c r="U32" s="31"/>
      <c r="V32" s="31"/>
      <c r="W32" s="31"/>
      <c r="X32" s="31"/>
      <c r="Y32" s="31"/>
    </row>
    <row r="33" spans="1:6">
      <c r="A33"/>
      <c r="B33"/>
      <c r="C33"/>
      <c r="D33" s="8"/>
    </row>
    <row r="34" spans="1:6">
      <c r="A34" s="314" t="s">
        <v>158</v>
      </c>
      <c r="B34"/>
      <c r="C34"/>
      <c r="D34" s="60" t="s">
        <v>279</v>
      </c>
      <c r="F34" s="187" t="e">
        <f>1-'RF - Calculations'!E6</f>
        <v>#NUM!</v>
      </c>
    </row>
    <row r="35" spans="1:6">
      <c r="A35" s="314"/>
      <c r="B35"/>
      <c r="C35"/>
      <c r="D35" s="8"/>
    </row>
    <row r="36" spans="1:6">
      <c r="A36" s="314" t="s">
        <v>160</v>
      </c>
      <c r="B36"/>
      <c r="C36"/>
      <c r="D36" s="60" t="s">
        <v>280</v>
      </c>
      <c r="F36" s="184">
        <f>'MOC - Calculations'!E6</f>
        <v>8.8798762186315092E-2</v>
      </c>
    </row>
    <row r="37" spans="1:6">
      <c r="A37" s="314"/>
      <c r="B37"/>
      <c r="C37"/>
      <c r="D37" s="8"/>
    </row>
    <row r="38" spans="1:6">
      <c r="A38" s="314" t="s">
        <v>162</v>
      </c>
      <c r="B38"/>
      <c r="C38"/>
      <c r="D38" s="188" t="s">
        <v>281</v>
      </c>
      <c r="E38" s="74"/>
      <c r="F38" s="189" t="e">
        <f>F36*F20*F34</f>
        <v>#NUM!</v>
      </c>
    </row>
    <row r="39" spans="1:6">
      <c r="A39" s="314"/>
      <c r="B39"/>
      <c r="C39"/>
      <c r="D39" s="8"/>
    </row>
    <row r="40" spans="1:6" ht="35.450000000000003" customHeight="1">
      <c r="A40" s="314" t="s">
        <v>164</v>
      </c>
      <c r="B40"/>
      <c r="C40"/>
      <c r="D40" s="64" t="s">
        <v>282</v>
      </c>
      <c r="F40" s="184" t="e">
        <f>'MCC - Calculations'!E6</f>
        <v>#DIV/0!</v>
      </c>
    </row>
    <row r="41" spans="1:6">
      <c r="A41" s="314"/>
      <c r="B41"/>
      <c r="C41"/>
      <c r="D41" s="8"/>
    </row>
    <row r="42" spans="1:6">
      <c r="A42" s="314" t="s">
        <v>166</v>
      </c>
      <c r="B42"/>
      <c r="C42"/>
      <c r="D42" s="188" t="s">
        <v>283</v>
      </c>
      <c r="E42" s="74"/>
      <c r="F42" s="189">
        <f>'MCC - Calculations'!E7</f>
        <v>0</v>
      </c>
    </row>
    <row r="43" spans="1:6">
      <c r="A43" s="314"/>
      <c r="B43"/>
      <c r="C43"/>
      <c r="D43" s="8"/>
    </row>
    <row r="44" spans="1:6">
      <c r="A44" s="314" t="s">
        <v>168</v>
      </c>
      <c r="B44"/>
      <c r="C44"/>
      <c r="D44" s="60" t="s">
        <v>284</v>
      </c>
      <c r="F44" s="184">
        <f>'General Inputs'!F36</f>
        <v>0</v>
      </c>
    </row>
    <row r="45" spans="1:6">
      <c r="A45" s="314"/>
      <c r="B45"/>
      <c r="C45"/>
      <c r="D45" s="8"/>
    </row>
    <row r="46" spans="1:6">
      <c r="A46" s="314" t="s">
        <v>170</v>
      </c>
      <c r="B46"/>
      <c r="C46"/>
      <c r="D46" s="60" t="s">
        <v>285</v>
      </c>
      <c r="F46" s="184">
        <f>'General Inputs'!F38</f>
        <v>0</v>
      </c>
    </row>
    <row r="47" spans="1:6">
      <c r="A47" s="314"/>
      <c r="B47"/>
      <c r="C47"/>
      <c r="D47" s="8"/>
    </row>
    <row r="48" spans="1:6" ht="18.600000000000001">
      <c r="A48" s="314" t="s">
        <v>172</v>
      </c>
      <c r="B48"/>
      <c r="C48"/>
      <c r="D48" s="190" t="s">
        <v>286</v>
      </c>
      <c r="E48" s="191"/>
      <c r="F48" s="192" t="e">
        <f>F46+F44+F42+F38</f>
        <v>#NUM!</v>
      </c>
    </row>
    <row r="49" spans="1:25">
      <c r="A49"/>
      <c r="B49"/>
      <c r="C49"/>
      <c r="D49" s="8"/>
    </row>
    <row r="50" spans="1:25" s="10" customFormat="1">
      <c r="A50" s="43"/>
      <c r="B50" s="31"/>
      <c r="C50" s="31"/>
      <c r="D50" s="46" t="s">
        <v>224</v>
      </c>
      <c r="E50" s="44"/>
      <c r="F50" s="38"/>
      <c r="G50" s="39"/>
      <c r="H50" s="39"/>
      <c r="I50" s="39"/>
      <c r="J50" s="39"/>
      <c r="K50" s="39"/>
      <c r="L50" s="39"/>
      <c r="M50" s="39"/>
      <c r="N50" s="39"/>
      <c r="O50" s="39"/>
      <c r="P50" s="39"/>
      <c r="Q50" s="39"/>
      <c r="R50" s="39"/>
      <c r="S50" s="39"/>
      <c r="T50" s="39"/>
      <c r="U50" s="31"/>
      <c r="V50" s="31"/>
      <c r="W50" s="31"/>
      <c r="X50" s="31"/>
      <c r="Y50" s="31"/>
    </row>
    <row r="51" spans="1:25">
      <c r="B51"/>
      <c r="C51"/>
      <c r="D51" s="8"/>
    </row>
    <row r="52" spans="1:25" ht="18.600000000000001">
      <c r="A52" s="314" t="s">
        <v>174</v>
      </c>
      <c r="B52"/>
      <c r="C52"/>
      <c r="D52" s="190" t="s">
        <v>287</v>
      </c>
      <c r="E52" s="191"/>
      <c r="F52" s="192" t="e">
        <f>F48+F30</f>
        <v>#NUM!</v>
      </c>
    </row>
    <row r="53" spans="1:25" ht="14.45">
      <c r="A53"/>
      <c r="B53"/>
      <c r="C53"/>
      <c r="D53"/>
    </row>
    <row r="54" spans="1:25" s="10" customFormat="1">
      <c r="A54" s="43"/>
      <c r="B54" s="31"/>
      <c r="C54" s="31"/>
      <c r="D54" s="46" t="s">
        <v>248</v>
      </c>
      <c r="E54" s="44"/>
      <c r="F54" s="38"/>
      <c r="G54" s="39"/>
      <c r="H54" s="39"/>
      <c r="I54" s="39"/>
      <c r="J54" s="39"/>
      <c r="K54" s="39"/>
      <c r="L54" s="39"/>
      <c r="M54" s="39"/>
      <c r="N54" s="39"/>
      <c r="O54" s="39"/>
      <c r="P54" s="39"/>
      <c r="Q54" s="39"/>
      <c r="R54" s="39"/>
      <c r="S54" s="39"/>
      <c r="T54" s="39"/>
      <c r="U54" s="31"/>
      <c r="V54" s="31"/>
      <c r="W54" s="31"/>
      <c r="X54" s="31"/>
      <c r="Y54" s="31"/>
    </row>
    <row r="55" spans="1:25" ht="14.45">
      <c r="A55"/>
      <c r="B55"/>
      <c r="C55"/>
      <c r="D55"/>
    </row>
    <row r="56" spans="1:25" ht="14.45">
      <c r="A56"/>
      <c r="B56"/>
      <c r="C56"/>
      <c r="D56"/>
    </row>
    <row r="57" spans="1:25" ht="14.45">
      <c r="A57"/>
      <c r="B57"/>
      <c r="C57"/>
      <c r="D57"/>
    </row>
    <row r="58" spans="1:25" ht="14.45">
      <c r="A58"/>
      <c r="B58"/>
      <c r="C58"/>
      <c r="D58"/>
    </row>
    <row r="59" spans="1:25" ht="14.45">
      <c r="A59"/>
      <c r="B59"/>
      <c r="C59"/>
      <c r="D59"/>
    </row>
    <row r="60" spans="1:25" ht="14.45">
      <c r="A60"/>
      <c r="B60"/>
      <c r="C60"/>
      <c r="D60"/>
    </row>
    <row r="61" spans="1:25" ht="14.45">
      <c r="A61"/>
      <c r="B61"/>
      <c r="C61"/>
      <c r="D61"/>
    </row>
    <row r="62" spans="1:25" ht="14.45">
      <c r="A62"/>
      <c r="B62"/>
      <c r="C62"/>
      <c r="D62"/>
    </row>
    <row r="63" spans="1:25" ht="14.45">
      <c r="A63"/>
      <c r="B63"/>
      <c r="C63"/>
      <c r="D63"/>
    </row>
    <row r="64" spans="1:25" ht="14.45">
      <c r="A64"/>
      <c r="B64"/>
      <c r="C64"/>
      <c r="D64"/>
    </row>
    <row r="65" spans="1:4" ht="14.45">
      <c r="A65"/>
      <c r="B65"/>
      <c r="C65"/>
      <c r="D65"/>
    </row>
    <row r="66" spans="1:4" ht="14.45">
      <c r="A66"/>
      <c r="B66"/>
      <c r="C66"/>
      <c r="D66"/>
    </row>
    <row r="67" spans="1:4" ht="14.45">
      <c r="A67"/>
      <c r="B67"/>
      <c r="C67"/>
      <c r="D67"/>
    </row>
    <row r="68" spans="1:4" ht="14.45">
      <c r="A68"/>
      <c r="B68"/>
      <c r="C68"/>
      <c r="D68"/>
    </row>
    <row r="69" spans="1:4" ht="14.45">
      <c r="A69"/>
      <c r="B69"/>
      <c r="C69"/>
      <c r="D69"/>
    </row>
    <row r="70" spans="1:4" ht="14.45">
      <c r="A70"/>
      <c r="B70"/>
      <c r="C70"/>
      <c r="D70"/>
    </row>
    <row r="71" spans="1:4" ht="14.45">
      <c r="A71"/>
      <c r="B71"/>
      <c r="C71"/>
      <c r="D71"/>
    </row>
    <row r="72" spans="1:4" ht="14.45">
      <c r="A72"/>
      <c r="B72"/>
      <c r="C72"/>
      <c r="D72"/>
    </row>
    <row r="73" spans="1:4" ht="14.45">
      <c r="A73"/>
      <c r="B73"/>
      <c r="C73"/>
      <c r="D73"/>
    </row>
    <row r="74" spans="1:4" ht="14.45">
      <c r="A74"/>
      <c r="B74"/>
      <c r="C74"/>
      <c r="D74"/>
    </row>
    <row r="75" spans="1:4" ht="14.45">
      <c r="A75"/>
      <c r="B75"/>
      <c r="C75"/>
      <c r="D75"/>
    </row>
    <row r="76" spans="1:4" ht="14.45">
      <c r="A76"/>
      <c r="B76"/>
      <c r="C76"/>
      <c r="D76"/>
    </row>
    <row r="77" spans="1:4" ht="14.45">
      <c r="A77"/>
      <c r="B77"/>
      <c r="C77"/>
      <c r="D77"/>
    </row>
    <row r="78" spans="1:4" ht="14.45">
      <c r="A78"/>
      <c r="B78"/>
      <c r="C78"/>
      <c r="D78"/>
    </row>
    <row r="79" spans="1:4" ht="14.45">
      <c r="A79"/>
      <c r="B79"/>
      <c r="C79"/>
      <c r="D79"/>
    </row>
    <row r="80" spans="1:4" ht="14.45">
      <c r="A80"/>
      <c r="B80"/>
      <c r="C80"/>
      <c r="D80"/>
    </row>
    <row r="81" spans="1:4" ht="14.45">
      <c r="A81"/>
      <c r="B81"/>
      <c r="C81"/>
      <c r="D81"/>
    </row>
    <row r="82" spans="1:4" ht="14.45">
      <c r="A82"/>
      <c r="B82"/>
      <c r="C82"/>
      <c r="D82"/>
    </row>
    <row r="83" spans="1:4" ht="14.45">
      <c r="A83"/>
      <c r="B83"/>
      <c r="C83"/>
      <c r="D83"/>
    </row>
    <row r="84" spans="1:4" ht="14.45">
      <c r="A84"/>
      <c r="B84"/>
      <c r="C84"/>
      <c r="D84"/>
    </row>
    <row r="85" spans="1:4" ht="14.45">
      <c r="A85"/>
      <c r="B85"/>
      <c r="C85"/>
      <c r="D85"/>
    </row>
    <row r="86" spans="1:4" ht="14.45">
      <c r="A86"/>
      <c r="B86"/>
      <c r="C86"/>
      <c r="D86"/>
    </row>
    <row r="87" spans="1:4" ht="14.45">
      <c r="A87"/>
      <c r="B87"/>
      <c r="C87"/>
      <c r="D87"/>
    </row>
    <row r="88" spans="1:4" ht="14.45">
      <c r="A88"/>
      <c r="B88"/>
      <c r="C88"/>
      <c r="D88"/>
    </row>
    <row r="89" spans="1:4" ht="14.45">
      <c r="A89"/>
      <c r="B89"/>
      <c r="C89"/>
      <c r="D89"/>
    </row>
    <row r="90" spans="1:4" ht="14.45">
      <c r="A90"/>
      <c r="B90"/>
      <c r="C90"/>
      <c r="D90"/>
    </row>
    <row r="91" spans="1:4" ht="14.45">
      <c r="A91"/>
      <c r="B91"/>
      <c r="C91"/>
      <c r="D91"/>
    </row>
    <row r="92" spans="1:4" ht="14.45">
      <c r="A92"/>
      <c r="B92"/>
      <c r="C92"/>
      <c r="D92"/>
    </row>
    <row r="93" spans="1:4" ht="14.45">
      <c r="A93"/>
      <c r="B93"/>
      <c r="C93"/>
      <c r="D93"/>
    </row>
    <row r="94" spans="1:4" ht="14.45">
      <c r="A94"/>
      <c r="B94"/>
      <c r="C94"/>
      <c r="D94"/>
    </row>
    <row r="95" spans="1:4" ht="14.45">
      <c r="A95"/>
      <c r="B95"/>
      <c r="C95"/>
      <c r="D95"/>
    </row>
    <row r="96" spans="1:4" ht="14.45">
      <c r="A96"/>
      <c r="B96"/>
      <c r="C96"/>
      <c r="D96"/>
    </row>
    <row r="97" spans="1:4" ht="14.45">
      <c r="A97"/>
      <c r="B97"/>
      <c r="C97"/>
      <c r="D97"/>
    </row>
    <row r="98" spans="1:4" ht="14.45">
      <c r="A98"/>
      <c r="B98"/>
      <c r="C98"/>
      <c r="D98"/>
    </row>
    <row r="99" spans="1:4" ht="14.45">
      <c r="A99"/>
      <c r="B99"/>
      <c r="C99"/>
      <c r="D99"/>
    </row>
    <row r="100" spans="1:4" ht="14.45">
      <c r="A100"/>
      <c r="B100"/>
      <c r="C100"/>
      <c r="D100"/>
    </row>
    <row r="101" spans="1:4" ht="14.45">
      <c r="A101"/>
      <c r="B101"/>
      <c r="C101"/>
      <c r="D101"/>
    </row>
    <row r="102" spans="1:4" ht="14.45">
      <c r="A102"/>
      <c r="B102"/>
      <c r="C102"/>
      <c r="D102"/>
    </row>
    <row r="103" spans="1:4" ht="14.45">
      <c r="A103"/>
      <c r="B103"/>
      <c r="C103"/>
      <c r="D103"/>
    </row>
    <row r="104" spans="1:4" ht="14.45">
      <c r="A104"/>
      <c r="B104"/>
      <c r="C104"/>
      <c r="D104"/>
    </row>
    <row r="105" spans="1:4" ht="14.45">
      <c r="A105"/>
      <c r="B105"/>
      <c r="C105"/>
      <c r="D105"/>
    </row>
    <row r="106" spans="1:4" ht="14.45">
      <c r="A106"/>
      <c r="B106"/>
      <c r="C106"/>
      <c r="D106"/>
    </row>
    <row r="107" spans="1:4" ht="14.45">
      <c r="A107"/>
      <c r="B107"/>
      <c r="C107"/>
      <c r="D107"/>
    </row>
    <row r="108" spans="1:4" ht="14.45">
      <c r="A108"/>
      <c r="B108"/>
      <c r="C108"/>
      <c r="D108"/>
    </row>
    <row r="109" spans="1:4" ht="14.45">
      <c r="A109"/>
      <c r="B109"/>
      <c r="C109"/>
      <c r="D109"/>
    </row>
    <row r="110" spans="1:4" ht="14.45">
      <c r="A110"/>
      <c r="B110"/>
      <c r="C110"/>
      <c r="D110"/>
    </row>
    <row r="111" spans="1:4" ht="14.45">
      <c r="A111"/>
      <c r="B111"/>
      <c r="C111"/>
      <c r="D111"/>
    </row>
    <row r="112" spans="1:4" ht="14.45">
      <c r="A112"/>
      <c r="B112"/>
      <c r="C112"/>
      <c r="D112"/>
    </row>
    <row r="113" spans="1:4" ht="14.45">
      <c r="A113"/>
      <c r="B113"/>
      <c r="C113"/>
      <c r="D113"/>
    </row>
    <row r="114" spans="1:4" ht="14.45">
      <c r="A114"/>
      <c r="B114"/>
      <c r="C114"/>
      <c r="D114"/>
    </row>
    <row r="115" spans="1:4" ht="14.45">
      <c r="A115"/>
      <c r="B115"/>
      <c r="C115"/>
      <c r="D115"/>
    </row>
    <row r="116" spans="1:4" ht="14.45">
      <c r="A116"/>
      <c r="B116"/>
      <c r="C116"/>
      <c r="D116"/>
    </row>
    <row r="117" spans="1:4" ht="14.45">
      <c r="A117"/>
      <c r="B117"/>
      <c r="C117"/>
      <c r="D117"/>
    </row>
    <row r="118" spans="1:4" ht="14.45">
      <c r="A118"/>
      <c r="B118"/>
      <c r="C118"/>
      <c r="D118"/>
    </row>
    <row r="119" spans="1:4" ht="14.45">
      <c r="A119"/>
      <c r="B119"/>
      <c r="C119"/>
      <c r="D119"/>
    </row>
    <row r="120" spans="1:4" ht="14.45">
      <c r="A120"/>
      <c r="B120"/>
      <c r="C120"/>
      <c r="D120"/>
    </row>
    <row r="121" spans="1:4" ht="14.45">
      <c r="A121"/>
      <c r="B121"/>
      <c r="C121"/>
      <c r="D121"/>
    </row>
  </sheetData>
  <sheetProtection sheet="1" objects="1" scenarios="1"/>
  <hyperlinks>
    <hyperlink ref="A16" location="Instructions!B88" display="5a" xr:uid="{964D377D-E693-420C-A36C-16DC54296237}"/>
    <hyperlink ref="A18" location="Instructions!B89" display="5b" xr:uid="{1DA8AE00-6C01-46BB-A668-CC1CE911CDF6}"/>
    <hyperlink ref="A20" location="Instructions!B90" display="5c" xr:uid="{4A4B9AEC-26BF-424C-A1C9-985D78F2D652}"/>
    <hyperlink ref="A24" location="Instructions!B91" display="5d" xr:uid="{ED8BDD97-EEF6-4B17-84C6-F1272B43F3ED}"/>
    <hyperlink ref="A26" location="Instructions!B92" display="5e" xr:uid="{F8C409D1-77BD-4DF2-AEA6-DBDCE942080F}"/>
    <hyperlink ref="A28" location="Instructions!B93" display="5f" xr:uid="{30040137-6646-4AD3-B2E7-51528B5C48A1}"/>
    <hyperlink ref="A30" location="Instructions!B94" display="5g" xr:uid="{CCB6BE65-DA3D-4CDA-906B-5BB876532ACA}"/>
    <hyperlink ref="A34" location="Instructions!B95" display="5h" xr:uid="{5D33C547-CCCC-457A-82D0-EA0AF6656849}"/>
    <hyperlink ref="A36" location="Instructions!B96" display="5i" xr:uid="{3C2E06A5-4C9E-4AD9-B697-83D97027C884}"/>
    <hyperlink ref="A38" location="Instructions!B97" display="5j" xr:uid="{F55EA25D-75C8-4CC0-9427-56E6B9A86C72}"/>
    <hyperlink ref="A40" location="Instructions!B98" display="5k" xr:uid="{B5884B1C-6A6C-4CE9-94A2-B4B85326C2EF}"/>
    <hyperlink ref="A42" location="Instructions!B99" display="5l" xr:uid="{09F448EB-3E43-426F-B4D0-3B2092C057ED}"/>
    <hyperlink ref="A44" location="Instructions!B100" display="5m" xr:uid="{E82ED465-1C15-41CD-B408-43FFF1865EF5}"/>
    <hyperlink ref="A46" location="Instructions!B101" display="5n" xr:uid="{C9D0818D-B2C5-4631-8B2B-2532DB10814B}"/>
    <hyperlink ref="A48" location="Instructions!B102" display="5o" xr:uid="{5F658BB6-5DD6-47E6-A02C-2E9C5CF73D22}"/>
    <hyperlink ref="A52" location="Instructions!B103" display="5p" xr:uid="{320BAAF8-E77D-48E2-8594-8D5D40FCF6B8}"/>
  </hyperlinks>
  <pageMargins left="0.7" right="0.7" top="0.75" bottom="0.75" header="0.3" footer="0.3"/>
  <pageSetup orientation="portrait" r:id="rId1"/>
  <headerFooter>
    <oddHeader>&amp;C&amp;"Calibri"&amp;10&amp;K000000 OFFICIAL&amp;1#_x000D_</oddHeader>
    <oddFooter>&amp;C_x000D_&amp;1#&amp;"Calibri"&amp;10&amp;K000000 OFFICIAL</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B0C7E813-63FD-4361-9CE4-02551C719141}">
            <xm:f>'Discount Factor - Calculations'!$E$22=0</xm:f>
            <x14:dxf>
              <font>
                <color theme="3" tint="0.39994506668294322"/>
              </font>
              <fill>
                <patternFill>
                  <bgColor theme="3" tint="0.39994506668294322"/>
                </patternFill>
              </fill>
            </x14:dxf>
          </x14:cfRule>
          <xm:sqref>F26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0D295-177D-4853-9311-2B4588AB8CA7}">
  <sheetPr>
    <tabColor theme="4" tint="0.79998168889431442"/>
  </sheetPr>
  <dimension ref="A1:X118"/>
  <sheetViews>
    <sheetView showGridLines="0" topLeftCell="A22" zoomScaleNormal="100" workbookViewId="0"/>
  </sheetViews>
  <sheetFormatPr defaultColWidth="8.7109375" defaultRowHeight="15.6"/>
  <cols>
    <col min="1" max="1" width="6.85546875" style="6" customWidth="1"/>
    <col min="2" max="2" width="1.5703125" style="7" customWidth="1"/>
    <col min="3" max="3" width="1.28515625" style="7" customWidth="1"/>
    <col min="4" max="4" width="30.5703125" style="7" bestFit="1" customWidth="1"/>
    <col min="5" max="5" width="34.28515625" style="8" customWidth="1"/>
    <col min="6" max="6" width="38.85546875" style="9" customWidth="1"/>
    <col min="7" max="7" width="33.42578125" style="10" customWidth="1"/>
    <col min="8" max="8" width="32.28515625" style="10" customWidth="1"/>
    <col min="9" max="9" width="13.42578125" style="10" customWidth="1"/>
    <col min="10" max="10" width="12.85546875" style="10" customWidth="1"/>
    <col min="11" max="11" width="13.85546875" style="10" customWidth="1"/>
    <col min="12" max="12" width="11.5703125" style="10" customWidth="1"/>
    <col min="13" max="13" width="25.5703125" style="10" customWidth="1"/>
    <col min="14" max="14" width="12.140625" style="10" customWidth="1"/>
    <col min="15" max="15" width="14.28515625" style="10" customWidth="1"/>
    <col min="16" max="16" width="14.42578125" style="10" customWidth="1"/>
    <col min="17" max="17" width="17.85546875" style="10" customWidth="1"/>
    <col min="18" max="18" width="11.5703125" style="10" customWidth="1"/>
    <col min="19" max="19" width="20.42578125" style="10" customWidth="1"/>
    <col min="20" max="20" width="18.5703125" style="7" customWidth="1"/>
    <col min="21" max="21" width="16" style="10" customWidth="1"/>
    <col min="22" max="22" width="12.140625" style="10" customWidth="1"/>
    <col min="23" max="16384" width="8.7109375" style="10"/>
  </cols>
  <sheetData>
    <row r="1" spans="1:24" ht="26.1">
      <c r="A1" s="47" t="s">
        <v>176</v>
      </c>
      <c r="B1" s="35"/>
      <c r="C1" s="35"/>
      <c r="D1" s="36"/>
      <c r="E1" s="38"/>
      <c r="F1" s="10"/>
      <c r="S1" s="7"/>
      <c r="T1" s="10"/>
    </row>
    <row r="2" spans="1:24" ht="18.95" customHeight="1">
      <c r="A2" s="37" t="s">
        <v>288</v>
      </c>
      <c r="B2" s="35"/>
      <c r="C2" s="35"/>
      <c r="D2" s="36"/>
      <c r="E2" s="38"/>
      <c r="F2" s="10"/>
      <c r="S2" s="7"/>
      <c r="T2" s="10"/>
    </row>
    <row r="3" spans="1:24">
      <c r="D3" s="8"/>
      <c r="E3" s="9"/>
      <c r="F3" s="10"/>
      <c r="S3" s="7"/>
      <c r="T3" s="10"/>
    </row>
    <row r="4" spans="1:24">
      <c r="A4" s="43"/>
      <c r="B4" s="31"/>
      <c r="C4" s="31"/>
      <c r="D4" s="46" t="s">
        <v>227</v>
      </c>
      <c r="E4" s="38"/>
      <c r="F4" s="39"/>
      <c r="G4" s="39"/>
      <c r="H4" s="39"/>
      <c r="I4" s="39"/>
      <c r="J4" s="39"/>
      <c r="K4" s="39"/>
      <c r="L4" s="39"/>
      <c r="M4" s="39"/>
      <c r="N4" s="39"/>
      <c r="O4" s="39"/>
      <c r="P4" s="39"/>
      <c r="Q4" s="39"/>
      <c r="R4" s="39"/>
      <c r="S4" s="31"/>
      <c r="T4" s="31"/>
      <c r="U4" s="31"/>
      <c r="V4" s="31"/>
      <c r="W4" s="31"/>
      <c r="X4" s="31"/>
    </row>
    <row r="6" spans="1:24">
      <c r="D6" s="326" t="str" cm="1">
        <f t="array" aca="1" ref="D6" ca="1">HYPERLINK("#"&amp;CELL("address",Instructions),"Instructions")</f>
        <v>Instructions</v>
      </c>
    </row>
    <row r="7" spans="1:24">
      <c r="D7" s="327" t="str" cm="1">
        <f t="array" aca="1" ref="D7" ca="1">HYPERLINK("#"&amp;CELL("address",Gen_Input),"Inputs")</f>
        <v>Inputs</v>
      </c>
    </row>
    <row r="8" spans="1:24">
      <c r="D8" s="326"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4">
      <c r="D9" s="326" t="str" cm="1">
        <f t="array" aca="1" ref="D9" ca="1">IF(MCC_Choice="No","",HYPERLINK("#"&amp;CELL("address",MCC_Input),"Marginal Capacity Costs Inputs"))</f>
        <v>Marginal Capacity Costs Inputs</v>
      </c>
      <c r="G9" s="23"/>
    </row>
    <row r="10" spans="1:24">
      <c r="D10" s="326" t="str" cm="1">
        <f t="array" aca="1" ref="D10" ca="1">HYPERLINK("#"&amp;CELL("address",Outputs),"Outputs")</f>
        <v>Outputs</v>
      </c>
    </row>
    <row r="12" spans="1:24">
      <c r="A12" s="43"/>
      <c r="B12" s="31"/>
      <c r="C12" s="31"/>
      <c r="D12" s="46" t="s">
        <v>222</v>
      </c>
      <c r="E12" s="38"/>
      <c r="F12" s="39"/>
      <c r="G12" s="39"/>
      <c r="H12" s="39"/>
      <c r="I12" s="39"/>
      <c r="J12" s="39"/>
      <c r="K12" s="39"/>
      <c r="L12" s="39"/>
      <c r="M12" s="39"/>
      <c r="N12" s="39"/>
      <c r="O12" s="39"/>
      <c r="P12" s="39"/>
      <c r="Q12" s="39"/>
      <c r="R12" s="39"/>
      <c r="S12" s="31"/>
      <c r="T12" s="31"/>
      <c r="U12" s="31"/>
      <c r="V12" s="31"/>
      <c r="W12" s="31"/>
      <c r="X12" s="31"/>
    </row>
    <row r="14" spans="1:24">
      <c r="D14" s="193" t="str">
        <f>IF(MCC_Choice="No", "Method not in use","")</f>
        <v/>
      </c>
      <c r="E14" s="314" t="s">
        <v>177</v>
      </c>
      <c r="F14" s="314" t="s">
        <v>179</v>
      </c>
      <c r="G14" s="314" t="s">
        <v>181</v>
      </c>
      <c r="H14" s="314" t="s">
        <v>183</v>
      </c>
      <c r="I14"/>
      <c r="J14"/>
      <c r="K14"/>
      <c r="L14"/>
      <c r="M14"/>
      <c r="N14"/>
      <c r="O14"/>
      <c r="P14"/>
      <c r="Q14"/>
      <c r="R14"/>
      <c r="S14"/>
      <c r="T14"/>
      <c r="U14"/>
    </row>
    <row r="15" spans="1:24">
      <c r="I15"/>
      <c r="J15"/>
      <c r="K15"/>
      <c r="L15"/>
      <c r="M15"/>
      <c r="N15"/>
      <c r="O15"/>
      <c r="P15"/>
      <c r="Q15"/>
      <c r="R15"/>
      <c r="S15"/>
      <c r="T15"/>
      <c r="U15"/>
    </row>
    <row r="16" spans="1:24" s="20" customFormat="1" ht="46.5">
      <c r="A16" s="19"/>
      <c r="D16" s="179" t="s">
        <v>250</v>
      </c>
      <c r="E16" s="180" t="s">
        <v>289</v>
      </c>
      <c r="F16" s="181" t="s">
        <v>252</v>
      </c>
      <c r="G16" s="180" t="s">
        <v>290</v>
      </c>
      <c r="H16" s="183" t="s">
        <v>291</v>
      </c>
      <c r="I16"/>
      <c r="J16"/>
      <c r="K16"/>
      <c r="L16"/>
      <c r="M16"/>
      <c r="N16"/>
      <c r="O16"/>
      <c r="P16"/>
      <c r="Q16"/>
      <c r="R16"/>
      <c r="S16"/>
      <c r="T16"/>
      <c r="U16"/>
      <c r="V16" s="10"/>
    </row>
    <row r="17" spans="1:21">
      <c r="A17" s="12"/>
      <c r="D17" s="167">
        <v>1</v>
      </c>
      <c r="E17" s="333" t="str">
        <f>'Marginal Capacity Costs Inputs'!E17</f>
        <v>No</v>
      </c>
      <c r="F17" s="333" t="str">
        <f>IF(E17="No","",'Marginal Capacity Costs Inputs'!F17)</f>
        <v/>
      </c>
      <c r="G17" s="333" t="str">
        <f>IF(E17="No","",'MCC - Calculations'!AJ24)</f>
        <v/>
      </c>
      <c r="H17" s="333" t="str">
        <f>IF(E17="No","",'MCC - Calculations'!AK24)</f>
        <v/>
      </c>
      <c r="I17"/>
      <c r="J17"/>
      <c r="K17"/>
      <c r="L17"/>
      <c r="M17"/>
      <c r="N17"/>
      <c r="O17"/>
      <c r="P17"/>
      <c r="Q17"/>
      <c r="R17"/>
      <c r="S17"/>
      <c r="T17"/>
      <c r="U17"/>
    </row>
    <row r="18" spans="1:21">
      <c r="A18" s="12"/>
      <c r="D18" s="168"/>
      <c r="E18" s="176"/>
      <c r="F18" s="177"/>
      <c r="G18" s="177"/>
      <c r="H18" s="177"/>
      <c r="I18"/>
      <c r="J18"/>
      <c r="K18"/>
      <c r="L18"/>
      <c r="M18"/>
      <c r="N18"/>
      <c r="O18"/>
      <c r="P18"/>
      <c r="Q18"/>
      <c r="R18"/>
      <c r="S18"/>
      <c r="T18"/>
      <c r="U18"/>
    </row>
    <row r="19" spans="1:21">
      <c r="A19" s="12"/>
      <c r="D19" s="167">
        <v>2</v>
      </c>
      <c r="E19" s="333" t="str">
        <f>'Marginal Capacity Costs Inputs'!E19</f>
        <v>No</v>
      </c>
      <c r="F19" s="333" t="str">
        <f>IF(E19="No","",'Marginal Capacity Costs Inputs'!F19)</f>
        <v/>
      </c>
      <c r="G19" s="333" t="str">
        <f>IF(E19="No","",'MCC - Calculations'!AJ26)</f>
        <v/>
      </c>
      <c r="H19" s="333" t="str">
        <f>IF(E19="No","",'MCC - Calculations'!AK26)</f>
        <v/>
      </c>
      <c r="I19"/>
      <c r="J19"/>
      <c r="K19"/>
      <c r="L19"/>
      <c r="M19"/>
      <c r="N19"/>
      <c r="O19"/>
      <c r="P19"/>
      <c r="Q19"/>
      <c r="R19"/>
      <c r="S19"/>
      <c r="T19"/>
      <c r="U19"/>
    </row>
    <row r="20" spans="1:21">
      <c r="A20" s="12"/>
      <c r="D20" s="168"/>
      <c r="E20" s="176"/>
      <c r="F20" s="177"/>
      <c r="G20" s="177"/>
      <c r="H20" s="177"/>
      <c r="I20"/>
      <c r="J20"/>
      <c r="K20"/>
      <c r="L20"/>
      <c r="M20"/>
      <c r="N20"/>
      <c r="O20"/>
      <c r="P20"/>
      <c r="Q20"/>
      <c r="R20"/>
      <c r="S20"/>
      <c r="T20"/>
      <c r="U20"/>
    </row>
    <row r="21" spans="1:21">
      <c r="A21" s="12"/>
      <c r="D21" s="167">
        <v>3</v>
      </c>
      <c r="E21" s="333" t="str">
        <f>'Marginal Capacity Costs Inputs'!E21</f>
        <v>No</v>
      </c>
      <c r="F21" s="333" t="str">
        <f>IF(E21="No","",'Marginal Capacity Costs Inputs'!F21)</f>
        <v/>
      </c>
      <c r="G21" s="333" t="str">
        <f>IF(E21="No","",'MCC - Calculations'!AJ28)</f>
        <v/>
      </c>
      <c r="H21" s="333" t="str">
        <f>IF(E21="No","",'MCC - Calculations'!AK28)</f>
        <v/>
      </c>
      <c r="I21"/>
      <c r="J21"/>
      <c r="K21"/>
      <c r="L21"/>
      <c r="M21"/>
      <c r="N21"/>
      <c r="O21"/>
      <c r="P21"/>
      <c r="Q21"/>
      <c r="R21"/>
      <c r="S21"/>
      <c r="T21"/>
      <c r="U21"/>
    </row>
    <row r="22" spans="1:21">
      <c r="A22" s="12"/>
      <c r="D22" s="168"/>
      <c r="E22" s="176"/>
      <c r="F22" s="177"/>
      <c r="G22" s="177"/>
      <c r="H22" s="177"/>
      <c r="I22"/>
      <c r="J22"/>
      <c r="K22"/>
      <c r="L22"/>
      <c r="M22"/>
      <c r="N22"/>
      <c r="O22"/>
      <c r="P22"/>
      <c r="Q22"/>
      <c r="R22"/>
      <c r="S22"/>
      <c r="T22"/>
      <c r="U22"/>
    </row>
    <row r="23" spans="1:21">
      <c r="A23" s="12"/>
      <c r="D23" s="167">
        <v>4</v>
      </c>
      <c r="E23" s="333" t="str">
        <f>'Marginal Capacity Costs Inputs'!E23</f>
        <v>No</v>
      </c>
      <c r="F23" s="333" t="str">
        <f>IF(E23="No","",'Marginal Capacity Costs Inputs'!F23)</f>
        <v/>
      </c>
      <c r="G23" s="333" t="str">
        <f>IF(E23="No","",'MCC - Calculations'!AJ30)</f>
        <v/>
      </c>
      <c r="H23" s="333" t="str">
        <f>IF(E23="No","",'MCC - Calculations'!AK30)</f>
        <v/>
      </c>
      <c r="I23"/>
      <c r="J23"/>
      <c r="K23"/>
      <c r="L23"/>
      <c r="M23"/>
      <c r="N23"/>
      <c r="O23"/>
      <c r="P23"/>
      <c r="Q23"/>
      <c r="R23"/>
      <c r="S23"/>
      <c r="T23"/>
      <c r="U23"/>
    </row>
    <row r="24" spans="1:21">
      <c r="A24" s="12"/>
      <c r="D24" s="168"/>
      <c r="E24" s="176"/>
      <c r="F24" s="177"/>
      <c r="G24" s="177"/>
      <c r="H24" s="177"/>
      <c r="I24"/>
      <c r="J24"/>
      <c r="K24"/>
      <c r="L24"/>
      <c r="M24"/>
      <c r="N24"/>
      <c r="O24"/>
      <c r="P24"/>
      <c r="Q24"/>
      <c r="R24"/>
      <c r="S24"/>
      <c r="T24"/>
      <c r="U24"/>
    </row>
    <row r="25" spans="1:21">
      <c r="A25" s="12"/>
      <c r="D25" s="167">
        <v>5</v>
      </c>
      <c r="E25" s="333" t="str">
        <f>'Marginal Capacity Costs Inputs'!E25</f>
        <v>No</v>
      </c>
      <c r="F25" s="333" t="str">
        <f>IF(E25="No","",'Marginal Capacity Costs Inputs'!F25)</f>
        <v/>
      </c>
      <c r="G25" s="333" t="str">
        <f>IF(E25="No","",'MCC - Calculations'!AJ32)</f>
        <v/>
      </c>
      <c r="H25" s="333" t="str">
        <f>IF(E25="No","",'MCC - Calculations'!AK32)</f>
        <v/>
      </c>
      <c r="I25"/>
      <c r="J25"/>
      <c r="K25"/>
      <c r="L25"/>
      <c r="M25"/>
      <c r="N25"/>
      <c r="O25"/>
      <c r="P25"/>
      <c r="Q25"/>
      <c r="R25"/>
      <c r="S25"/>
      <c r="T25"/>
      <c r="U25"/>
    </row>
    <row r="26" spans="1:21">
      <c r="A26" s="12"/>
      <c r="D26" s="168"/>
      <c r="E26" s="176"/>
      <c r="F26" s="177"/>
      <c r="G26" s="177"/>
      <c r="H26" s="177"/>
      <c r="I26"/>
      <c r="J26"/>
      <c r="K26"/>
      <c r="L26"/>
      <c r="M26"/>
      <c r="N26"/>
      <c r="O26"/>
      <c r="P26"/>
      <c r="Q26"/>
      <c r="R26"/>
      <c r="S26"/>
      <c r="T26"/>
      <c r="U26"/>
    </row>
    <row r="27" spans="1:21">
      <c r="A27" s="12"/>
      <c r="D27" s="167">
        <v>6</v>
      </c>
      <c r="E27" s="333" t="str">
        <f>'Marginal Capacity Costs Inputs'!E27</f>
        <v>No</v>
      </c>
      <c r="F27" s="333" t="str">
        <f>IF(E27="No","",'Marginal Capacity Costs Inputs'!F27)</f>
        <v/>
      </c>
      <c r="G27" s="333" t="str">
        <f>IF(E27="No","",'MCC - Calculations'!AJ34)</f>
        <v/>
      </c>
      <c r="H27" s="333" t="str">
        <f>IF(E27="No","",'MCC - Calculations'!AK34)</f>
        <v/>
      </c>
      <c r="I27"/>
      <c r="J27"/>
      <c r="K27"/>
      <c r="L27"/>
      <c r="M27"/>
      <c r="N27"/>
      <c r="O27"/>
      <c r="P27"/>
      <c r="Q27"/>
      <c r="R27"/>
      <c r="S27"/>
      <c r="T27"/>
      <c r="U27"/>
    </row>
    <row r="28" spans="1:21">
      <c r="A28" s="12"/>
      <c r="D28" s="168"/>
      <c r="E28" s="176"/>
      <c r="F28" s="177"/>
      <c r="G28" s="177"/>
      <c r="H28" s="177"/>
      <c r="I28"/>
      <c r="J28"/>
      <c r="K28"/>
      <c r="L28"/>
      <c r="M28"/>
      <c r="N28"/>
      <c r="O28"/>
      <c r="P28"/>
      <c r="Q28"/>
      <c r="R28"/>
      <c r="S28"/>
      <c r="T28"/>
      <c r="U28"/>
    </row>
    <row r="29" spans="1:21">
      <c r="A29" s="12"/>
      <c r="D29" s="167">
        <v>7</v>
      </c>
      <c r="E29" s="333" t="str">
        <f>'Marginal Capacity Costs Inputs'!E29</f>
        <v>No</v>
      </c>
      <c r="F29" s="333" t="str">
        <f>IF(E29="No","",'Marginal Capacity Costs Inputs'!F29)</f>
        <v/>
      </c>
      <c r="G29" s="333" t="str">
        <f>IF(E29="No","",'MCC - Calculations'!AJ36)</f>
        <v/>
      </c>
      <c r="H29" s="333" t="str">
        <f>IF(E29="No","",'MCC - Calculations'!AK36)</f>
        <v/>
      </c>
      <c r="I29"/>
      <c r="J29"/>
      <c r="K29"/>
      <c r="L29"/>
      <c r="M29"/>
      <c r="N29"/>
      <c r="O29"/>
      <c r="P29"/>
      <c r="Q29"/>
      <c r="R29"/>
      <c r="S29"/>
      <c r="T29"/>
      <c r="U29"/>
    </row>
    <row r="30" spans="1:21">
      <c r="A30" s="12"/>
      <c r="D30" s="168"/>
      <c r="E30" s="176"/>
      <c r="F30" s="177"/>
      <c r="G30" s="177"/>
      <c r="H30" s="177"/>
      <c r="I30"/>
      <c r="J30"/>
      <c r="K30"/>
      <c r="L30"/>
      <c r="M30"/>
      <c r="N30"/>
      <c r="O30"/>
      <c r="P30"/>
      <c r="Q30"/>
      <c r="R30"/>
      <c r="S30"/>
      <c r="T30"/>
      <c r="U30"/>
    </row>
    <row r="31" spans="1:21">
      <c r="A31" s="12"/>
      <c r="D31" s="167">
        <v>8</v>
      </c>
      <c r="E31" s="333" t="str">
        <f>'Marginal Capacity Costs Inputs'!E31</f>
        <v>No</v>
      </c>
      <c r="F31" s="333" t="str">
        <f>IF(E31="No","",'Marginal Capacity Costs Inputs'!F31)</f>
        <v/>
      </c>
      <c r="G31" s="333" t="str">
        <f>IF(E31="No","",'MCC - Calculations'!AJ38)</f>
        <v/>
      </c>
      <c r="H31" s="333" t="str">
        <f>IF(E31="No","",'MCC - Calculations'!AK38)</f>
        <v/>
      </c>
      <c r="I31"/>
      <c r="J31"/>
      <c r="K31"/>
      <c r="L31"/>
      <c r="M31"/>
      <c r="N31"/>
      <c r="O31"/>
      <c r="P31"/>
      <c r="Q31"/>
      <c r="R31"/>
      <c r="S31"/>
      <c r="T31"/>
      <c r="U31"/>
    </row>
    <row r="32" spans="1:21">
      <c r="A32" s="12"/>
      <c r="D32" s="168"/>
      <c r="E32" s="176"/>
      <c r="F32" s="177"/>
      <c r="G32" s="177"/>
      <c r="H32" s="177"/>
      <c r="I32"/>
      <c r="J32"/>
      <c r="K32"/>
      <c r="L32"/>
      <c r="M32"/>
      <c r="N32"/>
      <c r="O32"/>
      <c r="P32"/>
      <c r="Q32"/>
      <c r="R32"/>
      <c r="S32"/>
      <c r="T32"/>
      <c r="U32"/>
    </row>
    <row r="33" spans="1:21">
      <c r="A33" s="12"/>
      <c r="D33" s="167">
        <v>9</v>
      </c>
      <c r="E33" s="333" t="str">
        <f>'Marginal Capacity Costs Inputs'!E33</f>
        <v>No</v>
      </c>
      <c r="F33" s="333" t="str">
        <f>IF(E33="No","",'Marginal Capacity Costs Inputs'!F33)</f>
        <v/>
      </c>
      <c r="G33" s="333" t="str">
        <f>IF(E33="No","",'MCC - Calculations'!AJ40)</f>
        <v/>
      </c>
      <c r="H33" s="333" t="str">
        <f>IF(E33="No","",'MCC - Calculations'!AK40)</f>
        <v/>
      </c>
      <c r="I33"/>
      <c r="J33"/>
      <c r="K33"/>
      <c r="L33"/>
      <c r="M33"/>
      <c r="N33"/>
      <c r="O33"/>
      <c r="P33"/>
      <c r="Q33"/>
      <c r="R33"/>
      <c r="S33"/>
      <c r="T33"/>
      <c r="U33"/>
    </row>
    <row r="34" spans="1:21">
      <c r="A34" s="12"/>
      <c r="D34" s="168"/>
      <c r="E34" s="176"/>
      <c r="F34" s="177"/>
      <c r="G34" s="177"/>
      <c r="H34" s="177"/>
      <c r="I34"/>
      <c r="J34"/>
      <c r="K34"/>
      <c r="L34"/>
      <c r="M34"/>
      <c r="N34"/>
      <c r="O34"/>
      <c r="P34"/>
      <c r="Q34"/>
      <c r="R34"/>
      <c r="S34"/>
      <c r="T34"/>
      <c r="U34"/>
    </row>
    <row r="35" spans="1:21">
      <c r="A35" s="12"/>
      <c r="D35" s="167">
        <v>10</v>
      </c>
      <c r="E35" s="333" t="str">
        <f>'Marginal Capacity Costs Inputs'!E35</f>
        <v>No</v>
      </c>
      <c r="F35" s="333" t="str">
        <f>IF(E35="No","",'Marginal Capacity Costs Inputs'!F35)</f>
        <v/>
      </c>
      <c r="G35" s="333" t="str">
        <f>IF(E35="No","",'MCC - Calculations'!AJ42)</f>
        <v/>
      </c>
      <c r="H35" s="333" t="str">
        <f>IF(E35="No","",'MCC - Calculations'!AK42)</f>
        <v/>
      </c>
      <c r="I35"/>
      <c r="J35"/>
      <c r="K35"/>
      <c r="L35"/>
      <c r="M35"/>
      <c r="N35"/>
      <c r="O35"/>
      <c r="P35"/>
      <c r="Q35"/>
      <c r="R35"/>
      <c r="S35"/>
      <c r="T35"/>
      <c r="U35"/>
    </row>
    <row r="36" spans="1:21">
      <c r="A36" s="12"/>
      <c r="D36" s="168"/>
      <c r="E36" s="176"/>
      <c r="F36" s="177"/>
      <c r="G36" s="177"/>
      <c r="H36" s="177"/>
      <c r="I36"/>
      <c r="J36"/>
      <c r="K36"/>
      <c r="L36"/>
      <c r="M36"/>
      <c r="N36"/>
      <c r="O36"/>
      <c r="P36"/>
      <c r="Q36"/>
      <c r="R36"/>
      <c r="S36"/>
      <c r="T36"/>
      <c r="U36"/>
    </row>
    <row r="37" spans="1:21">
      <c r="A37" s="12"/>
      <c r="D37" s="167">
        <v>11</v>
      </c>
      <c r="E37" s="333" t="str">
        <f>'Marginal Capacity Costs Inputs'!E37</f>
        <v>No</v>
      </c>
      <c r="F37" s="333" t="str">
        <f>IF(E37="No","",'Marginal Capacity Costs Inputs'!F37)</f>
        <v/>
      </c>
      <c r="G37" s="333" t="str">
        <f>IF(E37="No","",'MCC - Calculations'!AJ44)</f>
        <v/>
      </c>
      <c r="H37" s="333" t="str">
        <f>IF(E37="No","",'MCC - Calculations'!AK44)</f>
        <v/>
      </c>
      <c r="I37"/>
      <c r="J37"/>
      <c r="K37"/>
      <c r="L37"/>
      <c r="M37"/>
      <c r="N37"/>
      <c r="O37"/>
      <c r="P37"/>
      <c r="Q37"/>
      <c r="R37"/>
      <c r="S37"/>
      <c r="T37"/>
      <c r="U37"/>
    </row>
    <row r="38" spans="1:21">
      <c r="A38" s="12"/>
      <c r="D38" s="168"/>
      <c r="E38" s="176"/>
      <c r="F38" s="177"/>
      <c r="G38" s="177"/>
      <c r="H38" s="177"/>
      <c r="I38"/>
      <c r="J38"/>
      <c r="K38"/>
      <c r="L38"/>
      <c r="M38"/>
      <c r="N38"/>
      <c r="O38"/>
      <c r="P38"/>
      <c r="Q38"/>
      <c r="R38"/>
      <c r="S38"/>
      <c r="T38"/>
      <c r="U38"/>
    </row>
    <row r="39" spans="1:21">
      <c r="A39" s="12"/>
      <c r="D39" s="167">
        <v>12</v>
      </c>
      <c r="E39" s="333" t="str">
        <f>'Marginal Capacity Costs Inputs'!E39</f>
        <v>No</v>
      </c>
      <c r="F39" s="333" t="str">
        <f>IF(E39="No","",'Marginal Capacity Costs Inputs'!F39)</f>
        <v/>
      </c>
      <c r="G39" s="333" t="str">
        <f>IF(E39="No","",'MCC - Calculations'!AJ46)</f>
        <v/>
      </c>
      <c r="H39" s="333" t="str">
        <f>IF(E39="No","",'MCC - Calculations'!AK46)</f>
        <v/>
      </c>
      <c r="I39"/>
      <c r="J39"/>
      <c r="K39"/>
      <c r="L39"/>
      <c r="M39"/>
      <c r="N39"/>
      <c r="O39"/>
      <c r="P39"/>
      <c r="Q39"/>
      <c r="R39"/>
      <c r="S39"/>
      <c r="T39"/>
      <c r="U39"/>
    </row>
    <row r="40" spans="1:21">
      <c r="A40" s="12"/>
      <c r="D40" s="168"/>
      <c r="E40" s="176"/>
      <c r="F40" s="177"/>
      <c r="G40" s="177"/>
      <c r="H40" s="177"/>
      <c r="I40"/>
      <c r="J40"/>
      <c r="K40"/>
      <c r="L40"/>
      <c r="M40"/>
      <c r="N40"/>
      <c r="O40"/>
      <c r="P40"/>
      <c r="Q40"/>
      <c r="R40"/>
      <c r="S40"/>
      <c r="T40"/>
      <c r="U40"/>
    </row>
    <row r="41" spans="1:21">
      <c r="A41" s="12"/>
      <c r="D41" s="167">
        <v>13</v>
      </c>
      <c r="E41" s="333" t="str">
        <f>'Marginal Capacity Costs Inputs'!E41</f>
        <v>No</v>
      </c>
      <c r="F41" s="333" t="str">
        <f>IF(E41="No","",'Marginal Capacity Costs Inputs'!F41)</f>
        <v/>
      </c>
      <c r="G41" s="333" t="str">
        <f>IF(E41="No","",'MCC - Calculations'!AJ48)</f>
        <v/>
      </c>
      <c r="H41" s="333" t="str">
        <f>IF(E41="No","",'MCC - Calculations'!AK48)</f>
        <v/>
      </c>
      <c r="I41"/>
      <c r="J41"/>
      <c r="K41"/>
      <c r="L41"/>
      <c r="M41"/>
      <c r="N41"/>
      <c r="O41"/>
      <c r="P41"/>
      <c r="Q41"/>
      <c r="R41"/>
      <c r="S41"/>
      <c r="T41"/>
      <c r="U41"/>
    </row>
    <row r="42" spans="1:21">
      <c r="A42" s="12"/>
      <c r="D42" s="168"/>
      <c r="E42" s="176"/>
      <c r="F42" s="177"/>
      <c r="G42" s="177"/>
      <c r="H42" s="177"/>
      <c r="I42"/>
      <c r="J42"/>
      <c r="K42"/>
      <c r="L42"/>
      <c r="M42"/>
      <c r="N42"/>
      <c r="O42"/>
      <c r="P42"/>
      <c r="Q42"/>
      <c r="R42"/>
      <c r="S42"/>
      <c r="T42"/>
      <c r="U42"/>
    </row>
    <row r="43" spans="1:21">
      <c r="A43" s="12"/>
      <c r="D43" s="167">
        <v>14</v>
      </c>
      <c r="E43" s="333" t="str">
        <f>'Marginal Capacity Costs Inputs'!E43</f>
        <v>No</v>
      </c>
      <c r="F43" s="333" t="str">
        <f>IF(E43="No","",'Marginal Capacity Costs Inputs'!F43)</f>
        <v/>
      </c>
      <c r="G43" s="333" t="str">
        <f>IF(E43="No","",'MCC - Calculations'!AJ50)</f>
        <v/>
      </c>
      <c r="H43" s="333" t="str">
        <f>IF(E43="No","",'MCC - Calculations'!AK50)</f>
        <v/>
      </c>
      <c r="I43"/>
      <c r="J43"/>
      <c r="K43"/>
      <c r="L43"/>
      <c r="M43"/>
      <c r="N43"/>
      <c r="O43"/>
      <c r="P43"/>
      <c r="Q43"/>
      <c r="R43"/>
      <c r="S43"/>
      <c r="T43"/>
      <c r="U43"/>
    </row>
    <row r="44" spans="1:21">
      <c r="A44" s="12"/>
      <c r="D44" s="168"/>
      <c r="E44" s="176"/>
      <c r="F44" s="177"/>
      <c r="G44" s="177"/>
      <c r="H44" s="177"/>
      <c r="I44"/>
      <c r="J44"/>
      <c r="K44"/>
      <c r="L44"/>
      <c r="M44"/>
      <c r="N44"/>
      <c r="O44"/>
      <c r="P44"/>
      <c r="Q44"/>
      <c r="R44"/>
      <c r="S44"/>
      <c r="T44"/>
      <c r="U44"/>
    </row>
    <row r="45" spans="1:21">
      <c r="A45" s="12"/>
      <c r="D45" s="167">
        <v>15</v>
      </c>
      <c r="E45" s="333" t="str">
        <f>'Marginal Capacity Costs Inputs'!E45</f>
        <v>No</v>
      </c>
      <c r="F45" s="333" t="str">
        <f>IF(E45="No","",'Marginal Capacity Costs Inputs'!F45)</f>
        <v/>
      </c>
      <c r="G45" s="333" t="str">
        <f>IF(E45="No","",'MCC - Calculations'!AJ52)</f>
        <v/>
      </c>
      <c r="H45" s="333" t="str">
        <f>IF(E45="No","",'MCC - Calculations'!AK52)</f>
        <v/>
      </c>
      <c r="I45"/>
      <c r="J45"/>
      <c r="K45"/>
      <c r="L45"/>
      <c r="M45"/>
      <c r="N45"/>
      <c r="O45"/>
      <c r="P45"/>
      <c r="Q45"/>
      <c r="R45"/>
      <c r="S45"/>
      <c r="T45"/>
      <c r="U45"/>
    </row>
    <row r="46" spans="1:21">
      <c r="A46" s="12"/>
      <c r="D46" s="168"/>
      <c r="E46" s="176"/>
      <c r="F46" s="177"/>
      <c r="G46" s="177"/>
      <c r="H46" s="177"/>
      <c r="I46"/>
      <c r="J46"/>
      <c r="K46"/>
      <c r="L46"/>
      <c r="M46"/>
      <c r="N46"/>
      <c r="O46"/>
      <c r="P46"/>
      <c r="Q46"/>
      <c r="R46"/>
      <c r="S46"/>
      <c r="T46"/>
      <c r="U46"/>
    </row>
    <row r="47" spans="1:21">
      <c r="A47" s="12"/>
      <c r="D47" s="167">
        <v>16</v>
      </c>
      <c r="E47" s="333" t="str">
        <f>'Marginal Capacity Costs Inputs'!E47</f>
        <v>No</v>
      </c>
      <c r="F47" s="333" t="str">
        <f>IF(E47="No","",'Marginal Capacity Costs Inputs'!F47)</f>
        <v/>
      </c>
      <c r="G47" s="333" t="str">
        <f>IF(E47="No","",'MCC - Calculations'!AJ54)</f>
        <v/>
      </c>
      <c r="H47" s="333" t="str">
        <f>IF(E47="No","",'MCC - Calculations'!AK54)</f>
        <v/>
      </c>
      <c r="I47"/>
      <c r="J47"/>
      <c r="K47"/>
      <c r="L47"/>
      <c r="M47"/>
      <c r="N47"/>
      <c r="O47"/>
      <c r="P47"/>
      <c r="Q47"/>
      <c r="R47"/>
      <c r="S47"/>
      <c r="T47"/>
      <c r="U47"/>
    </row>
    <row r="48" spans="1:21">
      <c r="A48" s="12"/>
      <c r="D48" s="168"/>
      <c r="E48" s="176"/>
      <c r="F48" s="177"/>
      <c r="G48" s="177"/>
      <c r="H48" s="177"/>
      <c r="I48"/>
      <c r="J48"/>
      <c r="K48"/>
      <c r="L48"/>
      <c r="M48"/>
      <c r="N48"/>
      <c r="O48"/>
      <c r="P48"/>
      <c r="Q48"/>
      <c r="R48"/>
      <c r="S48"/>
      <c r="T48"/>
      <c r="U48"/>
    </row>
    <row r="49" spans="1:21">
      <c r="A49" s="12"/>
      <c r="D49" s="167">
        <v>17</v>
      </c>
      <c r="E49" s="333" t="str">
        <f>'Marginal Capacity Costs Inputs'!E49</f>
        <v>No</v>
      </c>
      <c r="F49" s="333" t="str">
        <f>IF(E49="No","",'Marginal Capacity Costs Inputs'!F49)</f>
        <v/>
      </c>
      <c r="G49" s="333" t="str">
        <f>IF(E49="No","",'MCC - Calculations'!AJ56)</f>
        <v/>
      </c>
      <c r="H49" s="333" t="str">
        <f>IF(E49="No","",'MCC - Calculations'!AK56)</f>
        <v/>
      </c>
      <c r="I49"/>
      <c r="J49"/>
      <c r="K49"/>
      <c r="L49"/>
      <c r="M49"/>
      <c r="N49"/>
      <c r="O49"/>
      <c r="P49"/>
      <c r="Q49"/>
      <c r="R49"/>
      <c r="S49"/>
      <c r="T49"/>
      <c r="U49"/>
    </row>
    <row r="50" spans="1:21">
      <c r="A50" s="12"/>
      <c r="D50" s="168"/>
      <c r="E50" s="176"/>
      <c r="F50" s="177"/>
      <c r="G50" s="177"/>
      <c r="H50" s="177"/>
      <c r="I50"/>
      <c r="J50"/>
      <c r="K50"/>
      <c r="L50"/>
      <c r="M50"/>
      <c r="N50"/>
      <c r="O50"/>
      <c r="P50"/>
      <c r="Q50"/>
      <c r="R50"/>
      <c r="S50"/>
      <c r="T50"/>
      <c r="U50"/>
    </row>
    <row r="51" spans="1:21">
      <c r="A51" s="12"/>
      <c r="D51" s="167">
        <v>18</v>
      </c>
      <c r="E51" s="333" t="str">
        <f>'Marginal Capacity Costs Inputs'!E51</f>
        <v>No</v>
      </c>
      <c r="F51" s="333" t="str">
        <f>IF(E51="No","",'Marginal Capacity Costs Inputs'!F51)</f>
        <v/>
      </c>
      <c r="G51" s="333" t="str">
        <f>IF(E51="No","",'MCC - Calculations'!AJ58)</f>
        <v/>
      </c>
      <c r="H51" s="333" t="str">
        <f>IF(E51="No","",'MCC - Calculations'!AK58)</f>
        <v/>
      </c>
      <c r="I51"/>
      <c r="J51"/>
      <c r="K51"/>
      <c r="L51"/>
      <c r="M51"/>
      <c r="N51"/>
      <c r="O51"/>
      <c r="P51"/>
      <c r="Q51"/>
      <c r="R51"/>
      <c r="S51"/>
      <c r="T51"/>
      <c r="U51"/>
    </row>
    <row r="52" spans="1:21">
      <c r="A52" s="12"/>
      <c r="D52" s="168"/>
      <c r="E52" s="176"/>
      <c r="F52" s="177"/>
      <c r="G52" s="177"/>
      <c r="H52" s="177"/>
      <c r="I52"/>
      <c r="J52"/>
      <c r="K52"/>
      <c r="L52"/>
      <c r="M52"/>
      <c r="N52"/>
      <c r="O52"/>
      <c r="P52"/>
      <c r="Q52"/>
      <c r="R52"/>
      <c r="S52"/>
      <c r="T52"/>
      <c r="U52"/>
    </row>
    <row r="53" spans="1:21">
      <c r="A53" s="12"/>
      <c r="D53" s="167">
        <v>19</v>
      </c>
      <c r="E53" s="333" t="str">
        <f>'Marginal Capacity Costs Inputs'!E53</f>
        <v>No</v>
      </c>
      <c r="F53" s="333" t="str">
        <f>IF(E53="No","",'Marginal Capacity Costs Inputs'!F53)</f>
        <v/>
      </c>
      <c r="G53" s="333" t="str">
        <f>IF(E53="No","",'MCC - Calculations'!AJ60)</f>
        <v/>
      </c>
      <c r="H53" s="333" t="str">
        <f>IF(E53="No","",'MCC - Calculations'!AK60)</f>
        <v/>
      </c>
      <c r="I53"/>
      <c r="J53"/>
      <c r="K53"/>
      <c r="L53"/>
      <c r="M53"/>
      <c r="N53"/>
      <c r="O53"/>
      <c r="P53"/>
      <c r="Q53"/>
      <c r="R53"/>
      <c r="S53"/>
      <c r="T53"/>
      <c r="U53"/>
    </row>
    <row r="54" spans="1:21">
      <c r="A54" s="12"/>
      <c r="D54" s="168"/>
      <c r="E54" s="176"/>
      <c r="F54" s="177"/>
      <c r="G54" s="177"/>
      <c r="H54" s="177"/>
      <c r="I54"/>
      <c r="J54"/>
      <c r="K54"/>
      <c r="L54"/>
      <c r="M54"/>
      <c r="N54"/>
      <c r="O54"/>
      <c r="P54"/>
      <c r="Q54"/>
      <c r="R54"/>
      <c r="S54"/>
      <c r="T54"/>
      <c r="U54"/>
    </row>
    <row r="55" spans="1:21">
      <c r="A55" s="12"/>
      <c r="D55" s="167">
        <v>20</v>
      </c>
      <c r="E55" s="333" t="str">
        <f>'Marginal Capacity Costs Inputs'!E55</f>
        <v>No</v>
      </c>
      <c r="F55" s="333" t="str">
        <f>IF(E55="No","",'Marginal Capacity Costs Inputs'!F55)</f>
        <v/>
      </c>
      <c r="G55" s="333" t="str">
        <f>IF(E55="No","",'MCC - Calculations'!AJ62)</f>
        <v/>
      </c>
      <c r="H55" s="333" t="str">
        <f>IF(E55="No","",'MCC - Calculations'!AK62)</f>
        <v/>
      </c>
      <c r="I55"/>
      <c r="J55"/>
      <c r="K55"/>
      <c r="L55"/>
      <c r="M55"/>
      <c r="N55"/>
      <c r="O55"/>
      <c r="P55"/>
      <c r="Q55"/>
      <c r="R55"/>
      <c r="S55"/>
      <c r="T55"/>
      <c r="U55"/>
    </row>
    <row r="56" spans="1:21">
      <c r="A56" s="12"/>
      <c r="D56" s="168"/>
      <c r="E56" s="176"/>
      <c r="F56" s="177"/>
      <c r="G56" s="177"/>
      <c r="H56" s="177"/>
      <c r="I56"/>
      <c r="J56"/>
      <c r="K56"/>
      <c r="L56"/>
      <c r="M56"/>
      <c r="N56"/>
      <c r="O56"/>
      <c r="P56"/>
      <c r="Q56"/>
      <c r="R56"/>
      <c r="S56"/>
      <c r="T56"/>
      <c r="U56"/>
    </row>
    <row r="57" spans="1:21">
      <c r="A57" s="12"/>
      <c r="D57" s="167">
        <v>21</v>
      </c>
      <c r="E57" s="333" t="str">
        <f>'Marginal Capacity Costs Inputs'!E57</f>
        <v>No</v>
      </c>
      <c r="F57" s="333" t="str">
        <f>IF(E57="No","",'Marginal Capacity Costs Inputs'!F57)</f>
        <v/>
      </c>
      <c r="G57" s="333" t="str">
        <f>IF(E57="No","",'MCC - Calculations'!AJ64)</f>
        <v/>
      </c>
      <c r="H57" s="333" t="str">
        <f>IF(E57="No","",'MCC - Calculations'!AK64)</f>
        <v/>
      </c>
      <c r="I57"/>
      <c r="J57"/>
      <c r="K57"/>
      <c r="L57"/>
      <c r="M57"/>
      <c r="N57"/>
      <c r="O57"/>
      <c r="P57"/>
      <c r="Q57"/>
      <c r="R57"/>
      <c r="S57"/>
      <c r="T57"/>
      <c r="U57"/>
    </row>
    <row r="58" spans="1:21">
      <c r="A58" s="12"/>
      <c r="D58" s="168"/>
      <c r="E58" s="176"/>
      <c r="F58" s="177"/>
      <c r="G58" s="177"/>
      <c r="H58" s="177"/>
      <c r="I58"/>
      <c r="J58"/>
      <c r="K58"/>
      <c r="L58"/>
      <c r="M58"/>
      <c r="N58"/>
      <c r="O58"/>
      <c r="P58"/>
      <c r="Q58"/>
      <c r="R58"/>
      <c r="S58"/>
      <c r="T58"/>
      <c r="U58"/>
    </row>
    <row r="59" spans="1:21">
      <c r="A59" s="12"/>
      <c r="D59" s="167">
        <v>22</v>
      </c>
      <c r="E59" s="333" t="str">
        <f>'Marginal Capacity Costs Inputs'!E59</f>
        <v>No</v>
      </c>
      <c r="F59" s="333" t="str">
        <f>IF(E59="No","",'Marginal Capacity Costs Inputs'!F59)</f>
        <v/>
      </c>
      <c r="G59" s="333" t="str">
        <f>IF(E59="No","",'MCC - Calculations'!AJ66)</f>
        <v/>
      </c>
      <c r="H59" s="333" t="str">
        <f>IF(E59="No","",'MCC - Calculations'!AK66)</f>
        <v/>
      </c>
      <c r="I59"/>
      <c r="J59"/>
      <c r="K59"/>
      <c r="L59"/>
      <c r="M59"/>
      <c r="N59"/>
      <c r="O59"/>
      <c r="P59"/>
      <c r="Q59"/>
      <c r="R59"/>
      <c r="S59"/>
      <c r="T59"/>
      <c r="U59"/>
    </row>
    <row r="60" spans="1:21">
      <c r="A60" s="12"/>
      <c r="D60" s="168"/>
      <c r="E60" s="176"/>
      <c r="F60" s="177"/>
      <c r="G60" s="177"/>
      <c r="H60" s="177"/>
      <c r="I60"/>
      <c r="J60"/>
      <c r="K60"/>
      <c r="L60"/>
      <c r="M60"/>
      <c r="N60"/>
      <c r="O60"/>
      <c r="P60"/>
      <c r="Q60"/>
      <c r="R60"/>
      <c r="S60"/>
      <c r="T60"/>
      <c r="U60"/>
    </row>
    <row r="61" spans="1:21">
      <c r="A61" s="12"/>
      <c r="D61" s="167">
        <v>23</v>
      </c>
      <c r="E61" s="333" t="str">
        <f>'Marginal Capacity Costs Inputs'!E61</f>
        <v>No</v>
      </c>
      <c r="F61" s="333" t="str">
        <f>IF(E61="No","",'Marginal Capacity Costs Inputs'!F61)</f>
        <v/>
      </c>
      <c r="G61" s="333" t="str">
        <f>IF(E61="No","",'MCC - Calculations'!AJ68)</f>
        <v/>
      </c>
      <c r="H61" s="333" t="str">
        <f>IF(E61="No","",'MCC - Calculations'!AK68)</f>
        <v/>
      </c>
      <c r="I61"/>
      <c r="J61"/>
      <c r="K61"/>
      <c r="L61"/>
      <c r="M61"/>
      <c r="N61"/>
      <c r="O61"/>
      <c r="P61"/>
      <c r="Q61"/>
      <c r="R61"/>
      <c r="S61"/>
      <c r="T61"/>
      <c r="U61"/>
    </row>
    <row r="62" spans="1:21">
      <c r="A62" s="12"/>
      <c r="D62" s="168"/>
      <c r="E62" s="176"/>
      <c r="F62" s="177"/>
      <c r="G62" s="177"/>
      <c r="H62" s="177"/>
      <c r="I62"/>
      <c r="J62"/>
      <c r="K62"/>
      <c r="L62"/>
      <c r="M62"/>
      <c r="N62"/>
      <c r="O62"/>
      <c r="P62"/>
      <c r="Q62"/>
      <c r="R62"/>
      <c r="S62"/>
      <c r="T62"/>
      <c r="U62"/>
    </row>
    <row r="63" spans="1:21">
      <c r="A63" s="12"/>
      <c r="D63" s="167">
        <v>24</v>
      </c>
      <c r="E63" s="333" t="str">
        <f>'Marginal Capacity Costs Inputs'!E63</f>
        <v>No</v>
      </c>
      <c r="F63" s="333" t="str">
        <f>IF(E63="No","",'Marginal Capacity Costs Inputs'!F63)</f>
        <v/>
      </c>
      <c r="G63" s="333" t="str">
        <f>IF(E63="No","",'MCC - Calculations'!AJ70)</f>
        <v/>
      </c>
      <c r="H63" s="333" t="str">
        <f>IF(E63="No","",'MCC - Calculations'!AK70)</f>
        <v/>
      </c>
      <c r="I63"/>
      <c r="J63"/>
      <c r="K63"/>
      <c r="L63"/>
      <c r="M63"/>
      <c r="N63"/>
      <c r="O63"/>
      <c r="P63"/>
      <c r="Q63"/>
      <c r="R63"/>
      <c r="S63"/>
      <c r="T63"/>
      <c r="U63"/>
    </row>
    <row r="64" spans="1:21">
      <c r="A64" s="12"/>
      <c r="D64" s="168"/>
      <c r="E64" s="176"/>
      <c r="F64" s="177"/>
      <c r="G64" s="177"/>
      <c r="H64" s="177"/>
      <c r="I64"/>
      <c r="J64"/>
      <c r="K64"/>
      <c r="L64"/>
      <c r="M64"/>
      <c r="N64"/>
      <c r="O64"/>
      <c r="P64"/>
      <c r="Q64"/>
      <c r="R64"/>
      <c r="S64"/>
      <c r="T64"/>
      <c r="U64"/>
    </row>
    <row r="65" spans="1:21">
      <c r="A65" s="12"/>
      <c r="D65" s="167">
        <v>25</v>
      </c>
      <c r="E65" s="333" t="str">
        <f>'Marginal Capacity Costs Inputs'!E65</f>
        <v>No</v>
      </c>
      <c r="F65" s="333" t="str">
        <f>IF(E65="No","",'Marginal Capacity Costs Inputs'!F65)</f>
        <v/>
      </c>
      <c r="G65" s="333" t="str">
        <f>IF(E65="No","",'MCC - Calculations'!AJ72)</f>
        <v/>
      </c>
      <c r="H65" s="333" t="str">
        <f>IF(E65="No","",'MCC - Calculations'!AK72)</f>
        <v/>
      </c>
      <c r="I65"/>
      <c r="J65"/>
      <c r="K65"/>
      <c r="L65"/>
      <c r="M65"/>
      <c r="N65"/>
      <c r="O65"/>
      <c r="P65"/>
      <c r="Q65"/>
      <c r="R65"/>
      <c r="S65"/>
      <c r="T65"/>
      <c r="U65"/>
    </row>
    <row r="66" spans="1:21">
      <c r="A66" s="12"/>
      <c r="D66" s="168"/>
      <c r="E66" s="176"/>
      <c r="F66" s="177"/>
      <c r="G66" s="177"/>
      <c r="H66" s="177"/>
      <c r="I66"/>
      <c r="J66"/>
      <c r="K66"/>
      <c r="L66"/>
      <c r="M66"/>
      <c r="N66"/>
      <c r="O66"/>
      <c r="P66"/>
      <c r="Q66"/>
      <c r="R66"/>
      <c r="S66"/>
      <c r="T66"/>
      <c r="U66"/>
    </row>
    <row r="67" spans="1:21">
      <c r="A67" s="12"/>
      <c r="D67" s="167">
        <v>26</v>
      </c>
      <c r="E67" s="333" t="str">
        <f>'Marginal Capacity Costs Inputs'!E67</f>
        <v>No</v>
      </c>
      <c r="F67" s="333" t="str">
        <f>IF(E67="No","",'Marginal Capacity Costs Inputs'!F67)</f>
        <v/>
      </c>
      <c r="G67" s="333" t="str">
        <f>IF(E67="No","",'MCC - Calculations'!AJ74)</f>
        <v/>
      </c>
      <c r="H67" s="333" t="str">
        <f>IF(E67="No","",'MCC - Calculations'!AK74)</f>
        <v/>
      </c>
      <c r="I67"/>
      <c r="J67"/>
      <c r="K67"/>
      <c r="L67"/>
      <c r="M67"/>
      <c r="N67"/>
      <c r="O67"/>
      <c r="P67"/>
      <c r="Q67"/>
      <c r="R67"/>
      <c r="S67"/>
      <c r="T67"/>
      <c r="U67"/>
    </row>
    <row r="68" spans="1:21">
      <c r="A68" s="12"/>
      <c r="D68" s="168"/>
      <c r="E68" s="176"/>
      <c r="F68" s="177"/>
      <c r="G68" s="177"/>
      <c r="H68" s="177"/>
      <c r="I68"/>
      <c r="J68"/>
      <c r="K68"/>
      <c r="L68"/>
      <c r="M68"/>
      <c r="N68"/>
      <c r="O68"/>
      <c r="P68"/>
      <c r="Q68"/>
      <c r="R68"/>
      <c r="S68"/>
      <c r="T68"/>
      <c r="U68"/>
    </row>
    <row r="69" spans="1:21">
      <c r="A69" s="12"/>
      <c r="D69" s="167">
        <v>27</v>
      </c>
      <c r="E69" s="333" t="str">
        <f>'Marginal Capacity Costs Inputs'!E69</f>
        <v>No</v>
      </c>
      <c r="F69" s="333" t="str">
        <f>IF(E69="No","",'Marginal Capacity Costs Inputs'!F69)</f>
        <v/>
      </c>
      <c r="G69" s="333" t="str">
        <f>IF(E69="No","",'MCC - Calculations'!AJ76)</f>
        <v/>
      </c>
      <c r="H69" s="333" t="str">
        <f>IF(E69="No","",'MCC - Calculations'!AK76)</f>
        <v/>
      </c>
      <c r="I69"/>
      <c r="J69"/>
      <c r="K69"/>
      <c r="L69"/>
      <c r="M69"/>
      <c r="N69"/>
      <c r="O69"/>
      <c r="P69"/>
      <c r="Q69"/>
      <c r="R69"/>
      <c r="S69"/>
      <c r="T69"/>
      <c r="U69"/>
    </row>
    <row r="70" spans="1:21">
      <c r="A70" s="12"/>
      <c r="D70" s="168"/>
      <c r="E70" s="176"/>
      <c r="F70" s="177"/>
      <c r="G70" s="177"/>
      <c r="H70" s="177"/>
      <c r="I70"/>
      <c r="J70"/>
      <c r="K70"/>
      <c r="L70"/>
      <c r="M70"/>
      <c r="N70"/>
      <c r="O70"/>
      <c r="P70"/>
      <c r="Q70"/>
      <c r="R70"/>
      <c r="S70"/>
      <c r="T70"/>
      <c r="U70"/>
    </row>
    <row r="71" spans="1:21">
      <c r="A71" s="12"/>
      <c r="D71" s="167">
        <v>28</v>
      </c>
      <c r="E71" s="333" t="str">
        <f>'Marginal Capacity Costs Inputs'!E71</f>
        <v>No</v>
      </c>
      <c r="F71" s="333" t="str">
        <f>IF(E71="No","",'Marginal Capacity Costs Inputs'!F71)</f>
        <v/>
      </c>
      <c r="G71" s="333" t="str">
        <f>IF(E71="No","",'MCC - Calculations'!AJ78)</f>
        <v/>
      </c>
      <c r="H71" s="333" t="str">
        <f>IF(E71="No","",'MCC - Calculations'!AK78)</f>
        <v/>
      </c>
      <c r="I71"/>
      <c r="J71"/>
      <c r="K71"/>
      <c r="L71"/>
      <c r="M71"/>
      <c r="N71"/>
      <c r="O71"/>
      <c r="P71"/>
      <c r="Q71"/>
      <c r="R71"/>
      <c r="S71"/>
      <c r="T71"/>
      <c r="U71"/>
    </row>
    <row r="72" spans="1:21">
      <c r="A72" s="12"/>
      <c r="D72" s="168"/>
      <c r="E72" s="176"/>
      <c r="F72" s="177"/>
      <c r="G72" s="177"/>
      <c r="H72" s="177"/>
      <c r="I72"/>
      <c r="J72"/>
      <c r="K72"/>
      <c r="L72"/>
      <c r="M72"/>
      <c r="N72"/>
      <c r="O72"/>
      <c r="P72"/>
      <c r="Q72"/>
      <c r="R72"/>
      <c r="S72"/>
      <c r="T72"/>
      <c r="U72"/>
    </row>
    <row r="73" spans="1:21">
      <c r="A73" s="12"/>
      <c r="D73" s="167">
        <v>29</v>
      </c>
      <c r="E73" s="333" t="str">
        <f>'Marginal Capacity Costs Inputs'!E73</f>
        <v>No</v>
      </c>
      <c r="F73" s="333" t="str">
        <f>IF(E73="No","",'Marginal Capacity Costs Inputs'!F73)</f>
        <v/>
      </c>
      <c r="G73" s="333" t="str">
        <f>IF(E73="No","",'MCC - Calculations'!AJ80)</f>
        <v/>
      </c>
      <c r="H73" s="333" t="str">
        <f>IF(E73="No","",'MCC - Calculations'!AK80)</f>
        <v/>
      </c>
      <c r="I73"/>
      <c r="J73"/>
      <c r="K73"/>
      <c r="L73"/>
      <c r="M73"/>
      <c r="N73"/>
      <c r="O73"/>
      <c r="P73"/>
      <c r="Q73"/>
      <c r="R73"/>
      <c r="S73"/>
      <c r="T73"/>
      <c r="U73"/>
    </row>
    <row r="74" spans="1:21">
      <c r="A74" s="12"/>
      <c r="D74" s="168"/>
      <c r="E74" s="176"/>
      <c r="F74" s="177"/>
      <c r="G74" s="177"/>
      <c r="H74" s="177"/>
      <c r="I74"/>
      <c r="J74"/>
      <c r="K74"/>
      <c r="L74"/>
      <c r="M74"/>
      <c r="N74"/>
      <c r="O74"/>
      <c r="P74"/>
      <c r="Q74"/>
      <c r="R74"/>
      <c r="S74"/>
      <c r="T74"/>
      <c r="U74"/>
    </row>
    <row r="75" spans="1:21">
      <c r="A75" s="12"/>
      <c r="D75" s="167">
        <v>30</v>
      </c>
      <c r="E75" s="333" t="str">
        <f>'Marginal Capacity Costs Inputs'!E75</f>
        <v>No</v>
      </c>
      <c r="F75" s="333" t="str">
        <f>IF(E75="No","",'Marginal Capacity Costs Inputs'!F75)</f>
        <v/>
      </c>
      <c r="G75" s="333" t="str">
        <f>IF(E75="No","",'MCC - Calculations'!AJ82)</f>
        <v/>
      </c>
      <c r="H75" s="333" t="str">
        <f>IF(E75="No","",'MCC - Calculations'!AK82)</f>
        <v/>
      </c>
      <c r="I75"/>
      <c r="J75"/>
      <c r="K75"/>
      <c r="L75"/>
      <c r="M75"/>
      <c r="N75"/>
      <c r="O75"/>
      <c r="P75"/>
      <c r="Q75"/>
      <c r="R75"/>
      <c r="S75"/>
      <c r="T75"/>
      <c r="U75"/>
    </row>
    <row r="76" spans="1:21">
      <c r="A76" s="12"/>
      <c r="D76" s="168"/>
      <c r="E76" s="176"/>
      <c r="F76" s="177"/>
      <c r="G76" s="177"/>
      <c r="H76" s="177"/>
      <c r="I76"/>
      <c r="J76"/>
      <c r="K76"/>
      <c r="L76"/>
      <c r="M76"/>
      <c r="N76"/>
      <c r="O76"/>
      <c r="P76"/>
      <c r="Q76"/>
      <c r="R76"/>
      <c r="S76"/>
      <c r="T76"/>
      <c r="U76"/>
    </row>
    <row r="77" spans="1:21">
      <c r="A77" s="12"/>
      <c r="D77" s="167">
        <v>31</v>
      </c>
      <c r="E77" s="333" t="str">
        <f>'Marginal Capacity Costs Inputs'!E77</f>
        <v>No</v>
      </c>
      <c r="F77" s="333" t="str">
        <f>IF(E77="No","",'Marginal Capacity Costs Inputs'!F77)</f>
        <v/>
      </c>
      <c r="G77" s="333" t="str">
        <f>IF(E77="No","",'MCC - Calculations'!AJ84)</f>
        <v/>
      </c>
      <c r="H77" s="333" t="str">
        <f>IF(E77="No","",'MCC - Calculations'!AK84)</f>
        <v/>
      </c>
      <c r="I77"/>
      <c r="J77"/>
      <c r="K77"/>
      <c r="L77"/>
      <c r="M77"/>
      <c r="N77"/>
      <c r="O77"/>
      <c r="P77"/>
      <c r="Q77"/>
      <c r="R77"/>
      <c r="S77"/>
      <c r="T77"/>
      <c r="U77"/>
    </row>
    <row r="78" spans="1:21">
      <c r="A78" s="12"/>
      <c r="D78" s="168"/>
      <c r="E78" s="176"/>
      <c r="F78" s="177"/>
      <c r="G78" s="177"/>
      <c r="H78" s="177"/>
      <c r="I78"/>
      <c r="J78"/>
      <c r="K78"/>
      <c r="L78"/>
      <c r="M78"/>
      <c r="N78"/>
      <c r="O78"/>
      <c r="P78"/>
      <c r="Q78"/>
      <c r="R78"/>
      <c r="S78"/>
      <c r="T78"/>
      <c r="U78"/>
    </row>
    <row r="79" spans="1:21">
      <c r="A79" s="12"/>
      <c r="D79" s="167">
        <v>32</v>
      </c>
      <c r="E79" s="333" t="str">
        <f>'Marginal Capacity Costs Inputs'!E79</f>
        <v>No</v>
      </c>
      <c r="F79" s="333" t="str">
        <f>IF(E79="No","",'Marginal Capacity Costs Inputs'!F79)</f>
        <v/>
      </c>
      <c r="G79" s="333" t="str">
        <f>IF(E79="No","",'MCC - Calculations'!AJ86)</f>
        <v/>
      </c>
      <c r="H79" s="333" t="str">
        <f>IF(E79="No","",'MCC - Calculations'!AK86)</f>
        <v/>
      </c>
      <c r="I79"/>
      <c r="J79"/>
      <c r="K79"/>
      <c r="L79"/>
      <c r="M79"/>
      <c r="N79"/>
      <c r="O79"/>
      <c r="P79"/>
      <c r="Q79"/>
      <c r="R79"/>
      <c r="S79"/>
      <c r="T79"/>
      <c r="U79"/>
    </row>
    <row r="80" spans="1:21">
      <c r="A80" s="12"/>
      <c r="D80" s="168"/>
      <c r="E80" s="176"/>
      <c r="F80" s="177"/>
      <c r="G80" s="177"/>
      <c r="H80" s="177"/>
      <c r="I80"/>
      <c r="J80"/>
      <c r="K80"/>
      <c r="L80"/>
      <c r="M80"/>
      <c r="N80"/>
      <c r="O80"/>
      <c r="P80"/>
      <c r="Q80"/>
      <c r="R80"/>
      <c r="S80"/>
      <c r="T80"/>
      <c r="U80"/>
    </row>
    <row r="81" spans="1:21">
      <c r="A81" s="12"/>
      <c r="D81" s="167">
        <v>33</v>
      </c>
      <c r="E81" s="333" t="str">
        <f>'Marginal Capacity Costs Inputs'!E81</f>
        <v>No</v>
      </c>
      <c r="F81" s="333" t="str">
        <f>IF(E81="No","",'Marginal Capacity Costs Inputs'!F81)</f>
        <v/>
      </c>
      <c r="G81" s="333" t="str">
        <f>IF(E81="No","",'MCC - Calculations'!AJ88)</f>
        <v/>
      </c>
      <c r="H81" s="333" t="str">
        <f>IF(E81="No","",'MCC - Calculations'!AK88)</f>
        <v/>
      </c>
      <c r="I81"/>
      <c r="J81"/>
      <c r="K81"/>
      <c r="L81"/>
      <c r="M81"/>
      <c r="N81"/>
      <c r="O81"/>
      <c r="P81"/>
      <c r="Q81"/>
      <c r="R81"/>
      <c r="S81"/>
      <c r="T81"/>
      <c r="U81"/>
    </row>
    <row r="82" spans="1:21">
      <c r="A82" s="12"/>
      <c r="D82" s="168"/>
      <c r="E82" s="176"/>
      <c r="F82" s="177"/>
      <c r="G82" s="177"/>
      <c r="H82" s="177"/>
      <c r="I82"/>
      <c r="J82"/>
      <c r="K82"/>
      <c r="L82"/>
      <c r="M82"/>
      <c r="N82"/>
      <c r="O82"/>
      <c r="P82"/>
      <c r="Q82"/>
      <c r="R82"/>
      <c r="S82"/>
      <c r="T82"/>
      <c r="U82"/>
    </row>
    <row r="83" spans="1:21">
      <c r="A83" s="12"/>
      <c r="D83" s="167">
        <v>34</v>
      </c>
      <c r="E83" s="333" t="str">
        <f>'Marginal Capacity Costs Inputs'!E83</f>
        <v>No</v>
      </c>
      <c r="F83" s="333" t="str">
        <f>IF(E83="No","",'Marginal Capacity Costs Inputs'!F83)</f>
        <v/>
      </c>
      <c r="G83" s="333" t="str">
        <f>IF(E83="No","",'MCC - Calculations'!AJ90)</f>
        <v/>
      </c>
      <c r="H83" s="333" t="str">
        <f>IF(E83="No","",'MCC - Calculations'!AK90)</f>
        <v/>
      </c>
      <c r="I83"/>
      <c r="J83"/>
      <c r="K83"/>
      <c r="L83"/>
      <c r="M83"/>
      <c r="N83"/>
      <c r="O83"/>
      <c r="P83"/>
      <c r="Q83"/>
      <c r="R83"/>
      <c r="S83"/>
      <c r="T83"/>
      <c r="U83"/>
    </row>
    <row r="84" spans="1:21">
      <c r="A84" s="12"/>
      <c r="D84" s="168"/>
      <c r="E84" s="176"/>
      <c r="F84" s="177"/>
      <c r="G84" s="177"/>
      <c r="H84" s="177"/>
      <c r="I84"/>
      <c r="J84"/>
      <c r="K84"/>
      <c r="L84"/>
      <c r="M84"/>
      <c r="N84"/>
      <c r="O84"/>
      <c r="P84"/>
      <c r="Q84"/>
      <c r="R84"/>
      <c r="S84"/>
      <c r="T84"/>
      <c r="U84"/>
    </row>
    <row r="85" spans="1:21">
      <c r="A85" s="12"/>
      <c r="D85" s="167">
        <v>35</v>
      </c>
      <c r="E85" s="333" t="str">
        <f>'Marginal Capacity Costs Inputs'!E85</f>
        <v>No</v>
      </c>
      <c r="F85" s="333" t="str">
        <f>IF(E85="No","",'Marginal Capacity Costs Inputs'!F85)</f>
        <v/>
      </c>
      <c r="G85" s="333" t="str">
        <f>IF(E85="No","",'MCC - Calculations'!AJ92)</f>
        <v/>
      </c>
      <c r="H85" s="333" t="str">
        <f>IF(E85="No","",'MCC - Calculations'!AK92)</f>
        <v/>
      </c>
      <c r="I85"/>
      <c r="J85"/>
      <c r="K85"/>
      <c r="L85"/>
      <c r="M85"/>
      <c r="N85"/>
      <c r="O85"/>
      <c r="P85"/>
      <c r="Q85"/>
      <c r="R85"/>
      <c r="S85"/>
      <c r="T85"/>
      <c r="U85"/>
    </row>
    <row r="86" spans="1:21">
      <c r="A86" s="12"/>
      <c r="D86" s="168"/>
      <c r="E86" s="176"/>
      <c r="F86" s="177"/>
      <c r="G86" s="177"/>
      <c r="H86" s="177"/>
      <c r="I86"/>
      <c r="J86"/>
      <c r="K86"/>
      <c r="L86"/>
      <c r="M86"/>
      <c r="N86"/>
      <c r="O86"/>
      <c r="P86"/>
      <c r="Q86"/>
      <c r="R86"/>
      <c r="S86"/>
      <c r="T86"/>
      <c r="U86"/>
    </row>
    <row r="87" spans="1:21">
      <c r="A87" s="12"/>
      <c r="D87" s="167">
        <v>36</v>
      </c>
      <c r="E87" s="333" t="str">
        <f>'Marginal Capacity Costs Inputs'!E87</f>
        <v>No</v>
      </c>
      <c r="F87" s="333" t="str">
        <f>IF(E87="No","",'Marginal Capacity Costs Inputs'!F87)</f>
        <v/>
      </c>
      <c r="G87" s="333" t="str">
        <f>IF(E87="No","",'MCC - Calculations'!AJ94)</f>
        <v/>
      </c>
      <c r="H87" s="333" t="str">
        <f>IF(E87="No","",'MCC - Calculations'!AK94)</f>
        <v/>
      </c>
      <c r="I87"/>
      <c r="J87"/>
      <c r="K87"/>
      <c r="L87"/>
      <c r="M87"/>
      <c r="N87"/>
      <c r="O87"/>
      <c r="P87"/>
      <c r="Q87"/>
      <c r="R87"/>
      <c r="S87"/>
      <c r="T87"/>
      <c r="U87"/>
    </row>
    <row r="88" spans="1:21">
      <c r="A88" s="12"/>
      <c r="D88" s="168"/>
      <c r="E88" s="176"/>
      <c r="F88" s="177"/>
      <c r="G88" s="177"/>
      <c r="H88" s="177"/>
      <c r="I88"/>
      <c r="J88"/>
      <c r="K88"/>
      <c r="L88"/>
      <c r="M88"/>
      <c r="N88"/>
      <c r="O88"/>
      <c r="P88"/>
      <c r="Q88"/>
      <c r="R88"/>
      <c r="S88"/>
      <c r="T88"/>
      <c r="U88"/>
    </row>
    <row r="89" spans="1:21">
      <c r="A89" s="12"/>
      <c r="D89" s="167">
        <v>37</v>
      </c>
      <c r="E89" s="333" t="str">
        <f>'Marginal Capacity Costs Inputs'!E89</f>
        <v>No</v>
      </c>
      <c r="F89" s="333" t="str">
        <f>IF(E89="No","",'Marginal Capacity Costs Inputs'!F89)</f>
        <v/>
      </c>
      <c r="G89" s="333" t="str">
        <f>IF(E89="No","",'MCC - Calculations'!AJ96)</f>
        <v/>
      </c>
      <c r="H89" s="333" t="str">
        <f>IF(E89="No","",'MCC - Calculations'!AK96)</f>
        <v/>
      </c>
      <c r="I89"/>
      <c r="J89"/>
      <c r="K89"/>
      <c r="L89"/>
      <c r="M89"/>
      <c r="N89"/>
      <c r="O89"/>
      <c r="P89"/>
      <c r="Q89"/>
      <c r="R89"/>
      <c r="S89"/>
      <c r="T89"/>
      <c r="U89"/>
    </row>
    <row r="90" spans="1:21">
      <c r="A90" s="12"/>
      <c r="D90" s="168"/>
      <c r="E90" s="176"/>
      <c r="F90" s="177"/>
      <c r="G90" s="177"/>
      <c r="H90" s="177"/>
      <c r="I90"/>
      <c r="J90"/>
      <c r="K90"/>
      <c r="L90"/>
      <c r="M90"/>
      <c r="N90"/>
      <c r="O90"/>
      <c r="P90"/>
      <c r="Q90"/>
      <c r="R90"/>
      <c r="S90"/>
      <c r="T90"/>
      <c r="U90"/>
    </row>
    <row r="91" spans="1:21">
      <c r="A91" s="12"/>
      <c r="D91" s="167">
        <v>38</v>
      </c>
      <c r="E91" s="333" t="str">
        <f>'Marginal Capacity Costs Inputs'!E91</f>
        <v>No</v>
      </c>
      <c r="F91" s="333" t="str">
        <f>IF(E91="No","",'Marginal Capacity Costs Inputs'!F91)</f>
        <v/>
      </c>
      <c r="G91" s="333" t="str">
        <f>IF(E91="No","",'MCC - Calculations'!AJ98)</f>
        <v/>
      </c>
      <c r="H91" s="333" t="str">
        <f>IF(E91="No","",'MCC - Calculations'!AK98)</f>
        <v/>
      </c>
      <c r="I91"/>
      <c r="J91"/>
      <c r="K91"/>
      <c r="L91"/>
      <c r="M91"/>
      <c r="N91"/>
      <c r="O91"/>
      <c r="P91"/>
      <c r="Q91"/>
      <c r="R91"/>
      <c r="S91"/>
      <c r="T91"/>
      <c r="U91"/>
    </row>
    <row r="92" spans="1:21">
      <c r="A92" s="12"/>
      <c r="D92" s="168"/>
      <c r="E92" s="176"/>
      <c r="F92" s="177"/>
      <c r="G92" s="177"/>
      <c r="H92" s="177"/>
      <c r="I92"/>
      <c r="J92"/>
      <c r="K92"/>
      <c r="L92"/>
      <c r="M92"/>
      <c r="N92"/>
      <c r="O92"/>
      <c r="P92"/>
      <c r="Q92"/>
      <c r="R92"/>
      <c r="S92"/>
      <c r="T92"/>
      <c r="U92"/>
    </row>
    <row r="93" spans="1:21">
      <c r="A93" s="12"/>
      <c r="D93" s="167">
        <v>39</v>
      </c>
      <c r="E93" s="333" t="str">
        <f>'Marginal Capacity Costs Inputs'!E93</f>
        <v>No</v>
      </c>
      <c r="F93" s="333" t="str">
        <f>IF(E93="No","",'Marginal Capacity Costs Inputs'!F93)</f>
        <v/>
      </c>
      <c r="G93" s="333" t="str">
        <f>IF(E93="No","",'MCC - Calculations'!AJ100)</f>
        <v/>
      </c>
      <c r="H93" s="333" t="str">
        <f>IF(E93="No","",'MCC - Calculations'!AK100)</f>
        <v/>
      </c>
      <c r="I93"/>
      <c r="J93"/>
      <c r="K93"/>
      <c r="L93"/>
      <c r="M93"/>
      <c r="N93"/>
      <c r="O93"/>
      <c r="P93"/>
      <c r="Q93"/>
      <c r="R93"/>
      <c r="S93"/>
      <c r="T93"/>
      <c r="U93"/>
    </row>
    <row r="94" spans="1:21">
      <c r="A94" s="12"/>
      <c r="D94" s="168"/>
      <c r="E94" s="176"/>
      <c r="F94" s="177"/>
      <c r="G94" s="177"/>
      <c r="H94" s="177"/>
      <c r="I94"/>
      <c r="J94"/>
      <c r="K94"/>
      <c r="L94"/>
      <c r="M94"/>
      <c r="N94"/>
      <c r="O94"/>
      <c r="P94"/>
      <c r="Q94"/>
      <c r="R94"/>
      <c r="S94"/>
      <c r="T94"/>
      <c r="U94"/>
    </row>
    <row r="95" spans="1:21">
      <c r="A95" s="12"/>
      <c r="D95" s="167">
        <v>40</v>
      </c>
      <c r="E95" s="333" t="str">
        <f>'Marginal Capacity Costs Inputs'!E95</f>
        <v>No</v>
      </c>
      <c r="F95" s="333" t="str">
        <f>IF(E95="No","",'Marginal Capacity Costs Inputs'!F95)</f>
        <v/>
      </c>
      <c r="G95" s="333" t="str">
        <f>IF(E95="No","",'MCC - Calculations'!AJ102)</f>
        <v/>
      </c>
      <c r="H95" s="333" t="str">
        <f>IF(E95="No","",'MCC - Calculations'!AK102)</f>
        <v/>
      </c>
      <c r="I95"/>
      <c r="J95"/>
      <c r="K95"/>
      <c r="L95"/>
      <c r="M95"/>
      <c r="N95"/>
      <c r="O95"/>
      <c r="P95"/>
      <c r="Q95"/>
      <c r="R95"/>
      <c r="S95"/>
      <c r="T95"/>
      <c r="U95"/>
    </row>
    <row r="96" spans="1:21">
      <c r="A96" s="12"/>
      <c r="D96" s="168"/>
      <c r="E96" s="176"/>
      <c r="F96" s="177"/>
      <c r="G96" s="177"/>
      <c r="H96" s="177"/>
      <c r="I96"/>
      <c r="J96"/>
      <c r="K96"/>
      <c r="L96"/>
      <c r="M96"/>
      <c r="N96"/>
      <c r="O96"/>
      <c r="P96"/>
      <c r="Q96"/>
      <c r="R96"/>
      <c r="S96"/>
      <c r="T96"/>
      <c r="U96"/>
    </row>
    <row r="97" spans="1:21">
      <c r="A97" s="12"/>
      <c r="D97" s="167">
        <v>41</v>
      </c>
      <c r="E97" s="333" t="str">
        <f>'Marginal Capacity Costs Inputs'!E97</f>
        <v>No</v>
      </c>
      <c r="F97" s="333" t="str">
        <f>IF(E97="No","",'Marginal Capacity Costs Inputs'!F97)</f>
        <v/>
      </c>
      <c r="G97" s="333" t="str">
        <f>IF(E97="No","",'MCC - Calculations'!AJ104)</f>
        <v/>
      </c>
      <c r="H97" s="333" t="str">
        <f>IF(E97="No","",'MCC - Calculations'!AK104)</f>
        <v/>
      </c>
      <c r="I97"/>
      <c r="J97"/>
      <c r="K97"/>
      <c r="L97"/>
      <c r="M97"/>
      <c r="N97"/>
      <c r="O97"/>
      <c r="P97"/>
      <c r="Q97"/>
      <c r="R97"/>
      <c r="S97"/>
      <c r="T97"/>
      <c r="U97"/>
    </row>
    <row r="98" spans="1:21">
      <c r="A98" s="12"/>
      <c r="D98" s="168"/>
      <c r="E98" s="176"/>
      <c r="F98" s="177"/>
      <c r="G98" s="177"/>
      <c r="H98" s="177"/>
      <c r="I98"/>
      <c r="J98"/>
      <c r="K98"/>
      <c r="L98"/>
      <c r="M98"/>
      <c r="N98"/>
      <c r="O98"/>
      <c r="P98"/>
      <c r="Q98"/>
      <c r="R98"/>
      <c r="S98"/>
      <c r="T98"/>
      <c r="U98"/>
    </row>
    <row r="99" spans="1:21">
      <c r="A99" s="12"/>
      <c r="D99" s="167">
        <v>42</v>
      </c>
      <c r="E99" s="333" t="str">
        <f>'Marginal Capacity Costs Inputs'!E99</f>
        <v>No</v>
      </c>
      <c r="F99" s="333" t="str">
        <f>IF(E99="No","",'Marginal Capacity Costs Inputs'!F99)</f>
        <v/>
      </c>
      <c r="G99" s="333" t="str">
        <f>IF(E99="No","",'MCC - Calculations'!AJ106)</f>
        <v/>
      </c>
      <c r="H99" s="333" t="str">
        <f>IF(E99="No","",'MCC - Calculations'!AK106)</f>
        <v/>
      </c>
      <c r="I99"/>
      <c r="J99"/>
      <c r="K99"/>
      <c r="L99"/>
      <c r="M99"/>
      <c r="N99"/>
      <c r="O99"/>
      <c r="P99"/>
      <c r="Q99"/>
      <c r="R99"/>
      <c r="S99"/>
      <c r="T99"/>
      <c r="U99"/>
    </row>
    <row r="100" spans="1:21">
      <c r="A100" s="12"/>
      <c r="D100" s="168"/>
      <c r="E100" s="176"/>
      <c r="F100" s="177"/>
      <c r="G100" s="177"/>
      <c r="H100" s="177"/>
      <c r="I100"/>
      <c r="J100"/>
      <c r="K100"/>
      <c r="L100"/>
      <c r="M100"/>
      <c r="N100"/>
      <c r="O100"/>
      <c r="P100"/>
      <c r="Q100"/>
      <c r="R100"/>
      <c r="S100"/>
      <c r="T100"/>
      <c r="U100"/>
    </row>
    <row r="101" spans="1:21">
      <c r="A101" s="12"/>
      <c r="D101" s="167">
        <v>43</v>
      </c>
      <c r="E101" s="333" t="str">
        <f>'Marginal Capacity Costs Inputs'!E101</f>
        <v>No</v>
      </c>
      <c r="F101" s="333" t="str">
        <f>IF(E101="No","",'Marginal Capacity Costs Inputs'!F101)</f>
        <v/>
      </c>
      <c r="G101" s="333" t="str">
        <f>IF(E101="No","",'MCC - Calculations'!AJ108)</f>
        <v/>
      </c>
      <c r="H101" s="333" t="str">
        <f>IF(E101="No","",'MCC - Calculations'!AK108)</f>
        <v/>
      </c>
      <c r="I101"/>
      <c r="J101"/>
      <c r="K101"/>
      <c r="L101"/>
      <c r="M101"/>
      <c r="N101"/>
      <c r="O101"/>
      <c r="P101"/>
      <c r="Q101"/>
      <c r="R101"/>
      <c r="S101"/>
      <c r="T101"/>
      <c r="U101"/>
    </row>
    <row r="102" spans="1:21">
      <c r="A102" s="12"/>
      <c r="D102" s="168"/>
      <c r="E102" s="176"/>
      <c r="F102" s="177"/>
      <c r="G102" s="177"/>
      <c r="H102" s="177"/>
      <c r="I102"/>
      <c r="J102"/>
      <c r="K102"/>
      <c r="L102"/>
      <c r="M102"/>
      <c r="N102"/>
      <c r="O102"/>
      <c r="P102"/>
      <c r="Q102"/>
      <c r="R102"/>
      <c r="S102"/>
      <c r="T102"/>
      <c r="U102"/>
    </row>
    <row r="103" spans="1:21">
      <c r="A103" s="12"/>
      <c r="D103" s="167">
        <v>44</v>
      </c>
      <c r="E103" s="333" t="str">
        <f>'Marginal Capacity Costs Inputs'!E103</f>
        <v>No</v>
      </c>
      <c r="F103" s="333" t="str">
        <f>IF(E103="No","",'Marginal Capacity Costs Inputs'!F103)</f>
        <v/>
      </c>
      <c r="G103" s="333" t="str">
        <f>IF(E103="No","",'MCC - Calculations'!AJ110)</f>
        <v/>
      </c>
      <c r="H103" s="333" t="str">
        <f>IF(E103="No","",'MCC - Calculations'!AK110)</f>
        <v/>
      </c>
      <c r="I103"/>
      <c r="J103"/>
      <c r="K103"/>
      <c r="L103"/>
      <c r="M103"/>
      <c r="N103"/>
      <c r="O103"/>
      <c r="P103"/>
      <c r="Q103"/>
      <c r="R103"/>
      <c r="S103"/>
      <c r="T103"/>
      <c r="U103"/>
    </row>
    <row r="104" spans="1:21">
      <c r="A104" s="12"/>
      <c r="D104" s="168"/>
      <c r="E104" s="176"/>
      <c r="F104" s="177"/>
      <c r="G104" s="177"/>
      <c r="H104" s="177"/>
      <c r="I104"/>
      <c r="J104"/>
      <c r="K104"/>
      <c r="L104"/>
      <c r="M104"/>
      <c r="N104"/>
      <c r="O104"/>
      <c r="P104"/>
      <c r="Q104"/>
      <c r="R104"/>
      <c r="S104"/>
      <c r="T104"/>
      <c r="U104"/>
    </row>
    <row r="105" spans="1:21">
      <c r="A105" s="12"/>
      <c r="D105" s="167">
        <v>45</v>
      </c>
      <c r="E105" s="333" t="str">
        <f>'Marginal Capacity Costs Inputs'!E105</f>
        <v>No</v>
      </c>
      <c r="F105" s="333" t="str">
        <f>IF(E105="No","",'Marginal Capacity Costs Inputs'!F105)</f>
        <v/>
      </c>
      <c r="G105" s="333" t="str">
        <f>IF(E105="No","",'MCC - Calculations'!AJ112)</f>
        <v/>
      </c>
      <c r="H105" s="333" t="str">
        <f>IF(E105="No","",'MCC - Calculations'!AK112)</f>
        <v/>
      </c>
      <c r="I105"/>
      <c r="J105"/>
      <c r="K105"/>
      <c r="L105"/>
      <c r="M105"/>
      <c r="N105"/>
      <c r="O105"/>
      <c r="P105"/>
      <c r="Q105"/>
      <c r="R105"/>
      <c r="S105"/>
      <c r="T105"/>
      <c r="U105"/>
    </row>
    <row r="106" spans="1:21">
      <c r="A106" s="12"/>
      <c r="D106" s="168"/>
      <c r="E106" s="176"/>
      <c r="F106" s="177"/>
      <c r="G106" s="177"/>
      <c r="H106" s="177"/>
      <c r="I106"/>
      <c r="J106"/>
      <c r="K106"/>
      <c r="L106"/>
      <c r="M106"/>
      <c r="N106"/>
      <c r="O106"/>
      <c r="P106"/>
      <c r="Q106"/>
      <c r="R106"/>
      <c r="S106"/>
      <c r="T106"/>
      <c r="U106"/>
    </row>
    <row r="107" spans="1:21">
      <c r="A107" s="12"/>
      <c r="D107" s="167">
        <v>46</v>
      </c>
      <c r="E107" s="333" t="str">
        <f>'Marginal Capacity Costs Inputs'!E107</f>
        <v>No</v>
      </c>
      <c r="F107" s="333" t="str">
        <f>IF(E107="No","",'Marginal Capacity Costs Inputs'!F107)</f>
        <v/>
      </c>
      <c r="G107" s="333" t="str">
        <f>IF(E107="No","",'MCC - Calculations'!AJ114)</f>
        <v/>
      </c>
      <c r="H107" s="333" t="str">
        <f>IF(E107="No","",'MCC - Calculations'!AK114)</f>
        <v/>
      </c>
      <c r="I107"/>
      <c r="J107"/>
      <c r="K107"/>
      <c r="L107"/>
      <c r="M107"/>
      <c r="N107"/>
      <c r="O107"/>
      <c r="P107"/>
      <c r="Q107"/>
      <c r="R107"/>
      <c r="S107"/>
      <c r="T107"/>
      <c r="U107"/>
    </row>
    <row r="108" spans="1:21">
      <c r="A108" s="12"/>
      <c r="D108" s="168"/>
      <c r="E108" s="176"/>
      <c r="F108" s="177"/>
      <c r="G108" s="177"/>
      <c r="H108" s="177"/>
      <c r="I108"/>
      <c r="J108"/>
      <c r="K108"/>
      <c r="L108"/>
      <c r="M108"/>
      <c r="N108"/>
      <c r="O108"/>
      <c r="P108"/>
      <c r="Q108"/>
      <c r="R108"/>
      <c r="S108"/>
      <c r="T108"/>
      <c r="U108"/>
    </row>
    <row r="109" spans="1:21">
      <c r="A109" s="12"/>
      <c r="D109" s="167">
        <v>47</v>
      </c>
      <c r="E109" s="333" t="str">
        <f>'Marginal Capacity Costs Inputs'!E109</f>
        <v>No</v>
      </c>
      <c r="F109" s="333" t="str">
        <f>IF(E109="No","",'Marginal Capacity Costs Inputs'!F109)</f>
        <v/>
      </c>
      <c r="G109" s="333" t="str">
        <f>IF(E109="No","",'MCC - Calculations'!AJ116)</f>
        <v/>
      </c>
      <c r="H109" s="333" t="str">
        <f>IF(E109="No","",'MCC - Calculations'!AK116)</f>
        <v/>
      </c>
      <c r="I109"/>
      <c r="J109"/>
      <c r="K109"/>
      <c r="L109"/>
      <c r="M109"/>
      <c r="N109"/>
      <c r="O109"/>
      <c r="P109"/>
      <c r="Q109"/>
      <c r="R109"/>
      <c r="S109"/>
      <c r="T109"/>
      <c r="U109"/>
    </row>
    <row r="110" spans="1:21">
      <c r="A110" s="12"/>
      <c r="D110" s="168"/>
      <c r="E110" s="176"/>
      <c r="F110" s="177"/>
      <c r="G110" s="177"/>
      <c r="H110" s="177"/>
      <c r="I110"/>
      <c r="J110"/>
      <c r="K110"/>
      <c r="L110"/>
      <c r="M110"/>
      <c r="N110"/>
      <c r="O110"/>
      <c r="P110"/>
      <c r="Q110"/>
      <c r="R110"/>
      <c r="S110"/>
      <c r="T110"/>
      <c r="U110"/>
    </row>
    <row r="111" spans="1:21">
      <c r="A111" s="12"/>
      <c r="D111" s="167">
        <v>48</v>
      </c>
      <c r="E111" s="333" t="str">
        <f>'Marginal Capacity Costs Inputs'!E111</f>
        <v>No</v>
      </c>
      <c r="F111" s="333" t="str">
        <f>IF(E111="No","",'Marginal Capacity Costs Inputs'!F111)</f>
        <v/>
      </c>
      <c r="G111" s="333" t="str">
        <f>IF(E111="No","",'MCC - Calculations'!AJ118)</f>
        <v/>
      </c>
      <c r="H111" s="333" t="str">
        <f>IF(E111="No","",'MCC - Calculations'!AK118)</f>
        <v/>
      </c>
      <c r="I111"/>
      <c r="J111"/>
      <c r="K111"/>
      <c r="L111"/>
      <c r="M111"/>
      <c r="N111"/>
      <c r="O111"/>
      <c r="P111"/>
      <c r="Q111"/>
      <c r="R111"/>
      <c r="S111"/>
      <c r="T111"/>
      <c r="U111"/>
    </row>
    <row r="112" spans="1:21">
      <c r="A112" s="12"/>
      <c r="D112" s="168"/>
      <c r="E112" s="176"/>
      <c r="F112" s="177"/>
      <c r="G112" s="177"/>
      <c r="H112" s="177"/>
      <c r="I112"/>
      <c r="J112"/>
      <c r="K112"/>
      <c r="L112"/>
      <c r="M112"/>
      <c r="N112"/>
      <c r="O112"/>
      <c r="P112"/>
      <c r="Q112"/>
      <c r="R112"/>
      <c r="S112"/>
      <c r="T112"/>
      <c r="U112"/>
    </row>
    <row r="113" spans="1:24">
      <c r="A113" s="12"/>
      <c r="D113" s="167">
        <v>49</v>
      </c>
      <c r="E113" s="333" t="str">
        <f>'Marginal Capacity Costs Inputs'!E113</f>
        <v>No</v>
      </c>
      <c r="F113" s="333" t="str">
        <f>IF(E113="No","",'Marginal Capacity Costs Inputs'!F113)</f>
        <v/>
      </c>
      <c r="G113" s="333" t="str">
        <f>IF(E113="No","",'MCC - Calculations'!AJ120)</f>
        <v/>
      </c>
      <c r="H113" s="333" t="str">
        <f>IF(E113="No","",'MCC - Calculations'!AK120)</f>
        <v/>
      </c>
      <c r="I113"/>
      <c r="J113"/>
      <c r="K113"/>
      <c r="L113"/>
      <c r="M113"/>
      <c r="N113"/>
      <c r="O113"/>
      <c r="P113"/>
      <c r="Q113"/>
      <c r="R113"/>
      <c r="S113"/>
      <c r="T113"/>
      <c r="U113"/>
    </row>
    <row r="114" spans="1:24">
      <c r="A114" s="12"/>
      <c r="D114" s="168"/>
      <c r="E114" s="176"/>
      <c r="F114" s="177"/>
      <c r="G114" s="177"/>
      <c r="H114" s="177"/>
      <c r="I114"/>
      <c r="J114"/>
      <c r="K114"/>
      <c r="L114"/>
      <c r="M114"/>
      <c r="N114"/>
      <c r="O114"/>
      <c r="P114"/>
      <c r="Q114"/>
      <c r="R114"/>
      <c r="S114"/>
      <c r="T114"/>
      <c r="U114"/>
    </row>
    <row r="115" spans="1:24">
      <c r="A115" s="12"/>
      <c r="D115" s="167">
        <v>50</v>
      </c>
      <c r="E115" s="333" t="str">
        <f>'Marginal Capacity Costs Inputs'!E115</f>
        <v>No</v>
      </c>
      <c r="F115" s="333" t="str">
        <f>IF(E115="No","",'Marginal Capacity Costs Inputs'!F115)</f>
        <v/>
      </c>
      <c r="G115" s="333" t="str">
        <f>IF(E115="No","",'MCC - Calculations'!AJ122)</f>
        <v/>
      </c>
      <c r="H115" s="333" t="str">
        <f>IF(E115="No","",'MCC - Calculations'!AK122)</f>
        <v/>
      </c>
      <c r="I115"/>
      <c r="J115"/>
      <c r="K115"/>
      <c r="L115"/>
      <c r="M115"/>
      <c r="N115"/>
      <c r="O115"/>
      <c r="P115"/>
      <c r="Q115"/>
      <c r="R115"/>
      <c r="S115"/>
      <c r="T115"/>
      <c r="U115"/>
    </row>
    <row r="116" spans="1:24">
      <c r="A116" s="12"/>
      <c r="D116" s="168"/>
      <c r="E116" s="176"/>
      <c r="F116" s="177"/>
      <c r="G116" s="177"/>
      <c r="H116" s="177"/>
      <c r="I116"/>
      <c r="J116"/>
      <c r="K116"/>
      <c r="L116"/>
      <c r="M116"/>
      <c r="N116"/>
      <c r="O116"/>
      <c r="P116"/>
      <c r="Q116"/>
      <c r="R116"/>
      <c r="S116"/>
      <c r="T116"/>
      <c r="U116"/>
    </row>
    <row r="117" spans="1:24">
      <c r="A117" s="10"/>
      <c r="C117" s="10"/>
      <c r="D117" s="10"/>
      <c r="E117" s="10"/>
      <c r="F117" s="10"/>
      <c r="T117" s="10"/>
    </row>
    <row r="118" spans="1:24">
      <c r="A118" s="43"/>
      <c r="B118" s="31"/>
      <c r="C118" s="31"/>
      <c r="D118" s="44"/>
      <c r="E118" s="45" t="s">
        <v>23</v>
      </c>
      <c r="F118" s="39"/>
      <c r="G118" s="39"/>
      <c r="H118" s="39"/>
      <c r="I118" s="39"/>
      <c r="J118" s="39"/>
      <c r="K118" s="39"/>
      <c r="L118" s="39"/>
      <c r="M118" s="39"/>
      <c r="N118" s="39"/>
      <c r="O118" s="39"/>
      <c r="P118" s="39"/>
      <c r="Q118" s="39"/>
      <c r="R118" s="39"/>
      <c r="S118" s="31"/>
      <c r="T118" s="31"/>
      <c r="U118" s="31"/>
      <c r="V118" s="31"/>
      <c r="W118" s="31"/>
      <c r="X118" s="31"/>
    </row>
  </sheetData>
  <sheetProtection sheet="1" objects="1" scenarios="1"/>
  <hyperlinks>
    <hyperlink ref="H14" location="Instructions!B111" display="6d" xr:uid="{D30AAE17-139D-4CD7-B4CF-5278970EB890}"/>
    <hyperlink ref="G14" location="Instructions!B110" display="6c" xr:uid="{56C8DFD5-8E81-4985-A8CC-AA811B3F5BFF}"/>
    <hyperlink ref="F14" location="Instructions!B109" display="6b" xr:uid="{D6784EBE-A144-4FED-B7BC-0A910645A17F}"/>
    <hyperlink ref="E14" location="Instructions!B108" display="6a" xr:uid="{1B88A441-662B-49B9-A063-C0E512FA0A3D}"/>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9DA00-EC07-4B68-92B1-71AF9C0F5A7A}">
  <sheetPr>
    <tabColor theme="9"/>
  </sheetPr>
  <dimension ref="A1"/>
  <sheetViews>
    <sheetView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2A3CE-E4C0-42C4-9DAE-4030D75E95D0}">
  <sheetPr codeName="Sheet20">
    <tabColor theme="9" tint="0.39997558519241921"/>
  </sheetPr>
  <dimension ref="A1:AM244"/>
  <sheetViews>
    <sheetView showGridLines="0" workbookViewId="0">
      <selection activeCell="D196" sqref="D196"/>
    </sheetView>
  </sheetViews>
  <sheetFormatPr defaultRowHeight="14.45"/>
  <cols>
    <col min="1" max="1" width="6.85546875" style="4" customWidth="1"/>
    <col min="2" max="2" width="1.5703125" style="1" customWidth="1"/>
    <col min="3" max="3" width="1.28515625" style="1" customWidth="1"/>
    <col min="4" max="4" width="42.7109375" style="2" customWidth="1"/>
    <col min="5" max="5" width="46.85546875" style="3" customWidth="1"/>
    <col min="6" max="7" width="20.5703125" customWidth="1"/>
    <col min="8" max="8" width="26.140625" bestFit="1" customWidth="1"/>
    <col min="9" max="9" width="19.85546875" customWidth="1"/>
    <col min="10" max="10" width="10.7109375" bestFit="1" customWidth="1"/>
    <col min="11" max="11" width="9.5703125" bestFit="1" customWidth="1"/>
    <col min="12" max="19" width="9" customWidth="1"/>
    <col min="20" max="22" width="10.7109375" bestFit="1" customWidth="1"/>
    <col min="23" max="25" width="9.5703125" bestFit="1" customWidth="1"/>
    <col min="26" max="29" width="8" bestFit="1" customWidth="1"/>
    <col min="30" max="30" width="2" bestFit="1" customWidth="1"/>
    <col min="31" max="31" width="9.5703125" bestFit="1" customWidth="1"/>
    <col min="32" max="39" width="10.7109375" bestFit="1" customWidth="1"/>
  </cols>
  <sheetData>
    <row r="1" spans="1:39" s="10" customFormat="1" ht="26.1">
      <c r="A1" s="47" t="s">
        <v>292</v>
      </c>
      <c r="B1" s="35"/>
      <c r="C1" s="35"/>
      <c r="D1" s="36"/>
      <c r="E1" s="38"/>
      <c r="F1" s="39"/>
      <c r="G1" s="39"/>
      <c r="H1" s="39"/>
      <c r="T1" s="7"/>
    </row>
    <row r="2" spans="1:39" s="10" customFormat="1" ht="18.95" customHeight="1">
      <c r="A2" s="48" t="s">
        <v>293</v>
      </c>
      <c r="B2" s="35"/>
      <c r="C2" s="35"/>
      <c r="D2" s="36"/>
      <c r="E2" s="38"/>
      <c r="F2" s="39"/>
      <c r="G2" s="39"/>
      <c r="H2" s="39"/>
      <c r="T2" s="7"/>
    </row>
    <row r="3" spans="1:39" s="10" customFormat="1" ht="29.1" customHeight="1">
      <c r="A3" s="6"/>
      <c r="B3" s="7"/>
      <c r="C3" s="7"/>
      <c r="D3" s="349" t="str" cm="1">
        <f t="array" aca="1" ref="D3" ca="1">HYPERLINK("#"&amp;CELL("address",Custom),"Go to Custom Lookup Table")</f>
        <v>Go to Custom Lookup Table</v>
      </c>
      <c r="E3" s="9"/>
      <c r="T3" s="7"/>
    </row>
    <row r="4" spans="1:39" s="10" customFormat="1" ht="15.6">
      <c r="A4" s="49"/>
      <c r="B4" s="49"/>
      <c r="C4" s="49"/>
      <c r="D4" s="46" t="s">
        <v>210</v>
      </c>
      <c r="E4" s="45"/>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row>
    <row r="5" spans="1:39" s="10" customFormat="1" ht="15.6">
      <c r="A5" s="6"/>
      <c r="B5" s="7"/>
      <c r="C5" s="7"/>
      <c r="D5" s="8"/>
      <c r="E5" s="9"/>
    </row>
    <row r="6" spans="1:39" s="10" customFormat="1" ht="14.45" customHeight="1">
      <c r="A6" s="6"/>
      <c r="B6" s="7"/>
      <c r="C6" s="7"/>
      <c r="D6" s="352" t="s">
        <v>294</v>
      </c>
      <c r="E6" s="353" t="s">
        <v>295</v>
      </c>
      <c r="F6" s="353"/>
      <c r="G6" s="353" t="s">
        <v>296</v>
      </c>
      <c r="H6" s="353"/>
      <c r="I6" s="353"/>
      <c r="J6" s="354" t="s">
        <v>297</v>
      </c>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row>
    <row r="7" spans="1:39" s="10" customFormat="1" ht="15.6">
      <c r="A7" s="6"/>
      <c r="B7" s="7"/>
      <c r="C7" s="7"/>
      <c r="D7" s="352"/>
      <c r="E7" s="353"/>
      <c r="F7" s="353"/>
      <c r="G7" s="353"/>
      <c r="H7" s="353"/>
      <c r="I7" s="353"/>
      <c r="J7" s="356" t="s">
        <v>298</v>
      </c>
      <c r="K7" s="357"/>
      <c r="L7" s="357"/>
      <c r="M7" s="357"/>
      <c r="N7" s="357"/>
      <c r="O7" s="357"/>
      <c r="P7" s="357"/>
      <c r="Q7" s="357"/>
      <c r="R7" s="357"/>
      <c r="S7" s="358"/>
      <c r="T7" s="356" t="s">
        <v>299</v>
      </c>
      <c r="U7" s="357"/>
      <c r="V7" s="357"/>
      <c r="W7" s="357"/>
      <c r="X7" s="357"/>
      <c r="Y7" s="357"/>
      <c r="Z7" s="357"/>
      <c r="AA7" s="357"/>
      <c r="AB7" s="357"/>
      <c r="AC7" s="358"/>
      <c r="AD7" s="356" t="s">
        <v>300</v>
      </c>
      <c r="AE7" s="357"/>
      <c r="AF7" s="357"/>
      <c r="AG7" s="357"/>
      <c r="AH7" s="357"/>
      <c r="AI7" s="357"/>
      <c r="AJ7" s="357"/>
      <c r="AK7" s="357"/>
      <c r="AL7" s="357"/>
      <c r="AM7" s="358"/>
    </row>
    <row r="8" spans="1:39" s="10" customFormat="1" ht="15.6">
      <c r="A8" s="6"/>
      <c r="B8" s="7"/>
      <c r="C8" s="7"/>
      <c r="D8" s="352"/>
      <c r="E8" s="254" t="s">
        <v>295</v>
      </c>
      <c r="F8" s="254" t="s">
        <v>301</v>
      </c>
      <c r="G8" s="254" t="s">
        <v>298</v>
      </c>
      <c r="H8" s="255" t="s">
        <v>299</v>
      </c>
      <c r="I8" s="256" t="s">
        <v>302</v>
      </c>
      <c r="J8" s="257">
        <v>1</v>
      </c>
      <c r="K8" s="258">
        <v>2</v>
      </c>
      <c r="L8" s="258">
        <v>3</v>
      </c>
      <c r="M8" s="258">
        <v>4</v>
      </c>
      <c r="N8" s="258">
        <v>5</v>
      </c>
      <c r="O8" s="258">
        <v>6</v>
      </c>
      <c r="P8" s="258">
        <v>7</v>
      </c>
      <c r="Q8" s="258">
        <v>8</v>
      </c>
      <c r="R8" s="258">
        <v>9</v>
      </c>
      <c r="S8" s="259">
        <v>10</v>
      </c>
      <c r="T8" s="257">
        <v>1</v>
      </c>
      <c r="U8" s="258">
        <v>2</v>
      </c>
      <c r="V8" s="258">
        <v>3</v>
      </c>
      <c r="W8" s="258">
        <v>4</v>
      </c>
      <c r="X8" s="258">
        <v>5</v>
      </c>
      <c r="Y8" s="258">
        <v>6</v>
      </c>
      <c r="Z8" s="258">
        <v>7</v>
      </c>
      <c r="AA8" s="258">
        <v>8</v>
      </c>
      <c r="AB8" s="258">
        <v>9</v>
      </c>
      <c r="AC8" s="258">
        <v>10</v>
      </c>
      <c r="AD8" s="257">
        <v>1</v>
      </c>
      <c r="AE8" s="258">
        <v>2</v>
      </c>
      <c r="AF8" s="258">
        <v>3</v>
      </c>
      <c r="AG8" s="258">
        <v>4</v>
      </c>
      <c r="AH8" s="258">
        <v>5</v>
      </c>
      <c r="AI8" s="258">
        <v>6</v>
      </c>
      <c r="AJ8" s="258">
        <v>7</v>
      </c>
      <c r="AK8" s="258">
        <v>8</v>
      </c>
      <c r="AL8" s="258">
        <v>9</v>
      </c>
      <c r="AM8" s="259">
        <v>10</v>
      </c>
    </row>
    <row r="9" spans="1:39" s="10" customFormat="1" ht="15.6">
      <c r="A9" s="6"/>
      <c r="B9" s="7"/>
      <c r="C9" s="7"/>
      <c r="D9" s="260">
        <v>0</v>
      </c>
      <c r="E9" s="275">
        <v>0</v>
      </c>
      <c r="F9" s="276">
        <v>0</v>
      </c>
      <c r="G9" s="275">
        <v>0</v>
      </c>
      <c r="H9" s="277">
        <v>0</v>
      </c>
      <c r="I9" s="277">
        <v>6661511</v>
      </c>
      <c r="J9" s="278">
        <v>3505073</v>
      </c>
      <c r="K9" s="279">
        <v>2226282</v>
      </c>
      <c r="L9" s="279">
        <v>562542</v>
      </c>
      <c r="M9" s="279">
        <v>262361</v>
      </c>
      <c r="N9" s="279">
        <v>65709</v>
      </c>
      <c r="O9" s="279">
        <v>25691</v>
      </c>
      <c r="P9" s="279">
        <v>8087</v>
      </c>
      <c r="Q9" s="279">
        <v>3525</v>
      </c>
      <c r="R9" s="279">
        <v>1260</v>
      </c>
      <c r="S9" s="280">
        <v>562</v>
      </c>
      <c r="T9" s="278">
        <v>6661511</v>
      </c>
      <c r="U9" s="279">
        <v>5382720</v>
      </c>
      <c r="V9" s="279">
        <v>2055240</v>
      </c>
      <c r="W9" s="279">
        <v>1154697</v>
      </c>
      <c r="X9" s="279">
        <v>368089</v>
      </c>
      <c r="Y9" s="279">
        <v>167999</v>
      </c>
      <c r="Z9" s="279">
        <v>62375</v>
      </c>
      <c r="AA9" s="279">
        <v>30441</v>
      </c>
      <c r="AB9" s="279">
        <v>12321</v>
      </c>
      <c r="AC9" s="279">
        <v>6039</v>
      </c>
      <c r="AD9" s="278">
        <v>0</v>
      </c>
      <c r="AE9" s="279">
        <v>1278791</v>
      </c>
      <c r="AF9" s="279">
        <v>4606271</v>
      </c>
      <c r="AG9" s="279">
        <v>5506814</v>
      </c>
      <c r="AH9" s="279">
        <v>6293422</v>
      </c>
      <c r="AI9" s="279">
        <v>6493512</v>
      </c>
      <c r="AJ9" s="279">
        <v>6599136</v>
      </c>
      <c r="AK9" s="279">
        <v>6631070</v>
      </c>
      <c r="AL9" s="279">
        <v>6649190</v>
      </c>
      <c r="AM9" s="280">
        <v>6655472</v>
      </c>
    </row>
    <row r="10" spans="1:39" s="10" customFormat="1" ht="15.6">
      <c r="A10" s="6"/>
      <c r="B10" s="7"/>
      <c r="C10" s="7"/>
      <c r="D10" s="267">
        <v>1</v>
      </c>
      <c r="E10" s="281">
        <v>1635114</v>
      </c>
      <c r="F10" s="282">
        <v>6661511</v>
      </c>
      <c r="G10" s="281">
        <v>0</v>
      </c>
      <c r="H10" s="283">
        <v>0</v>
      </c>
      <c r="I10" s="283">
        <v>0</v>
      </c>
      <c r="J10" s="281">
        <v>0</v>
      </c>
      <c r="K10" s="283">
        <v>0</v>
      </c>
      <c r="L10" s="283">
        <v>0</v>
      </c>
      <c r="M10" s="283">
        <v>0</v>
      </c>
      <c r="N10" s="283">
        <v>0</v>
      </c>
      <c r="O10" s="283">
        <v>0</v>
      </c>
      <c r="P10" s="283">
        <v>0</v>
      </c>
      <c r="Q10" s="283">
        <v>0</v>
      </c>
      <c r="R10" s="283">
        <v>0</v>
      </c>
      <c r="S10" s="282">
        <v>0</v>
      </c>
      <c r="T10" s="281">
        <v>0</v>
      </c>
      <c r="U10" s="283">
        <v>0</v>
      </c>
      <c r="V10" s="283">
        <v>0</v>
      </c>
      <c r="W10" s="283">
        <v>0</v>
      </c>
      <c r="X10" s="283">
        <v>0</v>
      </c>
      <c r="Y10" s="283">
        <v>0</v>
      </c>
      <c r="Z10" s="283">
        <v>0</v>
      </c>
      <c r="AA10" s="283">
        <v>0</v>
      </c>
      <c r="AB10" s="283">
        <v>0</v>
      </c>
      <c r="AC10" s="283">
        <v>0</v>
      </c>
      <c r="AD10" s="284">
        <v>0</v>
      </c>
      <c r="AE10" s="285">
        <v>0</v>
      </c>
      <c r="AF10" s="285">
        <v>0</v>
      </c>
      <c r="AG10" s="285">
        <v>0</v>
      </c>
      <c r="AH10" s="285">
        <v>0</v>
      </c>
      <c r="AI10" s="285">
        <v>0</v>
      </c>
      <c r="AJ10" s="285">
        <v>0</v>
      </c>
      <c r="AK10" s="285">
        <v>0</v>
      </c>
      <c r="AL10" s="285">
        <v>0</v>
      </c>
      <c r="AM10" s="286">
        <v>0</v>
      </c>
    </row>
    <row r="11" spans="1:39" s="10" customFormat="1" ht="15.6">
      <c r="A11" s="6"/>
      <c r="B11" s="7"/>
      <c r="C11" s="7"/>
      <c r="D11" s="267">
        <v>2</v>
      </c>
      <c r="E11" s="281">
        <v>1279428</v>
      </c>
      <c r="F11" s="282">
        <v>6305825</v>
      </c>
      <c r="G11" s="281">
        <v>0</v>
      </c>
      <c r="H11" s="283">
        <v>0</v>
      </c>
      <c r="I11" s="283">
        <v>355686</v>
      </c>
      <c r="J11" s="281">
        <v>355686</v>
      </c>
      <c r="K11" s="283">
        <v>0</v>
      </c>
      <c r="L11" s="283">
        <v>0</v>
      </c>
      <c r="M11" s="283">
        <v>0</v>
      </c>
      <c r="N11" s="283">
        <v>0</v>
      </c>
      <c r="O11" s="283">
        <v>0</v>
      </c>
      <c r="P11" s="283">
        <v>0</v>
      </c>
      <c r="Q11" s="283">
        <v>0</v>
      </c>
      <c r="R11" s="283">
        <v>0</v>
      </c>
      <c r="S11" s="282">
        <v>0</v>
      </c>
      <c r="T11" s="281">
        <v>355686</v>
      </c>
      <c r="U11" s="283">
        <v>0</v>
      </c>
      <c r="V11" s="283">
        <v>0</v>
      </c>
      <c r="W11" s="283">
        <v>0</v>
      </c>
      <c r="X11" s="283">
        <v>0</v>
      </c>
      <c r="Y11" s="283">
        <v>0</v>
      </c>
      <c r="Z11" s="283">
        <v>0</v>
      </c>
      <c r="AA11" s="283">
        <v>0</v>
      </c>
      <c r="AB11" s="283">
        <v>0</v>
      </c>
      <c r="AC11" s="283">
        <v>0</v>
      </c>
      <c r="AD11" s="281">
        <v>0</v>
      </c>
      <c r="AE11" s="283">
        <v>355686</v>
      </c>
      <c r="AF11" s="283">
        <v>355686</v>
      </c>
      <c r="AG11" s="283">
        <v>355686</v>
      </c>
      <c r="AH11" s="283">
        <v>355686</v>
      </c>
      <c r="AI11" s="283">
        <v>355686</v>
      </c>
      <c r="AJ11" s="283">
        <v>355686</v>
      </c>
      <c r="AK11" s="283">
        <v>355686</v>
      </c>
      <c r="AL11" s="283">
        <v>355686</v>
      </c>
      <c r="AM11" s="282">
        <v>355686</v>
      </c>
    </row>
    <row r="12" spans="1:39" s="10" customFormat="1" ht="15.6">
      <c r="A12" s="6"/>
      <c r="B12" s="7"/>
      <c r="C12" s="7"/>
      <c r="D12" s="267">
        <v>3</v>
      </c>
      <c r="E12" s="281">
        <v>818755</v>
      </c>
      <c r="F12" s="282">
        <v>5384479</v>
      </c>
      <c r="G12" s="281">
        <v>0</v>
      </c>
      <c r="H12" s="283">
        <v>0</v>
      </c>
      <c r="I12" s="283">
        <v>1277032</v>
      </c>
      <c r="J12" s="281">
        <v>897971</v>
      </c>
      <c r="K12" s="283">
        <v>379061</v>
      </c>
      <c r="L12" s="283">
        <v>0</v>
      </c>
      <c r="M12" s="283">
        <v>0</v>
      </c>
      <c r="N12" s="283">
        <v>0</v>
      </c>
      <c r="O12" s="283">
        <v>0</v>
      </c>
      <c r="P12" s="283">
        <v>0</v>
      </c>
      <c r="Q12" s="283">
        <v>0</v>
      </c>
      <c r="R12" s="283">
        <v>0</v>
      </c>
      <c r="S12" s="282">
        <v>0</v>
      </c>
      <c r="T12" s="281">
        <v>1277032</v>
      </c>
      <c r="U12" s="283">
        <v>758122</v>
      </c>
      <c r="V12" s="283">
        <v>0</v>
      </c>
      <c r="W12" s="283">
        <v>0</v>
      </c>
      <c r="X12" s="283">
        <v>0</v>
      </c>
      <c r="Y12" s="283">
        <v>0</v>
      </c>
      <c r="Z12" s="283">
        <v>0</v>
      </c>
      <c r="AA12" s="283">
        <v>0</v>
      </c>
      <c r="AB12" s="283">
        <v>0</v>
      </c>
      <c r="AC12" s="283">
        <v>0</v>
      </c>
      <c r="AD12" s="281">
        <v>0</v>
      </c>
      <c r="AE12" s="283">
        <v>518910</v>
      </c>
      <c r="AF12" s="283">
        <v>1277032</v>
      </c>
      <c r="AG12" s="283">
        <v>1277032</v>
      </c>
      <c r="AH12" s="283">
        <v>1277032</v>
      </c>
      <c r="AI12" s="283">
        <v>1277032</v>
      </c>
      <c r="AJ12" s="283">
        <v>1277032</v>
      </c>
      <c r="AK12" s="283">
        <v>1277032</v>
      </c>
      <c r="AL12" s="283">
        <v>1277032</v>
      </c>
      <c r="AM12" s="282">
        <v>1277032</v>
      </c>
    </row>
    <row r="13" spans="1:39" s="10" customFormat="1" ht="15.6">
      <c r="A13" s="6"/>
      <c r="B13" s="7"/>
      <c r="C13" s="7"/>
      <c r="D13" s="267">
        <v>4</v>
      </c>
      <c r="E13" s="281">
        <v>653281</v>
      </c>
      <c r="F13" s="282">
        <v>4888057</v>
      </c>
      <c r="G13" s="281">
        <v>0</v>
      </c>
      <c r="H13" s="283">
        <v>0</v>
      </c>
      <c r="I13" s="283">
        <v>1773454</v>
      </c>
      <c r="J13" s="281">
        <v>1217701</v>
      </c>
      <c r="K13" s="283">
        <v>518835</v>
      </c>
      <c r="L13" s="283">
        <v>36918</v>
      </c>
      <c r="M13" s="283">
        <v>0</v>
      </c>
      <c r="N13" s="283">
        <v>0</v>
      </c>
      <c r="O13" s="283">
        <v>0</v>
      </c>
      <c r="P13" s="283">
        <v>0</v>
      </c>
      <c r="Q13" s="283">
        <v>0</v>
      </c>
      <c r="R13" s="283">
        <v>0</v>
      </c>
      <c r="S13" s="282">
        <v>0</v>
      </c>
      <c r="T13" s="281">
        <v>1773454</v>
      </c>
      <c r="U13" s="283">
        <v>1074588</v>
      </c>
      <c r="V13" s="283">
        <v>110754</v>
      </c>
      <c r="W13" s="283">
        <v>0</v>
      </c>
      <c r="X13" s="283">
        <v>0</v>
      </c>
      <c r="Y13" s="283">
        <v>0</v>
      </c>
      <c r="Z13" s="283">
        <v>0</v>
      </c>
      <c r="AA13" s="283">
        <v>0</v>
      </c>
      <c r="AB13" s="283">
        <v>0</v>
      </c>
      <c r="AC13" s="283">
        <v>0</v>
      </c>
      <c r="AD13" s="281">
        <v>0</v>
      </c>
      <c r="AE13" s="283">
        <v>698866</v>
      </c>
      <c r="AF13" s="283">
        <v>1662700</v>
      </c>
      <c r="AG13" s="283">
        <v>1773454</v>
      </c>
      <c r="AH13" s="283">
        <v>1773454</v>
      </c>
      <c r="AI13" s="283">
        <v>1773454</v>
      </c>
      <c r="AJ13" s="283">
        <v>1773454</v>
      </c>
      <c r="AK13" s="283">
        <v>1773454</v>
      </c>
      <c r="AL13" s="283">
        <v>1773454</v>
      </c>
      <c r="AM13" s="282">
        <v>1773454</v>
      </c>
    </row>
    <row r="14" spans="1:39" s="10" customFormat="1" ht="15.6">
      <c r="A14" s="6"/>
      <c r="B14" s="7"/>
      <c r="C14" s="7"/>
      <c r="D14" s="267">
        <v>5</v>
      </c>
      <c r="E14" s="281">
        <v>473009</v>
      </c>
      <c r="F14" s="282">
        <v>4166969</v>
      </c>
      <c r="G14" s="281">
        <v>0</v>
      </c>
      <c r="H14" s="283">
        <v>0</v>
      </c>
      <c r="I14" s="283">
        <v>2494542</v>
      </c>
      <c r="J14" s="281">
        <v>1611849</v>
      </c>
      <c r="K14" s="283">
        <v>792189</v>
      </c>
      <c r="L14" s="283">
        <v>70632</v>
      </c>
      <c r="M14" s="283">
        <v>19872</v>
      </c>
      <c r="N14" s="283">
        <v>0</v>
      </c>
      <c r="O14" s="283">
        <v>0</v>
      </c>
      <c r="P14" s="283">
        <v>0</v>
      </c>
      <c r="Q14" s="283">
        <v>0</v>
      </c>
      <c r="R14" s="283">
        <v>0</v>
      </c>
      <c r="S14" s="282">
        <v>0</v>
      </c>
      <c r="T14" s="281">
        <v>2494542</v>
      </c>
      <c r="U14" s="283">
        <v>1674882</v>
      </c>
      <c r="V14" s="283">
        <v>231768</v>
      </c>
      <c r="W14" s="283">
        <v>79488</v>
      </c>
      <c r="X14" s="283">
        <v>0</v>
      </c>
      <c r="Y14" s="283">
        <v>0</v>
      </c>
      <c r="Z14" s="283">
        <v>0</v>
      </c>
      <c r="AA14" s="283">
        <v>0</v>
      </c>
      <c r="AB14" s="283">
        <v>0</v>
      </c>
      <c r="AC14" s="283">
        <v>0</v>
      </c>
      <c r="AD14" s="281">
        <v>0</v>
      </c>
      <c r="AE14" s="283">
        <v>819660</v>
      </c>
      <c r="AF14" s="283">
        <v>2262774</v>
      </c>
      <c r="AG14" s="283">
        <v>2415054</v>
      </c>
      <c r="AH14" s="283">
        <v>2494542</v>
      </c>
      <c r="AI14" s="283">
        <v>2494542</v>
      </c>
      <c r="AJ14" s="283">
        <v>2494542</v>
      </c>
      <c r="AK14" s="283">
        <v>2494542</v>
      </c>
      <c r="AL14" s="283">
        <v>2494542</v>
      </c>
      <c r="AM14" s="282">
        <v>2494542</v>
      </c>
    </row>
    <row r="15" spans="1:39" s="10" customFormat="1" ht="15.6">
      <c r="A15" s="6"/>
      <c r="B15" s="7"/>
      <c r="C15" s="7"/>
      <c r="D15" s="267">
        <v>6</v>
      </c>
      <c r="E15" s="281">
        <v>381291</v>
      </c>
      <c r="F15" s="282">
        <v>3708379</v>
      </c>
      <c r="G15" s="281">
        <v>0</v>
      </c>
      <c r="H15" s="283">
        <v>0</v>
      </c>
      <c r="I15" s="283">
        <v>2953132</v>
      </c>
      <c r="J15" s="281">
        <v>1874857</v>
      </c>
      <c r="K15" s="283">
        <v>940481</v>
      </c>
      <c r="L15" s="283">
        <v>107070</v>
      </c>
      <c r="M15" s="283">
        <v>28408</v>
      </c>
      <c r="N15" s="283">
        <v>2316</v>
      </c>
      <c r="O15" s="283">
        <v>0</v>
      </c>
      <c r="P15" s="283">
        <v>0</v>
      </c>
      <c r="Q15" s="283">
        <v>0</v>
      </c>
      <c r="R15" s="283">
        <v>0</v>
      </c>
      <c r="S15" s="282">
        <v>0</v>
      </c>
      <c r="T15" s="281">
        <v>2953132</v>
      </c>
      <c r="U15" s="283">
        <v>2018756</v>
      </c>
      <c r="V15" s="283">
        <v>351934</v>
      </c>
      <c r="W15" s="283">
        <v>115948</v>
      </c>
      <c r="X15" s="283">
        <v>11580</v>
      </c>
      <c r="Y15" s="283">
        <v>0</v>
      </c>
      <c r="Z15" s="283">
        <v>0</v>
      </c>
      <c r="AA15" s="283">
        <v>0</v>
      </c>
      <c r="AB15" s="283">
        <v>0</v>
      </c>
      <c r="AC15" s="283">
        <v>0</v>
      </c>
      <c r="AD15" s="281">
        <v>0</v>
      </c>
      <c r="AE15" s="283">
        <v>934376</v>
      </c>
      <c r="AF15" s="283">
        <v>2601198</v>
      </c>
      <c r="AG15" s="283">
        <v>2837184</v>
      </c>
      <c r="AH15" s="283">
        <v>2941552</v>
      </c>
      <c r="AI15" s="283">
        <v>2953132</v>
      </c>
      <c r="AJ15" s="283">
        <v>2953132</v>
      </c>
      <c r="AK15" s="283">
        <v>2953132</v>
      </c>
      <c r="AL15" s="283">
        <v>2953132</v>
      </c>
      <c r="AM15" s="282">
        <v>2953132</v>
      </c>
    </row>
    <row r="16" spans="1:39" s="10" customFormat="1" ht="15.6">
      <c r="A16" s="6"/>
      <c r="B16" s="7"/>
      <c r="C16" s="7"/>
      <c r="D16" s="267">
        <v>7</v>
      </c>
      <c r="E16" s="281">
        <v>290371</v>
      </c>
      <c r="F16" s="282">
        <v>3162859</v>
      </c>
      <c r="G16" s="281">
        <v>0</v>
      </c>
      <c r="H16" s="283">
        <v>0</v>
      </c>
      <c r="I16" s="283">
        <v>3498652</v>
      </c>
      <c r="J16" s="281">
        <v>2159992</v>
      </c>
      <c r="K16" s="283">
        <v>1144374</v>
      </c>
      <c r="L16" s="283">
        <v>144167</v>
      </c>
      <c r="M16" s="283">
        <v>45605</v>
      </c>
      <c r="N16" s="283">
        <v>3876</v>
      </c>
      <c r="O16" s="283">
        <v>638</v>
      </c>
      <c r="P16" s="283">
        <v>0</v>
      </c>
      <c r="Q16" s="283">
        <v>0</v>
      </c>
      <c r="R16" s="283">
        <v>0</v>
      </c>
      <c r="S16" s="282">
        <v>0</v>
      </c>
      <c r="T16" s="281">
        <v>3498652</v>
      </c>
      <c r="U16" s="283">
        <v>2483034</v>
      </c>
      <c r="V16" s="283">
        <v>482620</v>
      </c>
      <c r="W16" s="283">
        <v>186934</v>
      </c>
      <c r="X16" s="283">
        <v>20018</v>
      </c>
      <c r="Y16" s="283">
        <v>3828</v>
      </c>
      <c r="Z16" s="283">
        <v>0</v>
      </c>
      <c r="AA16" s="283">
        <v>0</v>
      </c>
      <c r="AB16" s="283">
        <v>0</v>
      </c>
      <c r="AC16" s="283">
        <v>0</v>
      </c>
      <c r="AD16" s="281">
        <v>0</v>
      </c>
      <c r="AE16" s="283">
        <v>1015618</v>
      </c>
      <c r="AF16" s="283">
        <v>3016032</v>
      </c>
      <c r="AG16" s="283">
        <v>3311718</v>
      </c>
      <c r="AH16" s="283">
        <v>3478634</v>
      </c>
      <c r="AI16" s="283">
        <v>3494824</v>
      </c>
      <c r="AJ16" s="283">
        <v>3498652</v>
      </c>
      <c r="AK16" s="283">
        <v>3498652</v>
      </c>
      <c r="AL16" s="283">
        <v>3498652</v>
      </c>
      <c r="AM16" s="282">
        <v>3498652</v>
      </c>
    </row>
    <row r="17" spans="1:39" s="10" customFormat="1" ht="15.6">
      <c r="A17" s="6"/>
      <c r="B17" s="7"/>
      <c r="C17" s="7"/>
      <c r="D17" s="267">
        <v>8</v>
      </c>
      <c r="E17" s="281">
        <v>234817</v>
      </c>
      <c r="F17" s="282">
        <v>2773981</v>
      </c>
      <c r="G17" s="281">
        <v>0</v>
      </c>
      <c r="H17" s="283">
        <v>0</v>
      </c>
      <c r="I17" s="283">
        <v>3887530</v>
      </c>
      <c r="J17" s="281">
        <v>2363128</v>
      </c>
      <c r="K17" s="283">
        <v>1278057</v>
      </c>
      <c r="L17" s="283">
        <v>181419</v>
      </c>
      <c r="M17" s="283">
        <v>57669</v>
      </c>
      <c r="N17" s="283">
        <v>6194</v>
      </c>
      <c r="O17" s="283">
        <v>966</v>
      </c>
      <c r="P17" s="283">
        <v>97</v>
      </c>
      <c r="Q17" s="283">
        <v>0</v>
      </c>
      <c r="R17" s="283">
        <v>0</v>
      </c>
      <c r="S17" s="282">
        <v>0</v>
      </c>
      <c r="T17" s="281">
        <v>3887530</v>
      </c>
      <c r="U17" s="283">
        <v>2802459</v>
      </c>
      <c r="V17" s="283">
        <v>609183</v>
      </c>
      <c r="W17" s="283">
        <v>237933</v>
      </c>
      <c r="X17" s="283">
        <v>32033</v>
      </c>
      <c r="Y17" s="283">
        <v>5893</v>
      </c>
      <c r="Z17" s="283">
        <v>679</v>
      </c>
      <c r="AA17" s="283">
        <v>0</v>
      </c>
      <c r="AB17" s="283">
        <v>0</v>
      </c>
      <c r="AC17" s="283">
        <v>0</v>
      </c>
      <c r="AD17" s="281">
        <v>0</v>
      </c>
      <c r="AE17" s="283">
        <v>1085071</v>
      </c>
      <c r="AF17" s="283">
        <v>3278347</v>
      </c>
      <c r="AG17" s="283">
        <v>3649597</v>
      </c>
      <c r="AH17" s="283">
        <v>3855497</v>
      </c>
      <c r="AI17" s="283">
        <v>3881637</v>
      </c>
      <c r="AJ17" s="283">
        <v>3886851</v>
      </c>
      <c r="AK17" s="283">
        <v>3887530</v>
      </c>
      <c r="AL17" s="283">
        <v>3887530</v>
      </c>
      <c r="AM17" s="282">
        <v>3887530</v>
      </c>
    </row>
    <row r="18" spans="1:39" s="10" customFormat="1" ht="15.6">
      <c r="A18" s="6"/>
      <c r="B18" s="7"/>
      <c r="C18" s="7"/>
      <c r="D18" s="267">
        <v>9</v>
      </c>
      <c r="E18" s="281">
        <v>182264</v>
      </c>
      <c r="F18" s="282">
        <v>2353557</v>
      </c>
      <c r="G18" s="281">
        <v>0</v>
      </c>
      <c r="H18" s="283">
        <v>0</v>
      </c>
      <c r="I18" s="283">
        <v>4307954</v>
      </c>
      <c r="J18" s="281">
        <v>2567685</v>
      </c>
      <c r="K18" s="283">
        <v>1434710</v>
      </c>
      <c r="L18" s="283">
        <v>219307</v>
      </c>
      <c r="M18" s="283">
        <v>75778</v>
      </c>
      <c r="N18" s="283">
        <v>8520</v>
      </c>
      <c r="O18" s="283">
        <v>1727</v>
      </c>
      <c r="P18" s="283">
        <v>185</v>
      </c>
      <c r="Q18" s="283">
        <v>42</v>
      </c>
      <c r="R18" s="283">
        <v>0</v>
      </c>
      <c r="S18" s="282">
        <v>0</v>
      </c>
      <c r="T18" s="281">
        <v>4307954</v>
      </c>
      <c r="U18" s="283">
        <v>3174979</v>
      </c>
      <c r="V18" s="283">
        <v>744173</v>
      </c>
      <c r="W18" s="283">
        <v>313586</v>
      </c>
      <c r="X18" s="283">
        <v>44554</v>
      </c>
      <c r="Y18" s="283">
        <v>10589</v>
      </c>
      <c r="Z18" s="283">
        <v>1337</v>
      </c>
      <c r="AA18" s="283">
        <v>336</v>
      </c>
      <c r="AB18" s="283">
        <v>0</v>
      </c>
      <c r="AC18" s="283">
        <v>0</v>
      </c>
      <c r="AD18" s="281">
        <v>0</v>
      </c>
      <c r="AE18" s="283">
        <v>1132975</v>
      </c>
      <c r="AF18" s="283">
        <v>3563781</v>
      </c>
      <c r="AG18" s="283">
        <v>3994368</v>
      </c>
      <c r="AH18" s="283">
        <v>4263400</v>
      </c>
      <c r="AI18" s="283">
        <v>4297365</v>
      </c>
      <c r="AJ18" s="283">
        <v>4306617</v>
      </c>
      <c r="AK18" s="283">
        <v>4307618</v>
      </c>
      <c r="AL18" s="283">
        <v>4307954</v>
      </c>
      <c r="AM18" s="282">
        <v>4307954</v>
      </c>
    </row>
    <row r="19" spans="1:39" s="10" customFormat="1" ht="15.6">
      <c r="A19" s="6"/>
      <c r="B19" s="7"/>
      <c r="C19" s="7"/>
      <c r="D19" s="274">
        <v>10</v>
      </c>
      <c r="E19" s="278">
        <v>147156</v>
      </c>
      <c r="F19" s="280">
        <v>2037585</v>
      </c>
      <c r="G19" s="278">
        <v>0</v>
      </c>
      <c r="H19" s="279">
        <v>0</v>
      </c>
      <c r="I19" s="279">
        <v>4623926</v>
      </c>
      <c r="J19" s="278">
        <v>2719419</v>
      </c>
      <c r="K19" s="279">
        <v>1546598</v>
      </c>
      <c r="L19" s="279">
        <v>254452</v>
      </c>
      <c r="M19" s="279">
        <v>89225</v>
      </c>
      <c r="N19" s="279">
        <v>11516</v>
      </c>
      <c r="O19" s="279">
        <v>2315</v>
      </c>
      <c r="P19" s="279">
        <v>325</v>
      </c>
      <c r="Q19" s="279">
        <v>69</v>
      </c>
      <c r="R19" s="279">
        <v>7</v>
      </c>
      <c r="S19" s="280">
        <v>0</v>
      </c>
      <c r="T19" s="278">
        <v>4623926</v>
      </c>
      <c r="U19" s="279">
        <v>3451105</v>
      </c>
      <c r="V19" s="279">
        <v>866813</v>
      </c>
      <c r="W19" s="279">
        <v>371132</v>
      </c>
      <c r="X19" s="279">
        <v>60296</v>
      </c>
      <c r="Y19" s="279">
        <v>14291</v>
      </c>
      <c r="Z19" s="279">
        <v>2351</v>
      </c>
      <c r="AA19" s="279">
        <v>559</v>
      </c>
      <c r="AB19" s="279">
        <v>63</v>
      </c>
      <c r="AC19" s="279">
        <v>0</v>
      </c>
      <c r="AD19" s="278">
        <v>0</v>
      </c>
      <c r="AE19" s="279">
        <v>1172821</v>
      </c>
      <c r="AF19" s="279">
        <v>3757113</v>
      </c>
      <c r="AG19" s="279">
        <v>4252794</v>
      </c>
      <c r="AH19" s="279">
        <v>4563630</v>
      </c>
      <c r="AI19" s="279">
        <v>4609635</v>
      </c>
      <c r="AJ19" s="279">
        <v>4621575</v>
      </c>
      <c r="AK19" s="279">
        <v>4623367</v>
      </c>
      <c r="AL19" s="279">
        <v>4623863</v>
      </c>
      <c r="AM19" s="280">
        <v>4623926</v>
      </c>
    </row>
    <row r="20" spans="1:39" s="10" customFormat="1" ht="15.6">
      <c r="A20" s="6"/>
      <c r="B20" s="7"/>
      <c r="C20" s="7"/>
      <c r="D20" s="267">
        <v>11</v>
      </c>
      <c r="E20" s="281">
        <v>114705</v>
      </c>
      <c r="F20" s="282">
        <v>1713075</v>
      </c>
      <c r="G20" s="281">
        <v>0</v>
      </c>
      <c r="H20" s="283">
        <v>0</v>
      </c>
      <c r="I20" s="283">
        <v>4948436</v>
      </c>
      <c r="J20" s="281">
        <v>2868211</v>
      </c>
      <c r="K20" s="283">
        <v>1667645</v>
      </c>
      <c r="L20" s="283">
        <v>288759</v>
      </c>
      <c r="M20" s="283">
        <v>105821</v>
      </c>
      <c r="N20" s="283">
        <v>14253</v>
      </c>
      <c r="O20" s="283">
        <v>3200</v>
      </c>
      <c r="P20" s="283">
        <v>429</v>
      </c>
      <c r="Q20" s="283">
        <v>103</v>
      </c>
      <c r="R20" s="283">
        <v>12</v>
      </c>
      <c r="S20" s="282">
        <v>3</v>
      </c>
      <c r="T20" s="281">
        <v>4948436</v>
      </c>
      <c r="U20" s="283">
        <v>3747870</v>
      </c>
      <c r="V20" s="283">
        <v>990098</v>
      </c>
      <c r="W20" s="283">
        <v>441284</v>
      </c>
      <c r="X20" s="283">
        <v>75012</v>
      </c>
      <c r="Y20" s="283">
        <v>19747</v>
      </c>
      <c r="Z20" s="283">
        <v>3121</v>
      </c>
      <c r="AA20" s="283">
        <v>839</v>
      </c>
      <c r="AB20" s="283">
        <v>111</v>
      </c>
      <c r="AC20" s="283">
        <v>30</v>
      </c>
      <c r="AD20" s="284">
        <v>0</v>
      </c>
      <c r="AE20" s="285">
        <v>1200566</v>
      </c>
      <c r="AF20" s="285">
        <v>3958338</v>
      </c>
      <c r="AG20" s="285">
        <v>4507152</v>
      </c>
      <c r="AH20" s="285">
        <v>4873424</v>
      </c>
      <c r="AI20" s="285">
        <v>4928689</v>
      </c>
      <c r="AJ20" s="285">
        <v>4945315</v>
      </c>
      <c r="AK20" s="285">
        <v>4947597</v>
      </c>
      <c r="AL20" s="285">
        <v>4948325</v>
      </c>
      <c r="AM20" s="286">
        <v>4948406</v>
      </c>
    </row>
    <row r="21" spans="1:39" s="10" customFormat="1" ht="15.6">
      <c r="A21" s="6"/>
      <c r="B21" s="7"/>
      <c r="C21" s="7"/>
      <c r="D21" s="267">
        <v>12</v>
      </c>
      <c r="E21" s="281">
        <v>92120</v>
      </c>
      <c r="F21" s="282">
        <v>1464640</v>
      </c>
      <c r="G21" s="281">
        <v>0</v>
      </c>
      <c r="H21" s="283">
        <v>0</v>
      </c>
      <c r="I21" s="283">
        <v>5196871</v>
      </c>
      <c r="J21" s="281">
        <v>2979522</v>
      </c>
      <c r="K21" s="283">
        <v>1756676</v>
      </c>
      <c r="L21" s="283">
        <v>319789</v>
      </c>
      <c r="M21" s="283">
        <v>118902</v>
      </c>
      <c r="N21" s="283">
        <v>17211</v>
      </c>
      <c r="O21" s="283">
        <v>3994</v>
      </c>
      <c r="P21" s="283">
        <v>614</v>
      </c>
      <c r="Q21" s="283">
        <v>137</v>
      </c>
      <c r="R21" s="283">
        <v>22</v>
      </c>
      <c r="S21" s="282">
        <v>4</v>
      </c>
      <c r="T21" s="281">
        <v>5196871</v>
      </c>
      <c r="U21" s="283">
        <v>3974025</v>
      </c>
      <c r="V21" s="283">
        <v>1100251</v>
      </c>
      <c r="W21" s="283">
        <v>497590</v>
      </c>
      <c r="X21" s="283">
        <v>90826</v>
      </c>
      <c r="Y21" s="283">
        <v>24741</v>
      </c>
      <c r="Z21" s="283">
        <v>4461</v>
      </c>
      <c r="AA21" s="283">
        <v>1122</v>
      </c>
      <c r="AB21" s="283">
        <v>202</v>
      </c>
      <c r="AC21" s="283">
        <v>40</v>
      </c>
      <c r="AD21" s="281">
        <v>0</v>
      </c>
      <c r="AE21" s="283">
        <v>1222846</v>
      </c>
      <c r="AF21" s="283">
        <v>4096620</v>
      </c>
      <c r="AG21" s="283">
        <v>4699281</v>
      </c>
      <c r="AH21" s="283">
        <v>5106045</v>
      </c>
      <c r="AI21" s="283">
        <v>5172130</v>
      </c>
      <c r="AJ21" s="283">
        <v>5192410</v>
      </c>
      <c r="AK21" s="283">
        <v>5195749</v>
      </c>
      <c r="AL21" s="283">
        <v>5196669</v>
      </c>
      <c r="AM21" s="282">
        <v>5196831</v>
      </c>
    </row>
    <row r="22" spans="1:39" s="10" customFormat="1" ht="15.6">
      <c r="A22" s="6"/>
      <c r="B22" s="7"/>
      <c r="C22" s="7"/>
      <c r="D22" s="267">
        <v>13</v>
      </c>
      <c r="E22" s="281">
        <v>71498</v>
      </c>
      <c r="F22" s="282">
        <v>1217176</v>
      </c>
      <c r="G22" s="281">
        <v>0</v>
      </c>
      <c r="H22" s="283">
        <v>0</v>
      </c>
      <c r="I22" s="283">
        <v>5444335</v>
      </c>
      <c r="J22" s="281">
        <v>3086029</v>
      </c>
      <c r="K22" s="283">
        <v>1847717</v>
      </c>
      <c r="L22" s="283">
        <v>350377</v>
      </c>
      <c r="M22" s="283">
        <v>134035</v>
      </c>
      <c r="N22" s="283">
        <v>20159</v>
      </c>
      <c r="O22" s="283">
        <v>4957</v>
      </c>
      <c r="P22" s="283">
        <v>810</v>
      </c>
      <c r="Q22" s="283">
        <v>210</v>
      </c>
      <c r="R22" s="283">
        <v>33</v>
      </c>
      <c r="S22" s="282">
        <v>6</v>
      </c>
      <c r="T22" s="281">
        <v>5444335</v>
      </c>
      <c r="U22" s="283">
        <v>4206023</v>
      </c>
      <c r="V22" s="283">
        <v>1211343</v>
      </c>
      <c r="W22" s="283">
        <v>562317</v>
      </c>
      <c r="X22" s="283">
        <v>106813</v>
      </c>
      <c r="Y22" s="283">
        <v>30803</v>
      </c>
      <c r="Z22" s="283">
        <v>5921</v>
      </c>
      <c r="AA22" s="283">
        <v>1721</v>
      </c>
      <c r="AB22" s="283">
        <v>305</v>
      </c>
      <c r="AC22" s="283">
        <v>62</v>
      </c>
      <c r="AD22" s="281">
        <v>0</v>
      </c>
      <c r="AE22" s="283">
        <v>1238312</v>
      </c>
      <c r="AF22" s="283">
        <v>4232992</v>
      </c>
      <c r="AG22" s="283">
        <v>4882018</v>
      </c>
      <c r="AH22" s="283">
        <v>5337522</v>
      </c>
      <c r="AI22" s="283">
        <v>5413532</v>
      </c>
      <c r="AJ22" s="283">
        <v>5438414</v>
      </c>
      <c r="AK22" s="283">
        <v>5442614</v>
      </c>
      <c r="AL22" s="283">
        <v>5444030</v>
      </c>
      <c r="AM22" s="282">
        <v>5444273</v>
      </c>
    </row>
    <row r="23" spans="1:39" s="10" customFormat="1" ht="15.6">
      <c r="A23" s="6"/>
      <c r="B23" s="7"/>
      <c r="C23" s="7"/>
      <c r="D23" s="267">
        <v>14</v>
      </c>
      <c r="E23" s="281">
        <v>57198</v>
      </c>
      <c r="F23" s="282">
        <v>1031276</v>
      </c>
      <c r="G23" s="281">
        <v>0</v>
      </c>
      <c r="H23" s="283">
        <v>0</v>
      </c>
      <c r="I23" s="283">
        <v>5630235</v>
      </c>
      <c r="J23" s="281">
        <v>3163483</v>
      </c>
      <c r="K23" s="283">
        <v>1913448</v>
      </c>
      <c r="L23" s="283">
        <v>376769</v>
      </c>
      <c r="M23" s="283">
        <v>146167</v>
      </c>
      <c r="N23" s="283">
        <v>23180</v>
      </c>
      <c r="O23" s="283">
        <v>5832</v>
      </c>
      <c r="P23" s="283">
        <v>1026</v>
      </c>
      <c r="Q23" s="283">
        <v>267</v>
      </c>
      <c r="R23" s="283">
        <v>50</v>
      </c>
      <c r="S23" s="282">
        <v>11</v>
      </c>
      <c r="T23" s="281">
        <v>5630235</v>
      </c>
      <c r="U23" s="283">
        <v>4380200</v>
      </c>
      <c r="V23" s="283">
        <v>1306842</v>
      </c>
      <c r="W23" s="283">
        <v>615036</v>
      </c>
      <c r="X23" s="283">
        <v>123088</v>
      </c>
      <c r="Y23" s="283">
        <v>36348</v>
      </c>
      <c r="Z23" s="283">
        <v>7512</v>
      </c>
      <c r="AA23" s="283">
        <v>2199</v>
      </c>
      <c r="AB23" s="283">
        <v>463</v>
      </c>
      <c r="AC23" s="283">
        <v>112</v>
      </c>
      <c r="AD23" s="281">
        <v>0</v>
      </c>
      <c r="AE23" s="283">
        <v>1250035</v>
      </c>
      <c r="AF23" s="283">
        <v>4323393</v>
      </c>
      <c r="AG23" s="283">
        <v>5015199</v>
      </c>
      <c r="AH23" s="283">
        <v>5507147</v>
      </c>
      <c r="AI23" s="283">
        <v>5593887</v>
      </c>
      <c r="AJ23" s="283">
        <v>5622723</v>
      </c>
      <c r="AK23" s="283">
        <v>5628036</v>
      </c>
      <c r="AL23" s="283">
        <v>5629772</v>
      </c>
      <c r="AM23" s="282">
        <v>5630123</v>
      </c>
    </row>
    <row r="24" spans="1:39" s="10" customFormat="1" ht="15.6">
      <c r="A24" s="6"/>
      <c r="B24" s="7"/>
      <c r="C24" s="7"/>
      <c r="D24" s="267">
        <v>15</v>
      </c>
      <c r="E24" s="281">
        <v>44482</v>
      </c>
      <c r="F24" s="282">
        <v>853252</v>
      </c>
      <c r="G24" s="281">
        <v>0</v>
      </c>
      <c r="H24" s="283">
        <v>0</v>
      </c>
      <c r="I24" s="283">
        <v>5808259</v>
      </c>
      <c r="J24" s="281">
        <v>3235282</v>
      </c>
      <c r="K24" s="283">
        <v>1977257</v>
      </c>
      <c r="L24" s="283">
        <v>401855</v>
      </c>
      <c r="M24" s="283">
        <v>159113</v>
      </c>
      <c r="N24" s="283">
        <v>26204</v>
      </c>
      <c r="O24" s="283">
        <v>6881</v>
      </c>
      <c r="P24" s="283">
        <v>1244</v>
      </c>
      <c r="Q24" s="283">
        <v>341</v>
      </c>
      <c r="R24" s="283">
        <v>65</v>
      </c>
      <c r="S24" s="282">
        <v>15</v>
      </c>
      <c r="T24" s="281">
        <v>5808259</v>
      </c>
      <c r="U24" s="283">
        <v>4550234</v>
      </c>
      <c r="V24" s="283">
        <v>1399430</v>
      </c>
      <c r="W24" s="283">
        <v>671204</v>
      </c>
      <c r="X24" s="283">
        <v>139568</v>
      </c>
      <c r="Y24" s="283">
        <v>42953</v>
      </c>
      <c r="Z24" s="283">
        <v>9131</v>
      </c>
      <c r="AA24" s="283">
        <v>2810</v>
      </c>
      <c r="AB24" s="283">
        <v>602</v>
      </c>
      <c r="AC24" s="283">
        <v>152</v>
      </c>
      <c r="AD24" s="281">
        <v>0</v>
      </c>
      <c r="AE24" s="283">
        <v>1258025</v>
      </c>
      <c r="AF24" s="283">
        <v>4408829</v>
      </c>
      <c r="AG24" s="283">
        <v>5137055</v>
      </c>
      <c r="AH24" s="283">
        <v>5668691</v>
      </c>
      <c r="AI24" s="283">
        <v>5765306</v>
      </c>
      <c r="AJ24" s="283">
        <v>5799128</v>
      </c>
      <c r="AK24" s="283">
        <v>5805449</v>
      </c>
      <c r="AL24" s="283">
        <v>5807657</v>
      </c>
      <c r="AM24" s="282">
        <v>5808107</v>
      </c>
    </row>
    <row r="25" spans="1:39" s="10" customFormat="1" ht="15.6">
      <c r="A25" s="6"/>
      <c r="B25" s="7"/>
      <c r="C25" s="7"/>
      <c r="D25" s="267">
        <v>16</v>
      </c>
      <c r="E25" s="281">
        <v>35551</v>
      </c>
      <c r="F25" s="282">
        <v>719287</v>
      </c>
      <c r="G25" s="281">
        <v>0</v>
      </c>
      <c r="H25" s="283">
        <v>0</v>
      </c>
      <c r="I25" s="283">
        <v>5942224</v>
      </c>
      <c r="J25" s="281">
        <v>3286370</v>
      </c>
      <c r="K25" s="283">
        <v>2022443</v>
      </c>
      <c r="L25" s="283">
        <v>424176</v>
      </c>
      <c r="M25" s="283">
        <v>170269</v>
      </c>
      <c r="N25" s="283">
        <v>29162</v>
      </c>
      <c r="O25" s="283">
        <v>7811</v>
      </c>
      <c r="P25" s="283">
        <v>1484</v>
      </c>
      <c r="Q25" s="283">
        <v>405</v>
      </c>
      <c r="R25" s="283">
        <v>81</v>
      </c>
      <c r="S25" s="282">
        <v>19</v>
      </c>
      <c r="T25" s="281">
        <v>5942224</v>
      </c>
      <c r="U25" s="283">
        <v>4678297</v>
      </c>
      <c r="V25" s="283">
        <v>1481763</v>
      </c>
      <c r="W25" s="283">
        <v>720042</v>
      </c>
      <c r="X25" s="283">
        <v>155614</v>
      </c>
      <c r="Y25" s="283">
        <v>48859</v>
      </c>
      <c r="Z25" s="283">
        <v>10897</v>
      </c>
      <c r="AA25" s="283">
        <v>3344</v>
      </c>
      <c r="AB25" s="283">
        <v>752</v>
      </c>
      <c r="AC25" s="283">
        <v>194</v>
      </c>
      <c r="AD25" s="281">
        <v>0</v>
      </c>
      <c r="AE25" s="283">
        <v>1263927</v>
      </c>
      <c r="AF25" s="283">
        <v>4460461</v>
      </c>
      <c r="AG25" s="283">
        <v>5222182</v>
      </c>
      <c r="AH25" s="283">
        <v>5786610</v>
      </c>
      <c r="AI25" s="283">
        <v>5893365</v>
      </c>
      <c r="AJ25" s="283">
        <v>5931327</v>
      </c>
      <c r="AK25" s="283">
        <v>5938880</v>
      </c>
      <c r="AL25" s="283">
        <v>5941472</v>
      </c>
      <c r="AM25" s="282">
        <v>5942030</v>
      </c>
    </row>
    <row r="26" spans="1:39" s="10" customFormat="1" ht="15.6">
      <c r="A26" s="6"/>
      <c r="B26" s="7"/>
      <c r="C26" s="7"/>
      <c r="D26" s="267">
        <v>17</v>
      </c>
      <c r="E26" s="281">
        <v>28272</v>
      </c>
      <c r="F26" s="282">
        <v>602823</v>
      </c>
      <c r="G26" s="281">
        <v>0</v>
      </c>
      <c r="H26" s="283">
        <v>0</v>
      </c>
      <c r="I26" s="283">
        <v>6058688</v>
      </c>
      <c r="J26" s="281">
        <v>3328813</v>
      </c>
      <c r="K26" s="283">
        <v>2060947</v>
      </c>
      <c r="L26" s="283">
        <v>444126</v>
      </c>
      <c r="M26" s="283">
        <v>181578</v>
      </c>
      <c r="N26" s="283">
        <v>31999</v>
      </c>
      <c r="O26" s="283">
        <v>8854</v>
      </c>
      <c r="P26" s="283">
        <v>1744</v>
      </c>
      <c r="Q26" s="283">
        <v>498</v>
      </c>
      <c r="R26" s="283">
        <v>97</v>
      </c>
      <c r="S26" s="282">
        <v>26</v>
      </c>
      <c r="T26" s="281">
        <v>6058688</v>
      </c>
      <c r="U26" s="283">
        <v>4790822</v>
      </c>
      <c r="V26" s="283">
        <v>1557180</v>
      </c>
      <c r="W26" s="283">
        <v>769536</v>
      </c>
      <c r="X26" s="283">
        <v>171220</v>
      </c>
      <c r="Y26" s="283">
        <v>55495</v>
      </c>
      <c r="Z26" s="283">
        <v>12835</v>
      </c>
      <c r="AA26" s="283">
        <v>4113</v>
      </c>
      <c r="AB26" s="283">
        <v>905</v>
      </c>
      <c r="AC26" s="283">
        <v>266</v>
      </c>
      <c r="AD26" s="281">
        <v>0</v>
      </c>
      <c r="AE26" s="283">
        <v>1267866</v>
      </c>
      <c r="AF26" s="283">
        <v>4501508</v>
      </c>
      <c r="AG26" s="283">
        <v>5289152</v>
      </c>
      <c r="AH26" s="283">
        <v>5887468</v>
      </c>
      <c r="AI26" s="283">
        <v>6003193</v>
      </c>
      <c r="AJ26" s="283">
        <v>6045853</v>
      </c>
      <c r="AK26" s="283">
        <v>6054575</v>
      </c>
      <c r="AL26" s="283">
        <v>6057783</v>
      </c>
      <c r="AM26" s="282">
        <v>6058422</v>
      </c>
    </row>
    <row r="27" spans="1:39" s="10" customFormat="1" ht="15.6">
      <c r="A27" s="6"/>
      <c r="B27" s="7"/>
      <c r="C27" s="7"/>
      <c r="D27" s="267">
        <v>18</v>
      </c>
      <c r="E27" s="281">
        <v>22768</v>
      </c>
      <c r="F27" s="282">
        <v>509255</v>
      </c>
      <c r="G27" s="281">
        <v>0</v>
      </c>
      <c r="H27" s="283">
        <v>0</v>
      </c>
      <c r="I27" s="283">
        <v>6152256</v>
      </c>
      <c r="J27" s="281">
        <v>3361470</v>
      </c>
      <c r="K27" s="283">
        <v>2090540</v>
      </c>
      <c r="L27" s="283">
        <v>461543</v>
      </c>
      <c r="M27" s="283">
        <v>191283</v>
      </c>
      <c r="N27" s="283">
        <v>34844</v>
      </c>
      <c r="O27" s="283">
        <v>9861</v>
      </c>
      <c r="P27" s="283">
        <v>1992</v>
      </c>
      <c r="Q27" s="283">
        <v>572</v>
      </c>
      <c r="R27" s="283">
        <v>115</v>
      </c>
      <c r="S27" s="282">
        <v>30</v>
      </c>
      <c r="T27" s="281">
        <v>6152256</v>
      </c>
      <c r="U27" s="283">
        <v>4881326</v>
      </c>
      <c r="V27" s="283">
        <v>1623332</v>
      </c>
      <c r="W27" s="283">
        <v>812552</v>
      </c>
      <c r="X27" s="283">
        <v>186796</v>
      </c>
      <c r="Y27" s="283">
        <v>61881</v>
      </c>
      <c r="Z27" s="283">
        <v>14667</v>
      </c>
      <c r="AA27" s="283">
        <v>4727</v>
      </c>
      <c r="AB27" s="283">
        <v>1071</v>
      </c>
      <c r="AC27" s="283">
        <v>306</v>
      </c>
      <c r="AD27" s="281">
        <v>0</v>
      </c>
      <c r="AE27" s="283">
        <v>1270930</v>
      </c>
      <c r="AF27" s="283">
        <v>4528924</v>
      </c>
      <c r="AG27" s="283">
        <v>5339704</v>
      </c>
      <c r="AH27" s="283">
        <v>5965460</v>
      </c>
      <c r="AI27" s="283">
        <v>6090375</v>
      </c>
      <c r="AJ27" s="283">
        <v>6137589</v>
      </c>
      <c r="AK27" s="283">
        <v>6147529</v>
      </c>
      <c r="AL27" s="283">
        <v>6151185</v>
      </c>
      <c r="AM27" s="282">
        <v>6151950</v>
      </c>
    </row>
    <row r="28" spans="1:39" s="10" customFormat="1" ht="15.6">
      <c r="A28" s="6"/>
      <c r="B28" s="7"/>
      <c r="C28" s="7"/>
      <c r="D28" s="267">
        <v>19</v>
      </c>
      <c r="E28" s="281">
        <v>18273</v>
      </c>
      <c r="F28" s="282">
        <v>428345</v>
      </c>
      <c r="G28" s="281">
        <v>0</v>
      </c>
      <c r="H28" s="283">
        <v>0</v>
      </c>
      <c r="I28" s="283">
        <v>6233166</v>
      </c>
      <c r="J28" s="281">
        <v>3388583</v>
      </c>
      <c r="K28" s="283">
        <v>2115496</v>
      </c>
      <c r="L28" s="283">
        <v>477040</v>
      </c>
      <c r="M28" s="283">
        <v>200488</v>
      </c>
      <c r="N28" s="283">
        <v>37560</v>
      </c>
      <c r="O28" s="283">
        <v>10929</v>
      </c>
      <c r="P28" s="283">
        <v>2235</v>
      </c>
      <c r="Q28" s="283">
        <v>658</v>
      </c>
      <c r="R28" s="283">
        <v>135</v>
      </c>
      <c r="S28" s="282">
        <v>35</v>
      </c>
      <c r="T28" s="281">
        <v>6233166</v>
      </c>
      <c r="U28" s="283">
        <v>4960079</v>
      </c>
      <c r="V28" s="283">
        <v>1683167</v>
      </c>
      <c r="W28" s="283">
        <v>853511</v>
      </c>
      <c r="X28" s="283">
        <v>201799</v>
      </c>
      <c r="Y28" s="283">
        <v>68644</v>
      </c>
      <c r="Z28" s="283">
        <v>16480</v>
      </c>
      <c r="AA28" s="283">
        <v>5441</v>
      </c>
      <c r="AB28" s="283">
        <v>1257</v>
      </c>
      <c r="AC28" s="283">
        <v>357</v>
      </c>
      <c r="AD28" s="281">
        <v>0</v>
      </c>
      <c r="AE28" s="283">
        <v>1273087</v>
      </c>
      <c r="AF28" s="283">
        <v>4549999</v>
      </c>
      <c r="AG28" s="283">
        <v>5379655</v>
      </c>
      <c r="AH28" s="283">
        <v>6031367</v>
      </c>
      <c r="AI28" s="283">
        <v>6164522</v>
      </c>
      <c r="AJ28" s="283">
        <v>6216686</v>
      </c>
      <c r="AK28" s="283">
        <v>6227725</v>
      </c>
      <c r="AL28" s="283">
        <v>6231909</v>
      </c>
      <c r="AM28" s="282">
        <v>6232809</v>
      </c>
    </row>
    <row r="29" spans="1:39" s="10" customFormat="1" ht="15.6">
      <c r="A29" s="6"/>
      <c r="B29" s="7"/>
      <c r="C29" s="7"/>
      <c r="D29" s="274">
        <v>20</v>
      </c>
      <c r="E29" s="278">
        <v>14749</v>
      </c>
      <c r="F29" s="280">
        <v>361389</v>
      </c>
      <c r="G29" s="278">
        <v>0</v>
      </c>
      <c r="H29" s="279">
        <v>0</v>
      </c>
      <c r="I29" s="279">
        <v>6300122</v>
      </c>
      <c r="J29" s="278">
        <v>3410193</v>
      </c>
      <c r="K29" s="279">
        <v>2135518</v>
      </c>
      <c r="L29" s="279">
        <v>490348</v>
      </c>
      <c r="M29" s="279">
        <v>208482</v>
      </c>
      <c r="N29" s="279">
        <v>40175</v>
      </c>
      <c r="O29" s="279">
        <v>11939</v>
      </c>
      <c r="P29" s="279">
        <v>2514</v>
      </c>
      <c r="Q29" s="279">
        <v>752</v>
      </c>
      <c r="R29" s="279">
        <v>154</v>
      </c>
      <c r="S29" s="280">
        <v>39</v>
      </c>
      <c r="T29" s="278">
        <v>6300122</v>
      </c>
      <c r="U29" s="279">
        <v>5025447</v>
      </c>
      <c r="V29" s="279">
        <v>1735107</v>
      </c>
      <c r="W29" s="279">
        <v>889509</v>
      </c>
      <c r="X29" s="279">
        <v>216281</v>
      </c>
      <c r="Y29" s="279">
        <v>75101</v>
      </c>
      <c r="Z29" s="279">
        <v>18551</v>
      </c>
      <c r="AA29" s="279">
        <v>6217</v>
      </c>
      <c r="AB29" s="279">
        <v>1433</v>
      </c>
      <c r="AC29" s="279">
        <v>398</v>
      </c>
      <c r="AD29" s="278">
        <v>0</v>
      </c>
      <c r="AE29" s="279">
        <v>1274675</v>
      </c>
      <c r="AF29" s="279">
        <v>4565015</v>
      </c>
      <c r="AG29" s="279">
        <v>5410613</v>
      </c>
      <c r="AH29" s="279">
        <v>6083841</v>
      </c>
      <c r="AI29" s="279">
        <v>6225021</v>
      </c>
      <c r="AJ29" s="279">
        <v>6281571</v>
      </c>
      <c r="AK29" s="279">
        <v>6293905</v>
      </c>
      <c r="AL29" s="279">
        <v>6298689</v>
      </c>
      <c r="AM29" s="280">
        <v>6299724</v>
      </c>
    </row>
    <row r="30" spans="1:39" s="10" customFormat="1" ht="15.6">
      <c r="A30" s="6"/>
      <c r="B30" s="7"/>
      <c r="C30" s="7"/>
      <c r="D30" s="267">
        <v>21</v>
      </c>
      <c r="E30" s="281">
        <v>11890</v>
      </c>
      <c r="F30" s="282">
        <v>304209</v>
      </c>
      <c r="G30" s="281">
        <v>0</v>
      </c>
      <c r="H30" s="283">
        <v>0</v>
      </c>
      <c r="I30" s="283">
        <v>6357302</v>
      </c>
      <c r="J30" s="281">
        <v>3427928</v>
      </c>
      <c r="K30" s="283">
        <v>2152131</v>
      </c>
      <c r="L30" s="283">
        <v>501994</v>
      </c>
      <c r="M30" s="283">
        <v>216026</v>
      </c>
      <c r="N30" s="283">
        <v>42548</v>
      </c>
      <c r="O30" s="283">
        <v>12838</v>
      </c>
      <c r="P30" s="283">
        <v>2754</v>
      </c>
      <c r="Q30" s="283">
        <v>847</v>
      </c>
      <c r="R30" s="283">
        <v>175</v>
      </c>
      <c r="S30" s="282">
        <v>49</v>
      </c>
      <c r="T30" s="281">
        <v>6357302</v>
      </c>
      <c r="U30" s="283">
        <v>5081505</v>
      </c>
      <c r="V30" s="283">
        <v>1781231</v>
      </c>
      <c r="W30" s="283">
        <v>923327</v>
      </c>
      <c r="X30" s="283">
        <v>229415</v>
      </c>
      <c r="Y30" s="283">
        <v>80865</v>
      </c>
      <c r="Z30" s="283">
        <v>20361</v>
      </c>
      <c r="AA30" s="283">
        <v>7012</v>
      </c>
      <c r="AB30" s="283">
        <v>1636</v>
      </c>
      <c r="AC30" s="283">
        <v>502</v>
      </c>
      <c r="AD30" s="284">
        <v>0</v>
      </c>
      <c r="AE30" s="285">
        <v>1275797</v>
      </c>
      <c r="AF30" s="285">
        <v>4576071</v>
      </c>
      <c r="AG30" s="285">
        <v>5433975</v>
      </c>
      <c r="AH30" s="285">
        <v>6127887</v>
      </c>
      <c r="AI30" s="285">
        <v>6276437</v>
      </c>
      <c r="AJ30" s="285">
        <v>6336941</v>
      </c>
      <c r="AK30" s="285">
        <v>6350290</v>
      </c>
      <c r="AL30" s="285">
        <v>6355666</v>
      </c>
      <c r="AM30" s="286">
        <v>6356800</v>
      </c>
    </row>
    <row r="31" spans="1:39" s="10" customFormat="1" ht="15.6">
      <c r="A31" s="6"/>
      <c r="B31" s="7"/>
      <c r="C31" s="7"/>
      <c r="D31" s="267">
        <v>22</v>
      </c>
      <c r="E31" s="281">
        <v>9730</v>
      </c>
      <c r="F31" s="282">
        <v>258849</v>
      </c>
      <c r="G31" s="281">
        <v>0</v>
      </c>
      <c r="H31" s="283">
        <v>0</v>
      </c>
      <c r="I31" s="283">
        <v>6402662</v>
      </c>
      <c r="J31" s="281">
        <v>3441536</v>
      </c>
      <c r="K31" s="283">
        <v>2164929</v>
      </c>
      <c r="L31" s="283">
        <v>511403</v>
      </c>
      <c r="M31" s="283">
        <v>222091</v>
      </c>
      <c r="N31" s="283">
        <v>44704</v>
      </c>
      <c r="O31" s="283">
        <v>13741</v>
      </c>
      <c r="P31" s="283">
        <v>3052</v>
      </c>
      <c r="Q31" s="283">
        <v>935</v>
      </c>
      <c r="R31" s="283">
        <v>201</v>
      </c>
      <c r="S31" s="282">
        <v>58</v>
      </c>
      <c r="T31" s="281">
        <v>6402662</v>
      </c>
      <c r="U31" s="283">
        <v>5126055</v>
      </c>
      <c r="V31" s="283">
        <v>1819003</v>
      </c>
      <c r="W31" s="283">
        <v>951067</v>
      </c>
      <c r="X31" s="283">
        <v>241519</v>
      </c>
      <c r="Y31" s="283">
        <v>86704</v>
      </c>
      <c r="Z31" s="283">
        <v>22570</v>
      </c>
      <c r="AA31" s="283">
        <v>7751</v>
      </c>
      <c r="AB31" s="283">
        <v>1879</v>
      </c>
      <c r="AC31" s="283">
        <v>592</v>
      </c>
      <c r="AD31" s="281">
        <v>0</v>
      </c>
      <c r="AE31" s="283">
        <v>1276607</v>
      </c>
      <c r="AF31" s="283">
        <v>4583659</v>
      </c>
      <c r="AG31" s="283">
        <v>5451595</v>
      </c>
      <c r="AH31" s="283">
        <v>6161143</v>
      </c>
      <c r="AI31" s="283">
        <v>6315958</v>
      </c>
      <c r="AJ31" s="283">
        <v>6380092</v>
      </c>
      <c r="AK31" s="283">
        <v>6394911</v>
      </c>
      <c r="AL31" s="283">
        <v>6400783</v>
      </c>
      <c r="AM31" s="282">
        <v>6402070</v>
      </c>
    </row>
    <row r="32" spans="1:39" s="10" customFormat="1" ht="15.6">
      <c r="A32" s="6"/>
      <c r="B32" s="7"/>
      <c r="C32" s="7"/>
      <c r="D32" s="267">
        <v>23</v>
      </c>
      <c r="E32" s="281">
        <v>7874</v>
      </c>
      <c r="F32" s="282">
        <v>218017</v>
      </c>
      <c r="G32" s="281">
        <v>0</v>
      </c>
      <c r="H32" s="283">
        <v>0</v>
      </c>
      <c r="I32" s="283">
        <v>6443494</v>
      </c>
      <c r="J32" s="281">
        <v>3453382</v>
      </c>
      <c r="K32" s="283">
        <v>2176140</v>
      </c>
      <c r="L32" s="283">
        <v>519769</v>
      </c>
      <c r="M32" s="283">
        <v>227979</v>
      </c>
      <c r="N32" s="283">
        <v>46907</v>
      </c>
      <c r="O32" s="283">
        <v>14674</v>
      </c>
      <c r="P32" s="283">
        <v>3311</v>
      </c>
      <c r="Q32" s="283">
        <v>1025</v>
      </c>
      <c r="R32" s="283">
        <v>223</v>
      </c>
      <c r="S32" s="282">
        <v>69</v>
      </c>
      <c r="T32" s="281">
        <v>6443494</v>
      </c>
      <c r="U32" s="283">
        <v>5166252</v>
      </c>
      <c r="V32" s="283">
        <v>1853510</v>
      </c>
      <c r="W32" s="283">
        <v>978140</v>
      </c>
      <c r="X32" s="283">
        <v>253852</v>
      </c>
      <c r="Y32" s="283">
        <v>92687</v>
      </c>
      <c r="Z32" s="283">
        <v>24509</v>
      </c>
      <c r="AA32" s="283">
        <v>8507</v>
      </c>
      <c r="AB32" s="283">
        <v>2091</v>
      </c>
      <c r="AC32" s="283">
        <v>705</v>
      </c>
      <c r="AD32" s="281">
        <v>0</v>
      </c>
      <c r="AE32" s="283">
        <v>1277242</v>
      </c>
      <c r="AF32" s="283">
        <v>4589984</v>
      </c>
      <c r="AG32" s="283">
        <v>5465354</v>
      </c>
      <c r="AH32" s="283">
        <v>6189642</v>
      </c>
      <c r="AI32" s="283">
        <v>6350807</v>
      </c>
      <c r="AJ32" s="283">
        <v>6418985</v>
      </c>
      <c r="AK32" s="283">
        <v>6434987</v>
      </c>
      <c r="AL32" s="283">
        <v>6441403</v>
      </c>
      <c r="AM32" s="282">
        <v>6442789</v>
      </c>
    </row>
    <row r="33" spans="1:39" s="10" customFormat="1" ht="15.6">
      <c r="A33" s="6"/>
      <c r="B33" s="7"/>
      <c r="C33" s="7"/>
      <c r="D33" s="267">
        <v>24</v>
      </c>
      <c r="E33" s="281">
        <v>6377</v>
      </c>
      <c r="F33" s="282">
        <v>183586</v>
      </c>
      <c r="G33" s="281">
        <v>0</v>
      </c>
      <c r="H33" s="283">
        <v>0</v>
      </c>
      <c r="I33" s="283">
        <v>6477925</v>
      </c>
      <c r="J33" s="281">
        <v>3462979</v>
      </c>
      <c r="K33" s="283">
        <v>2185329</v>
      </c>
      <c r="L33" s="283">
        <v>526901</v>
      </c>
      <c r="M33" s="283">
        <v>233101</v>
      </c>
      <c r="N33" s="283">
        <v>48938</v>
      </c>
      <c r="O33" s="283">
        <v>15594</v>
      </c>
      <c r="P33" s="283">
        <v>3592</v>
      </c>
      <c r="Q33" s="283">
        <v>1146</v>
      </c>
      <c r="R33" s="283">
        <v>255</v>
      </c>
      <c r="S33" s="282">
        <v>75</v>
      </c>
      <c r="T33" s="281">
        <v>6477925</v>
      </c>
      <c r="U33" s="283">
        <v>5200275</v>
      </c>
      <c r="V33" s="283">
        <v>1883419</v>
      </c>
      <c r="W33" s="283">
        <v>1002019</v>
      </c>
      <c r="X33" s="283">
        <v>265367</v>
      </c>
      <c r="Y33" s="283">
        <v>98647</v>
      </c>
      <c r="Z33" s="283">
        <v>26635</v>
      </c>
      <c r="AA33" s="283">
        <v>9513</v>
      </c>
      <c r="AB33" s="283">
        <v>2385</v>
      </c>
      <c r="AC33" s="283">
        <v>765</v>
      </c>
      <c r="AD33" s="281">
        <v>0</v>
      </c>
      <c r="AE33" s="283">
        <v>1277650</v>
      </c>
      <c r="AF33" s="283">
        <v>4594506</v>
      </c>
      <c r="AG33" s="283">
        <v>5475906</v>
      </c>
      <c r="AH33" s="283">
        <v>6212558</v>
      </c>
      <c r="AI33" s="283">
        <v>6379278</v>
      </c>
      <c r="AJ33" s="283">
        <v>6451290</v>
      </c>
      <c r="AK33" s="283">
        <v>6468412</v>
      </c>
      <c r="AL33" s="283">
        <v>6475540</v>
      </c>
      <c r="AM33" s="282">
        <v>6477160</v>
      </c>
    </row>
    <row r="34" spans="1:39" s="10" customFormat="1" ht="15.6">
      <c r="A34" s="6"/>
      <c r="B34" s="7"/>
      <c r="C34" s="7"/>
      <c r="D34" s="267">
        <v>25</v>
      </c>
      <c r="E34" s="281">
        <v>5114</v>
      </c>
      <c r="F34" s="282">
        <v>153274</v>
      </c>
      <c r="G34" s="281">
        <v>0</v>
      </c>
      <c r="H34" s="283">
        <v>0</v>
      </c>
      <c r="I34" s="283">
        <v>6508237</v>
      </c>
      <c r="J34" s="281">
        <v>3471130</v>
      </c>
      <c r="K34" s="283">
        <v>2193151</v>
      </c>
      <c r="L34" s="283">
        <v>533210</v>
      </c>
      <c r="M34" s="283">
        <v>237822</v>
      </c>
      <c r="N34" s="283">
        <v>50857</v>
      </c>
      <c r="O34" s="283">
        <v>16518</v>
      </c>
      <c r="P34" s="283">
        <v>3893</v>
      </c>
      <c r="Q34" s="283">
        <v>1265</v>
      </c>
      <c r="R34" s="283">
        <v>287</v>
      </c>
      <c r="S34" s="282">
        <v>85</v>
      </c>
      <c r="T34" s="281">
        <v>6508237</v>
      </c>
      <c r="U34" s="283">
        <v>5230258</v>
      </c>
      <c r="V34" s="283">
        <v>1910376</v>
      </c>
      <c r="W34" s="283">
        <v>1024212</v>
      </c>
      <c r="X34" s="283">
        <v>276352</v>
      </c>
      <c r="Y34" s="283">
        <v>104657</v>
      </c>
      <c r="Z34" s="283">
        <v>28907</v>
      </c>
      <c r="AA34" s="283">
        <v>10511</v>
      </c>
      <c r="AB34" s="283">
        <v>2687</v>
      </c>
      <c r="AC34" s="283">
        <v>869</v>
      </c>
      <c r="AD34" s="281">
        <v>0</v>
      </c>
      <c r="AE34" s="283">
        <v>1277979</v>
      </c>
      <c r="AF34" s="283">
        <v>4597861</v>
      </c>
      <c r="AG34" s="283">
        <v>5484025</v>
      </c>
      <c r="AH34" s="283">
        <v>6231885</v>
      </c>
      <c r="AI34" s="283">
        <v>6403580</v>
      </c>
      <c r="AJ34" s="283">
        <v>6479330</v>
      </c>
      <c r="AK34" s="283">
        <v>6497726</v>
      </c>
      <c r="AL34" s="283">
        <v>6505550</v>
      </c>
      <c r="AM34" s="282">
        <v>6507368</v>
      </c>
    </row>
    <row r="35" spans="1:39" s="10" customFormat="1" ht="15.6">
      <c r="A35" s="6"/>
      <c r="B35" s="7"/>
      <c r="C35" s="7"/>
      <c r="D35" s="267">
        <v>26</v>
      </c>
      <c r="E35" s="281">
        <v>4170</v>
      </c>
      <c r="F35" s="282">
        <v>129674</v>
      </c>
      <c r="G35" s="281">
        <v>0</v>
      </c>
      <c r="H35" s="283">
        <v>0</v>
      </c>
      <c r="I35" s="283">
        <v>6531837</v>
      </c>
      <c r="J35" s="281">
        <v>3477290</v>
      </c>
      <c r="K35" s="283">
        <v>2199064</v>
      </c>
      <c r="L35" s="283">
        <v>538152</v>
      </c>
      <c r="M35" s="283">
        <v>241535</v>
      </c>
      <c r="N35" s="283">
        <v>52536</v>
      </c>
      <c r="O35" s="283">
        <v>17298</v>
      </c>
      <c r="P35" s="283">
        <v>4154</v>
      </c>
      <c r="Q35" s="283">
        <v>1371</v>
      </c>
      <c r="R35" s="283">
        <v>321</v>
      </c>
      <c r="S35" s="282">
        <v>94</v>
      </c>
      <c r="T35" s="281">
        <v>6531837</v>
      </c>
      <c r="U35" s="283">
        <v>5253611</v>
      </c>
      <c r="V35" s="283">
        <v>1931787</v>
      </c>
      <c r="W35" s="283">
        <v>1041936</v>
      </c>
      <c r="X35" s="283">
        <v>285940</v>
      </c>
      <c r="Y35" s="283">
        <v>109750</v>
      </c>
      <c r="Z35" s="283">
        <v>30886</v>
      </c>
      <c r="AA35" s="283">
        <v>11405</v>
      </c>
      <c r="AB35" s="283">
        <v>3005</v>
      </c>
      <c r="AC35" s="283">
        <v>962</v>
      </c>
      <c r="AD35" s="281">
        <v>0</v>
      </c>
      <c r="AE35" s="283">
        <v>1278226</v>
      </c>
      <c r="AF35" s="283">
        <v>4600050</v>
      </c>
      <c r="AG35" s="283">
        <v>5489901</v>
      </c>
      <c r="AH35" s="283">
        <v>6245897</v>
      </c>
      <c r="AI35" s="283">
        <v>6422087</v>
      </c>
      <c r="AJ35" s="283">
        <v>6500951</v>
      </c>
      <c r="AK35" s="283">
        <v>6520432</v>
      </c>
      <c r="AL35" s="283">
        <v>6528832</v>
      </c>
      <c r="AM35" s="282">
        <v>6530875</v>
      </c>
    </row>
    <row r="36" spans="1:39" s="10" customFormat="1" ht="15.6">
      <c r="A36" s="6"/>
      <c r="B36" s="7"/>
      <c r="C36" s="7"/>
      <c r="D36" s="267">
        <v>27</v>
      </c>
      <c r="E36" s="281">
        <v>3392</v>
      </c>
      <c r="F36" s="282">
        <v>109446</v>
      </c>
      <c r="G36" s="281">
        <v>0</v>
      </c>
      <c r="H36" s="283">
        <v>0</v>
      </c>
      <c r="I36" s="283">
        <v>6552065</v>
      </c>
      <c r="J36" s="281">
        <v>3482380</v>
      </c>
      <c r="K36" s="283">
        <v>2203985</v>
      </c>
      <c r="L36" s="283">
        <v>542304</v>
      </c>
      <c r="M36" s="283">
        <v>244805</v>
      </c>
      <c r="N36" s="283">
        <v>54143</v>
      </c>
      <c r="O36" s="283">
        <v>18054</v>
      </c>
      <c r="P36" s="283">
        <v>4414</v>
      </c>
      <c r="Q36" s="283">
        <v>1486</v>
      </c>
      <c r="R36" s="283">
        <v>360</v>
      </c>
      <c r="S36" s="282">
        <v>106</v>
      </c>
      <c r="T36" s="281">
        <v>6552065</v>
      </c>
      <c r="U36" s="283">
        <v>5273670</v>
      </c>
      <c r="V36" s="283">
        <v>1950308</v>
      </c>
      <c r="W36" s="283">
        <v>1057811</v>
      </c>
      <c r="X36" s="283">
        <v>295163</v>
      </c>
      <c r="Y36" s="283">
        <v>114718</v>
      </c>
      <c r="Z36" s="283">
        <v>32878</v>
      </c>
      <c r="AA36" s="283">
        <v>12382</v>
      </c>
      <c r="AB36" s="283">
        <v>3374</v>
      </c>
      <c r="AC36" s="283">
        <v>1088</v>
      </c>
      <c r="AD36" s="281">
        <v>0</v>
      </c>
      <c r="AE36" s="283">
        <v>1278395</v>
      </c>
      <c r="AF36" s="283">
        <v>4601757</v>
      </c>
      <c r="AG36" s="283">
        <v>5494254</v>
      </c>
      <c r="AH36" s="283">
        <v>6256902</v>
      </c>
      <c r="AI36" s="283">
        <v>6437347</v>
      </c>
      <c r="AJ36" s="283">
        <v>6519187</v>
      </c>
      <c r="AK36" s="283">
        <v>6539683</v>
      </c>
      <c r="AL36" s="283">
        <v>6548691</v>
      </c>
      <c r="AM36" s="282">
        <v>6550977</v>
      </c>
    </row>
    <row r="37" spans="1:39" s="10" customFormat="1" ht="15.6">
      <c r="A37" s="6"/>
      <c r="B37" s="7"/>
      <c r="C37" s="7"/>
      <c r="D37" s="267">
        <v>28</v>
      </c>
      <c r="E37" s="281">
        <v>2775</v>
      </c>
      <c r="F37" s="282">
        <v>92787</v>
      </c>
      <c r="G37" s="281">
        <v>0</v>
      </c>
      <c r="H37" s="283">
        <v>0</v>
      </c>
      <c r="I37" s="283">
        <v>6568724</v>
      </c>
      <c r="J37" s="281">
        <v>3486461</v>
      </c>
      <c r="K37" s="283">
        <v>2207938</v>
      </c>
      <c r="L37" s="283">
        <v>545724</v>
      </c>
      <c r="M37" s="283">
        <v>247527</v>
      </c>
      <c r="N37" s="283">
        <v>55514</v>
      </c>
      <c r="O37" s="283">
        <v>18772</v>
      </c>
      <c r="P37" s="283">
        <v>4657</v>
      </c>
      <c r="Q37" s="283">
        <v>1585</v>
      </c>
      <c r="R37" s="283">
        <v>391</v>
      </c>
      <c r="S37" s="282">
        <v>120</v>
      </c>
      <c r="T37" s="281">
        <v>6568724</v>
      </c>
      <c r="U37" s="283">
        <v>5290201</v>
      </c>
      <c r="V37" s="283">
        <v>1965773</v>
      </c>
      <c r="W37" s="283">
        <v>1071182</v>
      </c>
      <c r="X37" s="283">
        <v>303130</v>
      </c>
      <c r="Y37" s="283">
        <v>119420</v>
      </c>
      <c r="Z37" s="283">
        <v>34730</v>
      </c>
      <c r="AA37" s="283">
        <v>13226</v>
      </c>
      <c r="AB37" s="283">
        <v>3674</v>
      </c>
      <c r="AC37" s="283">
        <v>1235</v>
      </c>
      <c r="AD37" s="281">
        <v>0</v>
      </c>
      <c r="AE37" s="283">
        <v>1278523</v>
      </c>
      <c r="AF37" s="283">
        <v>4602951</v>
      </c>
      <c r="AG37" s="283">
        <v>5497542</v>
      </c>
      <c r="AH37" s="283">
        <v>6265594</v>
      </c>
      <c r="AI37" s="283">
        <v>6449304</v>
      </c>
      <c r="AJ37" s="283">
        <v>6533994</v>
      </c>
      <c r="AK37" s="283">
        <v>6555498</v>
      </c>
      <c r="AL37" s="283">
        <v>6565050</v>
      </c>
      <c r="AM37" s="282">
        <v>6567489</v>
      </c>
    </row>
    <row r="38" spans="1:39" s="10" customFormat="1" ht="15.6">
      <c r="A38" s="6"/>
      <c r="B38" s="7"/>
      <c r="C38" s="7"/>
      <c r="D38" s="267">
        <v>29</v>
      </c>
      <c r="E38" s="281">
        <v>2294</v>
      </c>
      <c r="F38" s="282">
        <v>79319</v>
      </c>
      <c r="G38" s="281">
        <v>0</v>
      </c>
      <c r="H38" s="283">
        <v>0</v>
      </c>
      <c r="I38" s="283">
        <v>6582192</v>
      </c>
      <c r="J38" s="281">
        <v>3489653</v>
      </c>
      <c r="K38" s="283">
        <v>2211062</v>
      </c>
      <c r="L38" s="283">
        <v>548455</v>
      </c>
      <c r="M38" s="283">
        <v>249797</v>
      </c>
      <c r="N38" s="283">
        <v>56665</v>
      </c>
      <c r="O38" s="283">
        <v>19394</v>
      </c>
      <c r="P38" s="283">
        <v>4875</v>
      </c>
      <c r="Q38" s="283">
        <v>1683</v>
      </c>
      <c r="R38" s="283">
        <v>424</v>
      </c>
      <c r="S38" s="282">
        <v>138</v>
      </c>
      <c r="T38" s="281">
        <v>6582192</v>
      </c>
      <c r="U38" s="283">
        <v>5303601</v>
      </c>
      <c r="V38" s="283">
        <v>1978387</v>
      </c>
      <c r="W38" s="283">
        <v>1082413</v>
      </c>
      <c r="X38" s="283">
        <v>309885</v>
      </c>
      <c r="Y38" s="283">
        <v>123530</v>
      </c>
      <c r="Z38" s="283">
        <v>36416</v>
      </c>
      <c r="AA38" s="283">
        <v>14072</v>
      </c>
      <c r="AB38" s="283">
        <v>4000</v>
      </c>
      <c r="AC38" s="283">
        <v>1426</v>
      </c>
      <c r="AD38" s="281">
        <v>0</v>
      </c>
      <c r="AE38" s="283">
        <v>1278591</v>
      </c>
      <c r="AF38" s="283">
        <v>4603805</v>
      </c>
      <c r="AG38" s="283">
        <v>5499779</v>
      </c>
      <c r="AH38" s="283">
        <v>6272307</v>
      </c>
      <c r="AI38" s="283">
        <v>6458662</v>
      </c>
      <c r="AJ38" s="283">
        <v>6545776</v>
      </c>
      <c r="AK38" s="283">
        <v>6568120</v>
      </c>
      <c r="AL38" s="283">
        <v>6578192</v>
      </c>
      <c r="AM38" s="282">
        <v>6580766</v>
      </c>
    </row>
    <row r="39" spans="1:39" s="10" customFormat="1" ht="15.6">
      <c r="A39" s="6"/>
      <c r="B39" s="7"/>
      <c r="C39" s="7"/>
      <c r="D39" s="274">
        <v>30</v>
      </c>
      <c r="E39" s="278">
        <v>1899</v>
      </c>
      <c r="F39" s="280">
        <v>67864</v>
      </c>
      <c r="G39" s="278">
        <v>0</v>
      </c>
      <c r="H39" s="279">
        <v>0</v>
      </c>
      <c r="I39" s="279">
        <v>6593647</v>
      </c>
      <c r="J39" s="278">
        <v>3492278</v>
      </c>
      <c r="K39" s="279">
        <v>2213639</v>
      </c>
      <c r="L39" s="279">
        <v>550763</v>
      </c>
      <c r="M39" s="279">
        <v>251745</v>
      </c>
      <c r="N39" s="279">
        <v>57717</v>
      </c>
      <c r="O39" s="279">
        <v>19965</v>
      </c>
      <c r="P39" s="279">
        <v>5108</v>
      </c>
      <c r="Q39" s="279">
        <v>1778</v>
      </c>
      <c r="R39" s="279">
        <v>452</v>
      </c>
      <c r="S39" s="280">
        <v>150</v>
      </c>
      <c r="T39" s="278">
        <v>6593647</v>
      </c>
      <c r="U39" s="279">
        <v>5315008</v>
      </c>
      <c r="V39" s="279">
        <v>1989256</v>
      </c>
      <c r="W39" s="279">
        <v>1092202</v>
      </c>
      <c r="X39" s="279">
        <v>316090</v>
      </c>
      <c r="Y39" s="279">
        <v>127330</v>
      </c>
      <c r="Z39" s="279">
        <v>38188</v>
      </c>
      <c r="AA39" s="279">
        <v>14878</v>
      </c>
      <c r="AB39" s="279">
        <v>4270</v>
      </c>
      <c r="AC39" s="279">
        <v>1552</v>
      </c>
      <c r="AD39" s="278">
        <v>0</v>
      </c>
      <c r="AE39" s="279">
        <v>1278639</v>
      </c>
      <c r="AF39" s="279">
        <v>4604391</v>
      </c>
      <c r="AG39" s="279">
        <v>5501445</v>
      </c>
      <c r="AH39" s="279">
        <v>6277557</v>
      </c>
      <c r="AI39" s="279">
        <v>6466317</v>
      </c>
      <c r="AJ39" s="279">
        <v>6555459</v>
      </c>
      <c r="AK39" s="279">
        <v>6578769</v>
      </c>
      <c r="AL39" s="279">
        <v>6589377</v>
      </c>
      <c r="AM39" s="280">
        <v>6592095</v>
      </c>
    </row>
    <row r="40" spans="1:39" s="10" customFormat="1" ht="15.6">
      <c r="A40" s="6"/>
      <c r="B40" s="7"/>
      <c r="C40" s="7"/>
      <c r="D40" s="267">
        <v>31</v>
      </c>
      <c r="E40" s="281">
        <v>1585</v>
      </c>
      <c r="F40" s="282">
        <v>58444</v>
      </c>
      <c r="G40" s="281">
        <v>0</v>
      </c>
      <c r="H40" s="283">
        <v>0</v>
      </c>
      <c r="I40" s="283">
        <v>6603067</v>
      </c>
      <c r="J40" s="281">
        <v>3494373</v>
      </c>
      <c r="K40" s="283">
        <v>2215707</v>
      </c>
      <c r="L40" s="283">
        <v>552617</v>
      </c>
      <c r="M40" s="283">
        <v>253327</v>
      </c>
      <c r="N40" s="283">
        <v>58670</v>
      </c>
      <c r="O40" s="283">
        <v>20516</v>
      </c>
      <c r="P40" s="283">
        <v>5305</v>
      </c>
      <c r="Q40" s="283">
        <v>1858</v>
      </c>
      <c r="R40" s="283">
        <v>476</v>
      </c>
      <c r="S40" s="282">
        <v>161</v>
      </c>
      <c r="T40" s="281">
        <v>6603067</v>
      </c>
      <c r="U40" s="283">
        <v>5324401</v>
      </c>
      <c r="V40" s="283">
        <v>1998221</v>
      </c>
      <c r="W40" s="283">
        <v>1100351</v>
      </c>
      <c r="X40" s="283">
        <v>321723</v>
      </c>
      <c r="Y40" s="283">
        <v>130953</v>
      </c>
      <c r="Z40" s="283">
        <v>39687</v>
      </c>
      <c r="AA40" s="283">
        <v>15558</v>
      </c>
      <c r="AB40" s="283">
        <v>4502</v>
      </c>
      <c r="AC40" s="283">
        <v>1667</v>
      </c>
      <c r="AD40" s="284">
        <v>0</v>
      </c>
      <c r="AE40" s="285">
        <v>1278666</v>
      </c>
      <c r="AF40" s="285">
        <v>4604846</v>
      </c>
      <c r="AG40" s="285">
        <v>5502716</v>
      </c>
      <c r="AH40" s="285">
        <v>6281344</v>
      </c>
      <c r="AI40" s="285">
        <v>6472114</v>
      </c>
      <c r="AJ40" s="285">
        <v>6563380</v>
      </c>
      <c r="AK40" s="285">
        <v>6587509</v>
      </c>
      <c r="AL40" s="285">
        <v>6598565</v>
      </c>
      <c r="AM40" s="286">
        <v>6601400</v>
      </c>
    </row>
    <row r="41" spans="1:39" s="10" customFormat="1" ht="15.6">
      <c r="A41" s="6"/>
      <c r="B41" s="7"/>
      <c r="C41" s="7"/>
      <c r="D41" s="267">
        <v>32</v>
      </c>
      <c r="E41" s="281">
        <v>1335</v>
      </c>
      <c r="F41" s="282">
        <v>50694</v>
      </c>
      <c r="G41" s="281">
        <v>0</v>
      </c>
      <c r="H41" s="283">
        <v>0</v>
      </c>
      <c r="I41" s="283">
        <v>6610817</v>
      </c>
      <c r="J41" s="281">
        <v>3496054</v>
      </c>
      <c r="K41" s="283">
        <v>2217361</v>
      </c>
      <c r="L41" s="283">
        <v>554102</v>
      </c>
      <c r="M41" s="283">
        <v>254589</v>
      </c>
      <c r="N41" s="283">
        <v>59496</v>
      </c>
      <c r="O41" s="283">
        <v>21025</v>
      </c>
      <c r="P41" s="283">
        <v>5505</v>
      </c>
      <c r="Q41" s="283">
        <v>1951</v>
      </c>
      <c r="R41" s="283">
        <v>502</v>
      </c>
      <c r="S41" s="282">
        <v>171</v>
      </c>
      <c r="T41" s="281">
        <v>6610817</v>
      </c>
      <c r="U41" s="283">
        <v>5332124</v>
      </c>
      <c r="V41" s="283">
        <v>2005606</v>
      </c>
      <c r="W41" s="283">
        <v>1107067</v>
      </c>
      <c r="X41" s="283">
        <v>326695</v>
      </c>
      <c r="Y41" s="283">
        <v>134340</v>
      </c>
      <c r="Z41" s="283">
        <v>41220</v>
      </c>
      <c r="AA41" s="283">
        <v>16342</v>
      </c>
      <c r="AB41" s="283">
        <v>4750</v>
      </c>
      <c r="AC41" s="283">
        <v>1771</v>
      </c>
      <c r="AD41" s="281">
        <v>0</v>
      </c>
      <c r="AE41" s="283">
        <v>1278693</v>
      </c>
      <c r="AF41" s="283">
        <v>4605211</v>
      </c>
      <c r="AG41" s="283">
        <v>5503750</v>
      </c>
      <c r="AH41" s="283">
        <v>6284122</v>
      </c>
      <c r="AI41" s="283">
        <v>6476477</v>
      </c>
      <c r="AJ41" s="283">
        <v>6569597</v>
      </c>
      <c r="AK41" s="283">
        <v>6594475</v>
      </c>
      <c r="AL41" s="283">
        <v>6606067</v>
      </c>
      <c r="AM41" s="282">
        <v>6609046</v>
      </c>
    </row>
    <row r="42" spans="1:39" s="10" customFormat="1" ht="15.6">
      <c r="A42" s="6"/>
      <c r="B42" s="7"/>
      <c r="C42" s="7"/>
      <c r="D42" s="267">
        <v>33</v>
      </c>
      <c r="E42" s="281">
        <v>1097</v>
      </c>
      <c r="F42" s="282">
        <v>43078</v>
      </c>
      <c r="G42" s="281">
        <v>0</v>
      </c>
      <c r="H42" s="283">
        <v>0</v>
      </c>
      <c r="I42" s="283">
        <v>6618433</v>
      </c>
      <c r="J42" s="281">
        <v>3497651</v>
      </c>
      <c r="K42" s="283">
        <v>2218935</v>
      </c>
      <c r="L42" s="283">
        <v>555550</v>
      </c>
      <c r="M42" s="283">
        <v>255851</v>
      </c>
      <c r="N42" s="283">
        <v>60352</v>
      </c>
      <c r="O42" s="283">
        <v>21536</v>
      </c>
      <c r="P42" s="283">
        <v>5705</v>
      </c>
      <c r="Q42" s="283">
        <v>2058</v>
      </c>
      <c r="R42" s="283">
        <v>539</v>
      </c>
      <c r="S42" s="282">
        <v>188</v>
      </c>
      <c r="T42" s="281">
        <v>6618433</v>
      </c>
      <c r="U42" s="283">
        <v>5339717</v>
      </c>
      <c r="V42" s="283">
        <v>2012947</v>
      </c>
      <c r="W42" s="283">
        <v>1113850</v>
      </c>
      <c r="X42" s="283">
        <v>331854</v>
      </c>
      <c r="Y42" s="283">
        <v>137774</v>
      </c>
      <c r="Z42" s="283">
        <v>42788</v>
      </c>
      <c r="AA42" s="283">
        <v>17259</v>
      </c>
      <c r="AB42" s="283">
        <v>5107</v>
      </c>
      <c r="AC42" s="283">
        <v>1948</v>
      </c>
      <c r="AD42" s="281">
        <v>0</v>
      </c>
      <c r="AE42" s="283">
        <v>1278716</v>
      </c>
      <c r="AF42" s="283">
        <v>4605486</v>
      </c>
      <c r="AG42" s="283">
        <v>5504583</v>
      </c>
      <c r="AH42" s="283">
        <v>6286579</v>
      </c>
      <c r="AI42" s="283">
        <v>6480659</v>
      </c>
      <c r="AJ42" s="283">
        <v>6575645</v>
      </c>
      <c r="AK42" s="283">
        <v>6601174</v>
      </c>
      <c r="AL42" s="283">
        <v>6613326</v>
      </c>
      <c r="AM42" s="282">
        <v>6616485</v>
      </c>
    </row>
    <row r="43" spans="1:39" s="10" customFormat="1" ht="15.6">
      <c r="A43" s="6"/>
      <c r="B43" s="7"/>
      <c r="C43" s="7"/>
      <c r="D43" s="267">
        <v>34</v>
      </c>
      <c r="E43" s="281">
        <v>922</v>
      </c>
      <c r="F43" s="282">
        <v>37303</v>
      </c>
      <c r="G43" s="281">
        <v>0</v>
      </c>
      <c r="H43" s="283">
        <v>0</v>
      </c>
      <c r="I43" s="283">
        <v>6624208</v>
      </c>
      <c r="J43" s="281">
        <v>3498836</v>
      </c>
      <c r="K43" s="283">
        <v>2220098</v>
      </c>
      <c r="L43" s="283">
        <v>556615</v>
      </c>
      <c r="M43" s="283">
        <v>256804</v>
      </c>
      <c r="N43" s="283">
        <v>61034</v>
      </c>
      <c r="O43" s="283">
        <v>21947</v>
      </c>
      <c r="P43" s="283">
        <v>5886</v>
      </c>
      <c r="Q43" s="283">
        <v>2148</v>
      </c>
      <c r="R43" s="283">
        <v>562</v>
      </c>
      <c r="S43" s="282">
        <v>201</v>
      </c>
      <c r="T43" s="281">
        <v>6624208</v>
      </c>
      <c r="U43" s="283">
        <v>5345470</v>
      </c>
      <c r="V43" s="283">
        <v>2018504</v>
      </c>
      <c r="W43" s="283">
        <v>1119071</v>
      </c>
      <c r="X43" s="283">
        <v>335991</v>
      </c>
      <c r="Y43" s="283">
        <v>140556</v>
      </c>
      <c r="Z43" s="283">
        <v>44190</v>
      </c>
      <c r="AA43" s="283">
        <v>18024</v>
      </c>
      <c r="AB43" s="283">
        <v>5336</v>
      </c>
      <c r="AC43" s="283">
        <v>2087</v>
      </c>
      <c r="AD43" s="281">
        <v>0</v>
      </c>
      <c r="AE43" s="283">
        <v>1278738</v>
      </c>
      <c r="AF43" s="283">
        <v>4605704</v>
      </c>
      <c r="AG43" s="283">
        <v>5505137</v>
      </c>
      <c r="AH43" s="283">
        <v>6288217</v>
      </c>
      <c r="AI43" s="283">
        <v>6483652</v>
      </c>
      <c r="AJ43" s="283">
        <v>6580018</v>
      </c>
      <c r="AK43" s="283">
        <v>6606184</v>
      </c>
      <c r="AL43" s="283">
        <v>6618872</v>
      </c>
      <c r="AM43" s="282">
        <v>6622121</v>
      </c>
    </row>
    <row r="44" spans="1:39" s="10" customFormat="1" ht="15.6">
      <c r="A44" s="6"/>
      <c r="B44" s="7"/>
      <c r="C44" s="7"/>
      <c r="D44" s="267">
        <v>35</v>
      </c>
      <c r="E44" s="281">
        <v>795</v>
      </c>
      <c r="F44" s="282">
        <v>32985</v>
      </c>
      <c r="G44" s="281">
        <v>0</v>
      </c>
      <c r="H44" s="283">
        <v>0</v>
      </c>
      <c r="I44" s="283">
        <v>6628526</v>
      </c>
      <c r="J44" s="281">
        <v>3499682</v>
      </c>
      <c r="K44" s="283">
        <v>2220931</v>
      </c>
      <c r="L44" s="283">
        <v>557398</v>
      </c>
      <c r="M44" s="283">
        <v>257500</v>
      </c>
      <c r="N44" s="283">
        <v>61554</v>
      </c>
      <c r="O44" s="283">
        <v>22313</v>
      </c>
      <c r="P44" s="283">
        <v>6048</v>
      </c>
      <c r="Q44" s="283">
        <v>2220</v>
      </c>
      <c r="R44" s="283">
        <v>589</v>
      </c>
      <c r="S44" s="282">
        <v>211</v>
      </c>
      <c r="T44" s="281">
        <v>6628526</v>
      </c>
      <c r="U44" s="283">
        <v>5349775</v>
      </c>
      <c r="V44" s="283">
        <v>2022709</v>
      </c>
      <c r="W44" s="283">
        <v>1123015</v>
      </c>
      <c r="X44" s="283">
        <v>339231</v>
      </c>
      <c r="Y44" s="283">
        <v>143026</v>
      </c>
      <c r="Z44" s="283">
        <v>45436</v>
      </c>
      <c r="AA44" s="283">
        <v>18640</v>
      </c>
      <c r="AB44" s="283">
        <v>5592</v>
      </c>
      <c r="AC44" s="283">
        <v>2190</v>
      </c>
      <c r="AD44" s="281">
        <v>0</v>
      </c>
      <c r="AE44" s="283">
        <v>1278751</v>
      </c>
      <c r="AF44" s="283">
        <v>4605817</v>
      </c>
      <c r="AG44" s="283">
        <v>5505511</v>
      </c>
      <c r="AH44" s="283">
        <v>6289295</v>
      </c>
      <c r="AI44" s="283">
        <v>6485500</v>
      </c>
      <c r="AJ44" s="283">
        <v>6583090</v>
      </c>
      <c r="AK44" s="283">
        <v>6609886</v>
      </c>
      <c r="AL44" s="283">
        <v>6622934</v>
      </c>
      <c r="AM44" s="282">
        <v>6626336</v>
      </c>
    </row>
    <row r="45" spans="1:39" s="10" customFormat="1" ht="15.6">
      <c r="A45" s="6"/>
      <c r="B45" s="7"/>
      <c r="C45" s="7"/>
      <c r="D45" s="267">
        <v>36</v>
      </c>
      <c r="E45" s="281">
        <v>692</v>
      </c>
      <c r="F45" s="282">
        <v>29380</v>
      </c>
      <c r="G45" s="281">
        <v>0</v>
      </c>
      <c r="H45" s="283">
        <v>0</v>
      </c>
      <c r="I45" s="283">
        <v>6632131</v>
      </c>
      <c r="J45" s="281">
        <v>3500378</v>
      </c>
      <c r="K45" s="283">
        <v>2221619</v>
      </c>
      <c r="L45" s="283">
        <v>558030</v>
      </c>
      <c r="M45" s="283">
        <v>258065</v>
      </c>
      <c r="N45" s="283">
        <v>61990</v>
      </c>
      <c r="O45" s="283">
        <v>22626</v>
      </c>
      <c r="P45" s="283">
        <v>6195</v>
      </c>
      <c r="Q45" s="283">
        <v>2305</v>
      </c>
      <c r="R45" s="283">
        <v>617</v>
      </c>
      <c r="S45" s="282">
        <v>222</v>
      </c>
      <c r="T45" s="281">
        <v>6632131</v>
      </c>
      <c r="U45" s="283">
        <v>5353372</v>
      </c>
      <c r="V45" s="283">
        <v>2026194</v>
      </c>
      <c r="W45" s="283">
        <v>1126299</v>
      </c>
      <c r="X45" s="283">
        <v>341999</v>
      </c>
      <c r="Y45" s="283">
        <v>145179</v>
      </c>
      <c r="Z45" s="283">
        <v>46593</v>
      </c>
      <c r="AA45" s="283">
        <v>19363</v>
      </c>
      <c r="AB45" s="283">
        <v>5859</v>
      </c>
      <c r="AC45" s="283">
        <v>2304</v>
      </c>
      <c r="AD45" s="281">
        <v>0</v>
      </c>
      <c r="AE45" s="283">
        <v>1278759</v>
      </c>
      <c r="AF45" s="283">
        <v>4605937</v>
      </c>
      <c r="AG45" s="283">
        <v>5505832</v>
      </c>
      <c r="AH45" s="283">
        <v>6290132</v>
      </c>
      <c r="AI45" s="283">
        <v>6486952</v>
      </c>
      <c r="AJ45" s="283">
        <v>6585538</v>
      </c>
      <c r="AK45" s="283">
        <v>6612768</v>
      </c>
      <c r="AL45" s="283">
        <v>6626272</v>
      </c>
      <c r="AM45" s="282">
        <v>6629827</v>
      </c>
    </row>
    <row r="46" spans="1:39" s="10" customFormat="1" ht="15.6">
      <c r="A46" s="6"/>
      <c r="B46" s="7"/>
      <c r="C46" s="7"/>
      <c r="D46" s="267">
        <v>37</v>
      </c>
      <c r="E46" s="281">
        <v>598</v>
      </c>
      <c r="F46" s="282">
        <v>25996</v>
      </c>
      <c r="G46" s="281">
        <v>0</v>
      </c>
      <c r="H46" s="283">
        <v>0</v>
      </c>
      <c r="I46" s="283">
        <v>6635515</v>
      </c>
      <c r="J46" s="281">
        <v>3501009</v>
      </c>
      <c r="K46" s="283">
        <v>2222243</v>
      </c>
      <c r="L46" s="283">
        <v>558623</v>
      </c>
      <c r="M46" s="283">
        <v>258606</v>
      </c>
      <c r="N46" s="283">
        <v>62419</v>
      </c>
      <c r="O46" s="283">
        <v>22950</v>
      </c>
      <c r="P46" s="283">
        <v>6324</v>
      </c>
      <c r="Q46" s="283">
        <v>2368</v>
      </c>
      <c r="R46" s="283">
        <v>646</v>
      </c>
      <c r="S46" s="282">
        <v>234</v>
      </c>
      <c r="T46" s="281">
        <v>6635515</v>
      </c>
      <c r="U46" s="283">
        <v>5356749</v>
      </c>
      <c r="V46" s="283">
        <v>2029509</v>
      </c>
      <c r="W46" s="283">
        <v>1129458</v>
      </c>
      <c r="X46" s="283">
        <v>344710</v>
      </c>
      <c r="Y46" s="283">
        <v>147365</v>
      </c>
      <c r="Z46" s="283">
        <v>47609</v>
      </c>
      <c r="AA46" s="283">
        <v>19917</v>
      </c>
      <c r="AB46" s="283">
        <v>6141</v>
      </c>
      <c r="AC46" s="283">
        <v>2433</v>
      </c>
      <c r="AD46" s="281">
        <v>0</v>
      </c>
      <c r="AE46" s="283">
        <v>1278766</v>
      </c>
      <c r="AF46" s="283">
        <v>4606006</v>
      </c>
      <c r="AG46" s="283">
        <v>5506057</v>
      </c>
      <c r="AH46" s="283">
        <v>6290805</v>
      </c>
      <c r="AI46" s="283">
        <v>6488150</v>
      </c>
      <c r="AJ46" s="283">
        <v>6587906</v>
      </c>
      <c r="AK46" s="283">
        <v>6615598</v>
      </c>
      <c r="AL46" s="283">
        <v>6629374</v>
      </c>
      <c r="AM46" s="282">
        <v>6633082</v>
      </c>
    </row>
    <row r="47" spans="1:39" s="10" customFormat="1" ht="15.6">
      <c r="A47" s="6"/>
      <c r="B47" s="7"/>
      <c r="C47" s="7"/>
      <c r="D47" s="267">
        <v>38</v>
      </c>
      <c r="E47" s="281">
        <v>522</v>
      </c>
      <c r="F47" s="282">
        <v>23184</v>
      </c>
      <c r="G47" s="281">
        <v>0</v>
      </c>
      <c r="H47" s="283">
        <v>0</v>
      </c>
      <c r="I47" s="283">
        <v>6638327</v>
      </c>
      <c r="J47" s="281">
        <v>3501521</v>
      </c>
      <c r="K47" s="283">
        <v>2222750</v>
      </c>
      <c r="L47" s="283">
        <v>559099</v>
      </c>
      <c r="M47" s="283">
        <v>259048</v>
      </c>
      <c r="N47" s="283">
        <v>62769</v>
      </c>
      <c r="O47" s="283">
        <v>23211</v>
      </c>
      <c r="P47" s="283">
        <v>6452</v>
      </c>
      <c r="Q47" s="283">
        <v>2441</v>
      </c>
      <c r="R47" s="283">
        <v>684</v>
      </c>
      <c r="S47" s="282">
        <v>250</v>
      </c>
      <c r="T47" s="281">
        <v>6638327</v>
      </c>
      <c r="U47" s="283">
        <v>5359556</v>
      </c>
      <c r="V47" s="283">
        <v>2032254</v>
      </c>
      <c r="W47" s="283">
        <v>1132101</v>
      </c>
      <c r="X47" s="283">
        <v>346985</v>
      </c>
      <c r="Y47" s="283">
        <v>149195</v>
      </c>
      <c r="Z47" s="283">
        <v>48641</v>
      </c>
      <c r="AA47" s="283">
        <v>20564</v>
      </c>
      <c r="AB47" s="283">
        <v>6508</v>
      </c>
      <c r="AC47" s="283">
        <v>2602</v>
      </c>
      <c r="AD47" s="281">
        <v>0</v>
      </c>
      <c r="AE47" s="283">
        <v>1278771</v>
      </c>
      <c r="AF47" s="283">
        <v>4606073</v>
      </c>
      <c r="AG47" s="283">
        <v>5506226</v>
      </c>
      <c r="AH47" s="283">
        <v>6291342</v>
      </c>
      <c r="AI47" s="283">
        <v>6489132</v>
      </c>
      <c r="AJ47" s="283">
        <v>6589686</v>
      </c>
      <c r="AK47" s="283">
        <v>6617763</v>
      </c>
      <c r="AL47" s="283">
        <v>6631819</v>
      </c>
      <c r="AM47" s="282">
        <v>6635725</v>
      </c>
    </row>
    <row r="48" spans="1:39" s="10" customFormat="1" ht="15.6">
      <c r="A48" s="6"/>
      <c r="B48" s="7"/>
      <c r="C48" s="7"/>
      <c r="D48" s="267">
        <v>39</v>
      </c>
      <c r="E48" s="281">
        <v>440</v>
      </c>
      <c r="F48" s="282">
        <v>20068</v>
      </c>
      <c r="G48" s="281">
        <v>0</v>
      </c>
      <c r="H48" s="283">
        <v>0</v>
      </c>
      <c r="I48" s="283">
        <v>6641443</v>
      </c>
      <c r="J48" s="281">
        <v>3502065</v>
      </c>
      <c r="K48" s="283">
        <v>2223287</v>
      </c>
      <c r="L48" s="283">
        <v>559611</v>
      </c>
      <c r="M48" s="283">
        <v>259543</v>
      </c>
      <c r="N48" s="283">
        <v>63178</v>
      </c>
      <c r="O48" s="283">
        <v>23529</v>
      </c>
      <c r="P48" s="283">
        <v>6619</v>
      </c>
      <c r="Q48" s="283">
        <v>2529</v>
      </c>
      <c r="R48" s="283">
        <v>714</v>
      </c>
      <c r="S48" s="282">
        <v>261</v>
      </c>
      <c r="T48" s="281">
        <v>6641443</v>
      </c>
      <c r="U48" s="283">
        <v>5362665</v>
      </c>
      <c r="V48" s="283">
        <v>2035313</v>
      </c>
      <c r="W48" s="283">
        <v>1135109</v>
      </c>
      <c r="X48" s="283">
        <v>349649</v>
      </c>
      <c r="Y48" s="283">
        <v>151404</v>
      </c>
      <c r="Z48" s="283">
        <v>49944</v>
      </c>
      <c r="AA48" s="283">
        <v>21314</v>
      </c>
      <c r="AB48" s="283">
        <v>6794</v>
      </c>
      <c r="AC48" s="283">
        <v>2717</v>
      </c>
      <c r="AD48" s="281">
        <v>0</v>
      </c>
      <c r="AE48" s="283">
        <v>1278778</v>
      </c>
      <c r="AF48" s="283">
        <v>4606130</v>
      </c>
      <c r="AG48" s="283">
        <v>5506334</v>
      </c>
      <c r="AH48" s="283">
        <v>6291794</v>
      </c>
      <c r="AI48" s="283">
        <v>6490039</v>
      </c>
      <c r="AJ48" s="283">
        <v>6591499</v>
      </c>
      <c r="AK48" s="283">
        <v>6620129</v>
      </c>
      <c r="AL48" s="283">
        <v>6634649</v>
      </c>
      <c r="AM48" s="282">
        <v>6638726</v>
      </c>
    </row>
    <row r="49" spans="1:39" s="10" customFormat="1" ht="15.6">
      <c r="A49" s="6"/>
      <c r="B49" s="7"/>
      <c r="C49" s="7"/>
      <c r="D49" s="274">
        <v>40</v>
      </c>
      <c r="E49" s="278">
        <v>375</v>
      </c>
      <c r="F49" s="280">
        <v>17533</v>
      </c>
      <c r="G49" s="278">
        <v>0</v>
      </c>
      <c r="H49" s="279">
        <v>0</v>
      </c>
      <c r="I49" s="279">
        <v>6643978</v>
      </c>
      <c r="J49" s="278">
        <v>3502508</v>
      </c>
      <c r="K49" s="279">
        <v>2223724</v>
      </c>
      <c r="L49" s="279">
        <v>560025</v>
      </c>
      <c r="M49" s="279">
        <v>259932</v>
      </c>
      <c r="N49" s="279">
        <v>63498</v>
      </c>
      <c r="O49" s="279">
        <v>23773</v>
      </c>
      <c r="P49" s="279">
        <v>6763</v>
      </c>
      <c r="Q49" s="279">
        <v>2609</v>
      </c>
      <c r="R49" s="279">
        <v>748</v>
      </c>
      <c r="S49" s="280">
        <v>274</v>
      </c>
      <c r="T49" s="278">
        <v>6643978</v>
      </c>
      <c r="U49" s="279">
        <v>5365194</v>
      </c>
      <c r="V49" s="279">
        <v>2037796</v>
      </c>
      <c r="W49" s="279">
        <v>1137517</v>
      </c>
      <c r="X49" s="279">
        <v>351781</v>
      </c>
      <c r="Y49" s="279">
        <v>153156</v>
      </c>
      <c r="Z49" s="279">
        <v>51096</v>
      </c>
      <c r="AA49" s="279">
        <v>22018</v>
      </c>
      <c r="AB49" s="279">
        <v>7130</v>
      </c>
      <c r="AC49" s="279">
        <v>2864</v>
      </c>
      <c r="AD49" s="278">
        <v>0</v>
      </c>
      <c r="AE49" s="279">
        <v>1278784</v>
      </c>
      <c r="AF49" s="279">
        <v>4606182</v>
      </c>
      <c r="AG49" s="279">
        <v>5506461</v>
      </c>
      <c r="AH49" s="279">
        <v>6292197</v>
      </c>
      <c r="AI49" s="279">
        <v>6490822</v>
      </c>
      <c r="AJ49" s="279">
        <v>6592882</v>
      </c>
      <c r="AK49" s="279">
        <v>6621960</v>
      </c>
      <c r="AL49" s="279">
        <v>6636848</v>
      </c>
      <c r="AM49" s="280">
        <v>6641114</v>
      </c>
    </row>
    <row r="50" spans="1:39" s="10" customFormat="1" ht="15.6">
      <c r="A50" s="6"/>
      <c r="B50" s="7"/>
      <c r="C50" s="7"/>
      <c r="D50" s="274" t="s">
        <v>303</v>
      </c>
      <c r="E50" s="278">
        <v>332</v>
      </c>
      <c r="F50" s="280">
        <v>15813</v>
      </c>
      <c r="G50" s="278">
        <v>0</v>
      </c>
      <c r="H50" s="279">
        <v>0</v>
      </c>
      <c r="I50" s="279">
        <v>6645698</v>
      </c>
      <c r="J50" s="278">
        <v>3502800</v>
      </c>
      <c r="K50" s="279">
        <v>2224016</v>
      </c>
      <c r="L50" s="279">
        <v>560307</v>
      </c>
      <c r="M50" s="279">
        <v>260196</v>
      </c>
      <c r="N50" s="279">
        <v>63720</v>
      </c>
      <c r="O50" s="279">
        <v>23947</v>
      </c>
      <c r="P50" s="279">
        <v>6865</v>
      </c>
      <c r="Q50" s="279">
        <v>2664</v>
      </c>
      <c r="R50" s="279">
        <v>772</v>
      </c>
      <c r="S50" s="280">
        <v>283</v>
      </c>
      <c r="T50" s="278">
        <v>6645698</v>
      </c>
      <c r="U50" s="279">
        <v>5366914</v>
      </c>
      <c r="V50" s="279">
        <v>2039496</v>
      </c>
      <c r="W50" s="279">
        <v>1139163</v>
      </c>
      <c r="X50" s="279">
        <v>353259</v>
      </c>
      <c r="Y50" s="279">
        <v>154394</v>
      </c>
      <c r="Z50" s="279">
        <v>51902</v>
      </c>
      <c r="AA50" s="279">
        <v>22495</v>
      </c>
      <c r="AB50" s="279">
        <v>7359</v>
      </c>
      <c r="AC50" s="279">
        <v>2958</v>
      </c>
      <c r="AD50" s="275">
        <v>0</v>
      </c>
      <c r="AE50" s="277">
        <v>1278784</v>
      </c>
      <c r="AF50" s="277">
        <v>4606202</v>
      </c>
      <c r="AG50" s="277">
        <v>5506535</v>
      </c>
      <c r="AH50" s="277">
        <v>6292439</v>
      </c>
      <c r="AI50" s="277">
        <v>6491304</v>
      </c>
      <c r="AJ50" s="277">
        <v>6593796</v>
      </c>
      <c r="AK50" s="277">
        <v>6623203</v>
      </c>
      <c r="AL50" s="277">
        <v>6638339</v>
      </c>
      <c r="AM50" s="276">
        <v>6642740</v>
      </c>
    </row>
    <row r="51" spans="1:39" s="10" customFormat="1" ht="15.6">
      <c r="A51" s="6"/>
      <c r="B51" s="7"/>
      <c r="C51" s="7"/>
      <c r="D51" s="8"/>
      <c r="E51" s="9"/>
    </row>
    <row r="52" spans="1:39" s="10" customFormat="1" ht="15.6">
      <c r="A52" s="49"/>
      <c r="B52" s="49"/>
      <c r="C52" s="49"/>
      <c r="D52" s="46" t="s">
        <v>211</v>
      </c>
      <c r="E52" s="45"/>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row>
    <row r="53" spans="1:39" s="10" customFormat="1" ht="15.6">
      <c r="A53" s="6"/>
      <c r="B53" s="7"/>
      <c r="C53" s="7"/>
      <c r="D53" s="8"/>
      <c r="E53" s="9"/>
    </row>
    <row r="54" spans="1:39" s="10" customFormat="1" ht="14.45" customHeight="1">
      <c r="A54" s="6"/>
      <c r="B54" s="7"/>
      <c r="C54" s="7"/>
      <c r="D54" s="352" t="s">
        <v>294</v>
      </c>
      <c r="E54" s="353" t="s">
        <v>295</v>
      </c>
      <c r="F54" s="353"/>
      <c r="G54" s="353" t="s">
        <v>296</v>
      </c>
      <c r="H54" s="353"/>
      <c r="I54" s="353"/>
      <c r="J54" s="354" t="s">
        <v>297</v>
      </c>
      <c r="K54" s="355"/>
      <c r="L54" s="355"/>
      <c r="M54" s="355"/>
      <c r="N54" s="355"/>
      <c r="O54" s="355"/>
      <c r="P54" s="355"/>
      <c r="Q54" s="355"/>
      <c r="R54" s="355"/>
      <c r="S54" s="355"/>
      <c r="T54" s="355"/>
      <c r="U54" s="355"/>
      <c r="V54" s="355"/>
      <c r="W54" s="355"/>
      <c r="X54" s="355"/>
      <c r="Y54" s="355"/>
      <c r="Z54" s="355"/>
      <c r="AA54" s="355"/>
      <c r="AB54" s="355"/>
      <c r="AC54" s="355"/>
      <c r="AD54" s="355"/>
      <c r="AE54" s="355"/>
      <c r="AF54" s="355"/>
      <c r="AG54" s="355"/>
      <c r="AH54" s="355"/>
      <c r="AI54" s="355"/>
      <c r="AJ54" s="355"/>
      <c r="AK54" s="355"/>
      <c r="AL54" s="355"/>
      <c r="AM54" s="355"/>
    </row>
    <row r="55" spans="1:39" s="10" customFormat="1" ht="15.6">
      <c r="A55" s="6"/>
      <c r="B55" s="7"/>
      <c r="C55" s="7"/>
      <c r="D55" s="352"/>
      <c r="E55" s="353"/>
      <c r="F55" s="353"/>
      <c r="G55" s="353"/>
      <c r="H55" s="353"/>
      <c r="I55" s="353"/>
      <c r="J55" s="356" t="s">
        <v>298</v>
      </c>
      <c r="K55" s="357"/>
      <c r="L55" s="357"/>
      <c r="M55" s="357"/>
      <c r="N55" s="357"/>
      <c r="O55" s="357"/>
      <c r="P55" s="357"/>
      <c r="Q55" s="357"/>
      <c r="R55" s="357"/>
      <c r="S55" s="358"/>
      <c r="T55" s="356" t="s">
        <v>299</v>
      </c>
      <c r="U55" s="357"/>
      <c r="V55" s="357"/>
      <c r="W55" s="357"/>
      <c r="X55" s="357"/>
      <c r="Y55" s="357"/>
      <c r="Z55" s="357"/>
      <c r="AA55" s="357"/>
      <c r="AB55" s="357"/>
      <c r="AC55" s="358"/>
      <c r="AD55" s="356" t="s">
        <v>300</v>
      </c>
      <c r="AE55" s="357"/>
      <c r="AF55" s="357"/>
      <c r="AG55" s="357"/>
      <c r="AH55" s="357"/>
      <c r="AI55" s="357"/>
      <c r="AJ55" s="357"/>
      <c r="AK55" s="357"/>
      <c r="AL55" s="357"/>
      <c r="AM55" s="358"/>
    </row>
    <row r="56" spans="1:39" s="10" customFormat="1" ht="15.6">
      <c r="A56" s="6"/>
      <c r="B56" s="7"/>
      <c r="C56" s="7"/>
      <c r="D56" s="352"/>
      <c r="E56" s="254" t="s">
        <v>295</v>
      </c>
      <c r="F56" s="254" t="s">
        <v>301</v>
      </c>
      <c r="G56" s="254" t="s">
        <v>298</v>
      </c>
      <c r="H56" s="255" t="s">
        <v>299</v>
      </c>
      <c r="I56" s="256" t="s">
        <v>302</v>
      </c>
      <c r="J56" s="257">
        <v>1</v>
      </c>
      <c r="K56" s="258">
        <v>2</v>
      </c>
      <c r="L56" s="258">
        <v>3</v>
      </c>
      <c r="M56" s="258">
        <v>4</v>
      </c>
      <c r="N56" s="258">
        <v>5</v>
      </c>
      <c r="O56" s="258">
        <v>6</v>
      </c>
      <c r="P56" s="258">
        <v>7</v>
      </c>
      <c r="Q56" s="258">
        <v>8</v>
      </c>
      <c r="R56" s="258">
        <v>9</v>
      </c>
      <c r="S56" s="259">
        <v>10</v>
      </c>
      <c r="T56" s="257">
        <v>1</v>
      </c>
      <c r="U56" s="258">
        <v>2</v>
      </c>
      <c r="V56" s="258">
        <v>3</v>
      </c>
      <c r="W56" s="258">
        <v>4</v>
      </c>
      <c r="X56" s="258">
        <v>5</v>
      </c>
      <c r="Y56" s="258">
        <v>6</v>
      </c>
      <c r="Z56" s="258">
        <v>7</v>
      </c>
      <c r="AA56" s="258">
        <v>8</v>
      </c>
      <c r="AB56" s="258">
        <v>9</v>
      </c>
      <c r="AC56" s="258">
        <v>10</v>
      </c>
      <c r="AD56" s="257">
        <v>1</v>
      </c>
      <c r="AE56" s="258">
        <v>2</v>
      </c>
      <c r="AF56" s="258">
        <v>3</v>
      </c>
      <c r="AG56" s="258">
        <v>4</v>
      </c>
      <c r="AH56" s="258">
        <v>5</v>
      </c>
      <c r="AI56" s="258">
        <v>6</v>
      </c>
      <c r="AJ56" s="258">
        <v>7</v>
      </c>
      <c r="AK56" s="258">
        <v>8</v>
      </c>
      <c r="AL56" s="258">
        <v>9</v>
      </c>
      <c r="AM56" s="259">
        <v>10</v>
      </c>
    </row>
    <row r="57" spans="1:39" s="10" customFormat="1" ht="15.6">
      <c r="A57" s="6"/>
      <c r="B57" s="7"/>
      <c r="C57" s="7"/>
      <c r="D57" s="260">
        <v>0</v>
      </c>
      <c r="E57" s="275">
        <v>0</v>
      </c>
      <c r="F57" s="276">
        <v>0</v>
      </c>
      <c r="G57" s="275">
        <v>0</v>
      </c>
      <c r="H57" s="277">
        <v>0</v>
      </c>
      <c r="I57" s="277">
        <v>4453481</v>
      </c>
      <c r="J57" s="278">
        <v>1837200</v>
      </c>
      <c r="K57" s="279">
        <v>1471051</v>
      </c>
      <c r="L57" s="279">
        <v>546455</v>
      </c>
      <c r="M57" s="279">
        <v>353888</v>
      </c>
      <c r="N57" s="279">
        <v>120329</v>
      </c>
      <c r="O57" s="279">
        <v>63546</v>
      </c>
      <c r="P57" s="279">
        <v>28093</v>
      </c>
      <c r="Q57" s="279">
        <v>15488</v>
      </c>
      <c r="R57" s="279">
        <v>7439</v>
      </c>
      <c r="S57" s="280">
        <v>4179</v>
      </c>
      <c r="T57" s="278">
        <v>4453481</v>
      </c>
      <c r="U57" s="279">
        <v>4087332</v>
      </c>
      <c r="V57" s="279">
        <v>2238140</v>
      </c>
      <c r="W57" s="279">
        <v>1660439</v>
      </c>
      <c r="X57" s="279">
        <v>726203</v>
      </c>
      <c r="Y57" s="279">
        <v>442288</v>
      </c>
      <c r="Z57" s="279">
        <v>229570</v>
      </c>
      <c r="AA57" s="279">
        <v>141335</v>
      </c>
      <c r="AB57" s="279">
        <v>76943</v>
      </c>
      <c r="AC57" s="279">
        <v>47603</v>
      </c>
      <c r="AD57" s="278">
        <v>0</v>
      </c>
      <c r="AE57" s="279">
        <v>366149</v>
      </c>
      <c r="AF57" s="279">
        <v>2215341</v>
      </c>
      <c r="AG57" s="279">
        <v>2793042</v>
      </c>
      <c r="AH57" s="279">
        <v>3727278</v>
      </c>
      <c r="AI57" s="279">
        <v>4011193</v>
      </c>
      <c r="AJ57" s="279">
        <v>4223911</v>
      </c>
      <c r="AK57" s="279">
        <v>4312146</v>
      </c>
      <c r="AL57" s="279">
        <v>4376538</v>
      </c>
      <c r="AM57" s="280">
        <v>4405878</v>
      </c>
    </row>
    <row r="58" spans="1:39" s="10" customFormat="1" ht="15.6">
      <c r="A58" s="6"/>
      <c r="B58" s="7"/>
      <c r="C58" s="7"/>
      <c r="D58" s="267">
        <v>1</v>
      </c>
      <c r="E58" s="281">
        <v>706763</v>
      </c>
      <c r="F58" s="282">
        <v>4453481</v>
      </c>
      <c r="G58" s="281">
        <v>0</v>
      </c>
      <c r="H58" s="283">
        <v>0</v>
      </c>
      <c r="I58" s="283">
        <v>0</v>
      </c>
      <c r="J58" s="281">
        <v>0</v>
      </c>
      <c r="K58" s="283">
        <v>0</v>
      </c>
      <c r="L58" s="283">
        <v>0</v>
      </c>
      <c r="M58" s="283">
        <v>0</v>
      </c>
      <c r="N58" s="283">
        <v>0</v>
      </c>
      <c r="O58" s="283">
        <v>0</v>
      </c>
      <c r="P58" s="283">
        <v>0</v>
      </c>
      <c r="Q58" s="283">
        <v>0</v>
      </c>
      <c r="R58" s="283">
        <v>0</v>
      </c>
      <c r="S58" s="282">
        <v>0</v>
      </c>
      <c r="T58" s="281">
        <v>0</v>
      </c>
      <c r="U58" s="283">
        <v>0</v>
      </c>
      <c r="V58" s="283">
        <v>0</v>
      </c>
      <c r="W58" s="283">
        <v>0</v>
      </c>
      <c r="X58" s="283">
        <v>0</v>
      </c>
      <c r="Y58" s="283">
        <v>0</v>
      </c>
      <c r="Z58" s="283">
        <v>0</v>
      </c>
      <c r="AA58" s="283">
        <v>0</v>
      </c>
      <c r="AB58" s="283">
        <v>0</v>
      </c>
      <c r="AC58" s="283">
        <v>0</v>
      </c>
      <c r="AD58" s="284">
        <v>0</v>
      </c>
      <c r="AE58" s="285">
        <v>0</v>
      </c>
      <c r="AF58" s="285">
        <v>0</v>
      </c>
      <c r="AG58" s="285">
        <v>0</v>
      </c>
      <c r="AH58" s="285">
        <v>0</v>
      </c>
      <c r="AI58" s="285">
        <v>0</v>
      </c>
      <c r="AJ58" s="285">
        <v>0</v>
      </c>
      <c r="AK58" s="285">
        <v>0</v>
      </c>
      <c r="AL58" s="285">
        <v>0</v>
      </c>
      <c r="AM58" s="286">
        <v>0</v>
      </c>
    </row>
    <row r="59" spans="1:39" s="10" customFormat="1" ht="15.6">
      <c r="A59" s="6"/>
      <c r="B59" s="7"/>
      <c r="C59" s="7"/>
      <c r="D59" s="267">
        <v>2</v>
      </c>
      <c r="E59" s="281">
        <v>634190</v>
      </c>
      <c r="F59" s="282">
        <v>4380908</v>
      </c>
      <c r="G59" s="281">
        <v>0</v>
      </c>
      <c r="H59" s="283">
        <v>0</v>
      </c>
      <c r="I59" s="283">
        <v>72573</v>
      </c>
      <c r="J59" s="281">
        <v>72573</v>
      </c>
      <c r="K59" s="283">
        <v>0</v>
      </c>
      <c r="L59" s="283">
        <v>0</v>
      </c>
      <c r="M59" s="283">
        <v>0</v>
      </c>
      <c r="N59" s="283">
        <v>0</v>
      </c>
      <c r="O59" s="283">
        <v>0</v>
      </c>
      <c r="P59" s="283">
        <v>0</v>
      </c>
      <c r="Q59" s="283">
        <v>0</v>
      </c>
      <c r="R59" s="283">
        <v>0</v>
      </c>
      <c r="S59" s="282">
        <v>0</v>
      </c>
      <c r="T59" s="281">
        <v>72573</v>
      </c>
      <c r="U59" s="283">
        <v>0</v>
      </c>
      <c r="V59" s="283">
        <v>0</v>
      </c>
      <c r="W59" s="283">
        <v>0</v>
      </c>
      <c r="X59" s="283">
        <v>0</v>
      </c>
      <c r="Y59" s="283">
        <v>0</v>
      </c>
      <c r="Z59" s="283">
        <v>0</v>
      </c>
      <c r="AA59" s="283">
        <v>0</v>
      </c>
      <c r="AB59" s="283">
        <v>0</v>
      </c>
      <c r="AC59" s="283">
        <v>0</v>
      </c>
      <c r="AD59" s="281">
        <v>0</v>
      </c>
      <c r="AE59" s="283">
        <v>72573</v>
      </c>
      <c r="AF59" s="283">
        <v>72573</v>
      </c>
      <c r="AG59" s="283">
        <v>72573</v>
      </c>
      <c r="AH59" s="283">
        <v>72573</v>
      </c>
      <c r="AI59" s="283">
        <v>72573</v>
      </c>
      <c r="AJ59" s="283">
        <v>72573</v>
      </c>
      <c r="AK59" s="283">
        <v>72573</v>
      </c>
      <c r="AL59" s="283">
        <v>72573</v>
      </c>
      <c r="AM59" s="282">
        <v>72573</v>
      </c>
    </row>
    <row r="60" spans="1:39" s="10" customFormat="1" ht="15.6">
      <c r="A60" s="6"/>
      <c r="B60" s="7"/>
      <c r="C60" s="7"/>
      <c r="D60" s="267">
        <v>3</v>
      </c>
      <c r="E60" s="281">
        <v>464459</v>
      </c>
      <c r="F60" s="282">
        <v>4041446</v>
      </c>
      <c r="G60" s="281">
        <v>0</v>
      </c>
      <c r="H60" s="283">
        <v>0</v>
      </c>
      <c r="I60" s="283">
        <v>412035</v>
      </c>
      <c r="J60" s="281">
        <v>257279</v>
      </c>
      <c r="K60" s="283">
        <v>154756</v>
      </c>
      <c r="L60" s="283">
        <v>0</v>
      </c>
      <c r="M60" s="283">
        <v>0</v>
      </c>
      <c r="N60" s="283">
        <v>0</v>
      </c>
      <c r="O60" s="283">
        <v>0</v>
      </c>
      <c r="P60" s="283">
        <v>0</v>
      </c>
      <c r="Q60" s="283">
        <v>0</v>
      </c>
      <c r="R60" s="283">
        <v>0</v>
      </c>
      <c r="S60" s="282">
        <v>0</v>
      </c>
      <c r="T60" s="281">
        <v>412035</v>
      </c>
      <c r="U60" s="283">
        <v>309512</v>
      </c>
      <c r="V60" s="283">
        <v>0</v>
      </c>
      <c r="W60" s="283">
        <v>0</v>
      </c>
      <c r="X60" s="283">
        <v>0</v>
      </c>
      <c r="Y60" s="283">
        <v>0</v>
      </c>
      <c r="Z60" s="283">
        <v>0</v>
      </c>
      <c r="AA60" s="283">
        <v>0</v>
      </c>
      <c r="AB60" s="283">
        <v>0</v>
      </c>
      <c r="AC60" s="283">
        <v>0</v>
      </c>
      <c r="AD60" s="281">
        <v>0</v>
      </c>
      <c r="AE60" s="283">
        <v>102523</v>
      </c>
      <c r="AF60" s="283">
        <v>412035</v>
      </c>
      <c r="AG60" s="283">
        <v>412035</v>
      </c>
      <c r="AH60" s="283">
        <v>412035</v>
      </c>
      <c r="AI60" s="283">
        <v>412035</v>
      </c>
      <c r="AJ60" s="283">
        <v>412035</v>
      </c>
      <c r="AK60" s="283">
        <v>412035</v>
      </c>
      <c r="AL60" s="283">
        <v>412035</v>
      </c>
      <c r="AM60" s="282">
        <v>412035</v>
      </c>
    </row>
    <row r="61" spans="1:39" s="10" customFormat="1" ht="15.6">
      <c r="A61" s="6"/>
      <c r="B61" s="7"/>
      <c r="C61" s="7"/>
      <c r="D61" s="267">
        <v>4</v>
      </c>
      <c r="E61" s="281">
        <v>410780</v>
      </c>
      <c r="F61" s="282">
        <v>3880409</v>
      </c>
      <c r="G61" s="281">
        <v>0</v>
      </c>
      <c r="H61" s="283">
        <v>0</v>
      </c>
      <c r="I61" s="283">
        <v>573072</v>
      </c>
      <c r="J61" s="281">
        <v>352593</v>
      </c>
      <c r="K61" s="283">
        <v>203891</v>
      </c>
      <c r="L61" s="283">
        <v>16588</v>
      </c>
      <c r="M61" s="283">
        <v>0</v>
      </c>
      <c r="N61" s="283">
        <v>0</v>
      </c>
      <c r="O61" s="283">
        <v>0</v>
      </c>
      <c r="P61" s="283">
        <v>0</v>
      </c>
      <c r="Q61" s="283">
        <v>0</v>
      </c>
      <c r="R61" s="283">
        <v>0</v>
      </c>
      <c r="S61" s="282">
        <v>0</v>
      </c>
      <c r="T61" s="281">
        <v>573072</v>
      </c>
      <c r="U61" s="283">
        <v>424370</v>
      </c>
      <c r="V61" s="283">
        <v>49764</v>
      </c>
      <c r="W61" s="283">
        <v>0</v>
      </c>
      <c r="X61" s="283">
        <v>0</v>
      </c>
      <c r="Y61" s="283">
        <v>0</v>
      </c>
      <c r="Z61" s="283">
        <v>0</v>
      </c>
      <c r="AA61" s="283">
        <v>0</v>
      </c>
      <c r="AB61" s="283">
        <v>0</v>
      </c>
      <c r="AC61" s="283">
        <v>0</v>
      </c>
      <c r="AD61" s="281">
        <v>0</v>
      </c>
      <c r="AE61" s="283">
        <v>148702</v>
      </c>
      <c r="AF61" s="283">
        <v>523308</v>
      </c>
      <c r="AG61" s="283">
        <v>573072</v>
      </c>
      <c r="AH61" s="283">
        <v>573072</v>
      </c>
      <c r="AI61" s="283">
        <v>573072</v>
      </c>
      <c r="AJ61" s="283">
        <v>573072</v>
      </c>
      <c r="AK61" s="283">
        <v>573072</v>
      </c>
      <c r="AL61" s="283">
        <v>573072</v>
      </c>
      <c r="AM61" s="282">
        <v>573072</v>
      </c>
    </row>
    <row r="62" spans="1:39" s="10" customFormat="1" ht="15.6">
      <c r="A62" s="6"/>
      <c r="B62" s="7"/>
      <c r="C62" s="7"/>
      <c r="D62" s="267">
        <v>5</v>
      </c>
      <c r="E62" s="281">
        <v>323576</v>
      </c>
      <c r="F62" s="282">
        <v>3531593</v>
      </c>
      <c r="G62" s="281">
        <v>0</v>
      </c>
      <c r="H62" s="283">
        <v>0</v>
      </c>
      <c r="I62" s="283">
        <v>921888</v>
      </c>
      <c r="J62" s="281">
        <v>522563</v>
      </c>
      <c r="K62" s="283">
        <v>344175</v>
      </c>
      <c r="L62" s="283">
        <v>38329</v>
      </c>
      <c r="M62" s="283">
        <v>16821</v>
      </c>
      <c r="N62" s="283">
        <v>0</v>
      </c>
      <c r="O62" s="283">
        <v>0</v>
      </c>
      <c r="P62" s="283">
        <v>0</v>
      </c>
      <c r="Q62" s="283">
        <v>0</v>
      </c>
      <c r="R62" s="283">
        <v>0</v>
      </c>
      <c r="S62" s="282">
        <v>0</v>
      </c>
      <c r="T62" s="281">
        <v>921888</v>
      </c>
      <c r="U62" s="283">
        <v>743500</v>
      </c>
      <c r="V62" s="283">
        <v>131808</v>
      </c>
      <c r="W62" s="283">
        <v>67284</v>
      </c>
      <c r="X62" s="283">
        <v>0</v>
      </c>
      <c r="Y62" s="283">
        <v>0</v>
      </c>
      <c r="Z62" s="283">
        <v>0</v>
      </c>
      <c r="AA62" s="283">
        <v>0</v>
      </c>
      <c r="AB62" s="283">
        <v>0</v>
      </c>
      <c r="AC62" s="283">
        <v>0</v>
      </c>
      <c r="AD62" s="281">
        <v>0</v>
      </c>
      <c r="AE62" s="283">
        <v>178388</v>
      </c>
      <c r="AF62" s="283">
        <v>790080</v>
      </c>
      <c r="AG62" s="283">
        <v>854604</v>
      </c>
      <c r="AH62" s="283">
        <v>921888</v>
      </c>
      <c r="AI62" s="283">
        <v>921888</v>
      </c>
      <c r="AJ62" s="283">
        <v>921888</v>
      </c>
      <c r="AK62" s="283">
        <v>921888</v>
      </c>
      <c r="AL62" s="283">
        <v>921888</v>
      </c>
      <c r="AM62" s="282">
        <v>921888</v>
      </c>
    </row>
    <row r="63" spans="1:39" s="10" customFormat="1" ht="15.6">
      <c r="A63" s="6"/>
      <c r="B63" s="7"/>
      <c r="C63" s="7"/>
      <c r="D63" s="267">
        <v>6</v>
      </c>
      <c r="E63" s="281">
        <v>284009</v>
      </c>
      <c r="F63" s="282">
        <v>3333758</v>
      </c>
      <c r="G63" s="281">
        <v>0</v>
      </c>
      <c r="H63" s="283">
        <v>0</v>
      </c>
      <c r="I63" s="283">
        <v>1119723</v>
      </c>
      <c r="J63" s="281">
        <v>624657</v>
      </c>
      <c r="K63" s="283">
        <v>410590</v>
      </c>
      <c r="L63" s="283">
        <v>59066</v>
      </c>
      <c r="M63" s="283">
        <v>23030</v>
      </c>
      <c r="N63" s="283">
        <v>2380</v>
      </c>
      <c r="O63" s="283">
        <v>0</v>
      </c>
      <c r="P63" s="283">
        <v>0</v>
      </c>
      <c r="Q63" s="283">
        <v>0</v>
      </c>
      <c r="R63" s="283">
        <v>0</v>
      </c>
      <c r="S63" s="282">
        <v>0</v>
      </c>
      <c r="T63" s="281">
        <v>1119723</v>
      </c>
      <c r="U63" s="283">
        <v>905656</v>
      </c>
      <c r="V63" s="283">
        <v>202608</v>
      </c>
      <c r="W63" s="283">
        <v>94500</v>
      </c>
      <c r="X63" s="283">
        <v>11900</v>
      </c>
      <c r="Y63" s="283">
        <v>0</v>
      </c>
      <c r="Z63" s="283">
        <v>0</v>
      </c>
      <c r="AA63" s="283">
        <v>0</v>
      </c>
      <c r="AB63" s="283">
        <v>0</v>
      </c>
      <c r="AC63" s="283">
        <v>0</v>
      </c>
      <c r="AD63" s="281">
        <v>0</v>
      </c>
      <c r="AE63" s="283">
        <v>214067</v>
      </c>
      <c r="AF63" s="283">
        <v>917115</v>
      </c>
      <c r="AG63" s="283">
        <v>1025223</v>
      </c>
      <c r="AH63" s="283">
        <v>1107823</v>
      </c>
      <c r="AI63" s="283">
        <v>1119723</v>
      </c>
      <c r="AJ63" s="283">
        <v>1119723</v>
      </c>
      <c r="AK63" s="283">
        <v>1119723</v>
      </c>
      <c r="AL63" s="283">
        <v>1119723</v>
      </c>
      <c r="AM63" s="282">
        <v>1119723</v>
      </c>
    </row>
    <row r="64" spans="1:39" s="10" customFormat="1" ht="15.6">
      <c r="A64" s="6"/>
      <c r="B64" s="7"/>
      <c r="C64" s="7"/>
      <c r="D64" s="267">
        <v>7</v>
      </c>
      <c r="E64" s="281">
        <v>233331</v>
      </c>
      <c r="F64" s="282">
        <v>3029690</v>
      </c>
      <c r="G64" s="281">
        <v>0</v>
      </c>
      <c r="H64" s="283">
        <v>0</v>
      </c>
      <c r="I64" s="283">
        <v>1423791</v>
      </c>
      <c r="J64" s="281">
        <v>767626</v>
      </c>
      <c r="K64" s="283">
        <v>528378</v>
      </c>
      <c r="L64" s="283">
        <v>83821</v>
      </c>
      <c r="M64" s="283">
        <v>39072</v>
      </c>
      <c r="N64" s="283">
        <v>3981</v>
      </c>
      <c r="O64" s="283">
        <v>913</v>
      </c>
      <c r="P64" s="283">
        <v>0</v>
      </c>
      <c r="Q64" s="283">
        <v>0</v>
      </c>
      <c r="R64" s="283">
        <v>0</v>
      </c>
      <c r="S64" s="282">
        <v>0</v>
      </c>
      <c r="T64" s="281">
        <v>1423791</v>
      </c>
      <c r="U64" s="283">
        <v>1184543</v>
      </c>
      <c r="V64" s="283">
        <v>295429</v>
      </c>
      <c r="W64" s="283">
        <v>161182</v>
      </c>
      <c r="X64" s="283">
        <v>20818</v>
      </c>
      <c r="Y64" s="283">
        <v>5478</v>
      </c>
      <c r="Z64" s="283">
        <v>0</v>
      </c>
      <c r="AA64" s="283">
        <v>0</v>
      </c>
      <c r="AB64" s="283">
        <v>0</v>
      </c>
      <c r="AC64" s="283">
        <v>0</v>
      </c>
      <c r="AD64" s="281">
        <v>0</v>
      </c>
      <c r="AE64" s="283">
        <v>239248</v>
      </c>
      <c r="AF64" s="283">
        <v>1128362</v>
      </c>
      <c r="AG64" s="283">
        <v>1262609</v>
      </c>
      <c r="AH64" s="283">
        <v>1402973</v>
      </c>
      <c r="AI64" s="283">
        <v>1418313</v>
      </c>
      <c r="AJ64" s="283">
        <v>1423791</v>
      </c>
      <c r="AK64" s="283">
        <v>1423791</v>
      </c>
      <c r="AL64" s="283">
        <v>1423791</v>
      </c>
      <c r="AM64" s="282">
        <v>1423791</v>
      </c>
    </row>
    <row r="65" spans="1:39" s="10" customFormat="1" ht="15.6">
      <c r="A65" s="6"/>
      <c r="B65" s="7"/>
      <c r="C65" s="7"/>
      <c r="D65" s="267">
        <v>8</v>
      </c>
      <c r="E65" s="281">
        <v>203839</v>
      </c>
      <c r="F65" s="282">
        <v>2823246</v>
      </c>
      <c r="G65" s="281">
        <v>0</v>
      </c>
      <c r="H65" s="283">
        <v>0</v>
      </c>
      <c r="I65" s="283">
        <v>1630235</v>
      </c>
      <c r="J65" s="281">
        <v>864962</v>
      </c>
      <c r="K65" s="283">
        <v>600129</v>
      </c>
      <c r="L65" s="283">
        <v>108005</v>
      </c>
      <c r="M65" s="283">
        <v>48889</v>
      </c>
      <c r="N65" s="283">
        <v>6649</v>
      </c>
      <c r="O65" s="283">
        <v>1375</v>
      </c>
      <c r="P65" s="283">
        <v>226</v>
      </c>
      <c r="Q65" s="283">
        <v>0</v>
      </c>
      <c r="R65" s="283">
        <v>0</v>
      </c>
      <c r="S65" s="282">
        <v>0</v>
      </c>
      <c r="T65" s="281">
        <v>1630235</v>
      </c>
      <c r="U65" s="283">
        <v>1365402</v>
      </c>
      <c r="V65" s="283">
        <v>381154</v>
      </c>
      <c r="W65" s="283">
        <v>203806</v>
      </c>
      <c r="X65" s="283">
        <v>34846</v>
      </c>
      <c r="Y65" s="283">
        <v>8476</v>
      </c>
      <c r="Z65" s="283">
        <v>1582</v>
      </c>
      <c r="AA65" s="283">
        <v>0</v>
      </c>
      <c r="AB65" s="283">
        <v>0</v>
      </c>
      <c r="AC65" s="283">
        <v>0</v>
      </c>
      <c r="AD65" s="281">
        <v>0</v>
      </c>
      <c r="AE65" s="283">
        <v>264833</v>
      </c>
      <c r="AF65" s="283">
        <v>1249081</v>
      </c>
      <c r="AG65" s="283">
        <v>1426429</v>
      </c>
      <c r="AH65" s="283">
        <v>1595389</v>
      </c>
      <c r="AI65" s="283">
        <v>1621759</v>
      </c>
      <c r="AJ65" s="283">
        <v>1628653</v>
      </c>
      <c r="AK65" s="283">
        <v>1630235</v>
      </c>
      <c r="AL65" s="283">
        <v>1630235</v>
      </c>
      <c r="AM65" s="282">
        <v>1630235</v>
      </c>
    </row>
    <row r="66" spans="1:39" s="10" customFormat="1" ht="15.6">
      <c r="A66" s="6"/>
      <c r="B66" s="7"/>
      <c r="C66" s="7"/>
      <c r="D66" s="267">
        <v>9</v>
      </c>
      <c r="E66" s="281">
        <v>170153</v>
      </c>
      <c r="F66" s="282">
        <v>2553758</v>
      </c>
      <c r="G66" s="281">
        <v>0</v>
      </c>
      <c r="H66" s="283">
        <v>0</v>
      </c>
      <c r="I66" s="283">
        <v>1899723</v>
      </c>
      <c r="J66" s="281">
        <v>983889</v>
      </c>
      <c r="K66" s="283">
        <v>700621</v>
      </c>
      <c r="L66" s="283">
        <v>136046</v>
      </c>
      <c r="M66" s="283">
        <v>67098</v>
      </c>
      <c r="N66" s="283">
        <v>9112</v>
      </c>
      <c r="O66" s="283">
        <v>2471</v>
      </c>
      <c r="P66" s="283">
        <v>387</v>
      </c>
      <c r="Q66" s="283">
        <v>99</v>
      </c>
      <c r="R66" s="283">
        <v>0</v>
      </c>
      <c r="S66" s="282">
        <v>0</v>
      </c>
      <c r="T66" s="281">
        <v>1899723</v>
      </c>
      <c r="U66" s="283">
        <v>1616455</v>
      </c>
      <c r="V66" s="283">
        <v>487305</v>
      </c>
      <c r="W66" s="283">
        <v>280461</v>
      </c>
      <c r="X66" s="283">
        <v>48517</v>
      </c>
      <c r="Y66" s="283">
        <v>15312</v>
      </c>
      <c r="Z66" s="283">
        <v>2808</v>
      </c>
      <c r="AA66" s="283">
        <v>792</v>
      </c>
      <c r="AB66" s="283">
        <v>0</v>
      </c>
      <c r="AC66" s="283">
        <v>0</v>
      </c>
      <c r="AD66" s="281">
        <v>0</v>
      </c>
      <c r="AE66" s="283">
        <v>283268</v>
      </c>
      <c r="AF66" s="283">
        <v>1412418</v>
      </c>
      <c r="AG66" s="283">
        <v>1619262</v>
      </c>
      <c r="AH66" s="283">
        <v>1851206</v>
      </c>
      <c r="AI66" s="283">
        <v>1884411</v>
      </c>
      <c r="AJ66" s="283">
        <v>1896915</v>
      </c>
      <c r="AK66" s="283">
        <v>1898931</v>
      </c>
      <c r="AL66" s="283">
        <v>1899723</v>
      </c>
      <c r="AM66" s="282">
        <v>1899723</v>
      </c>
    </row>
    <row r="67" spans="1:39" s="10" customFormat="1" ht="15.6">
      <c r="A67" s="6"/>
      <c r="B67" s="7"/>
      <c r="C67" s="7"/>
      <c r="D67" s="274">
        <v>10</v>
      </c>
      <c r="E67" s="278">
        <v>148558</v>
      </c>
      <c r="F67" s="280">
        <v>2359403</v>
      </c>
      <c r="G67" s="278">
        <v>0</v>
      </c>
      <c r="H67" s="279">
        <v>0</v>
      </c>
      <c r="I67" s="279">
        <v>2094078</v>
      </c>
      <c r="J67" s="278">
        <v>1068660</v>
      </c>
      <c r="K67" s="279">
        <v>768217</v>
      </c>
      <c r="L67" s="279">
        <v>161127</v>
      </c>
      <c r="M67" s="279">
        <v>79382</v>
      </c>
      <c r="N67" s="279">
        <v>12511</v>
      </c>
      <c r="O67" s="279">
        <v>3304</v>
      </c>
      <c r="P67" s="279">
        <v>674</v>
      </c>
      <c r="Q67" s="279">
        <v>168</v>
      </c>
      <c r="R67" s="279">
        <v>35</v>
      </c>
      <c r="S67" s="280">
        <v>0</v>
      </c>
      <c r="T67" s="278">
        <v>2094078</v>
      </c>
      <c r="U67" s="279">
        <v>1793635</v>
      </c>
      <c r="V67" s="279">
        <v>579455</v>
      </c>
      <c r="W67" s="279">
        <v>334220</v>
      </c>
      <c r="X67" s="279">
        <v>66736</v>
      </c>
      <c r="Y67" s="279">
        <v>20701</v>
      </c>
      <c r="Z67" s="279">
        <v>4921</v>
      </c>
      <c r="AA67" s="279">
        <v>1379</v>
      </c>
      <c r="AB67" s="279">
        <v>315</v>
      </c>
      <c r="AC67" s="279">
        <v>0</v>
      </c>
      <c r="AD67" s="278">
        <v>0</v>
      </c>
      <c r="AE67" s="279">
        <v>300443</v>
      </c>
      <c r="AF67" s="279">
        <v>1514623</v>
      </c>
      <c r="AG67" s="279">
        <v>1759858</v>
      </c>
      <c r="AH67" s="279">
        <v>2027342</v>
      </c>
      <c r="AI67" s="279">
        <v>2073377</v>
      </c>
      <c r="AJ67" s="279">
        <v>2089157</v>
      </c>
      <c r="AK67" s="279">
        <v>2092699</v>
      </c>
      <c r="AL67" s="279">
        <v>2093763</v>
      </c>
      <c r="AM67" s="280">
        <v>2094078</v>
      </c>
    </row>
    <row r="68" spans="1:39" s="10" customFormat="1" ht="15.6">
      <c r="A68" s="6"/>
      <c r="B68" s="7"/>
      <c r="C68" s="7"/>
      <c r="D68" s="267">
        <v>11</v>
      </c>
      <c r="E68" s="281">
        <v>124483</v>
      </c>
      <c r="F68" s="282">
        <v>2118653</v>
      </c>
      <c r="G68" s="281">
        <v>0</v>
      </c>
      <c r="H68" s="283">
        <v>0</v>
      </c>
      <c r="I68" s="283">
        <v>2334828</v>
      </c>
      <c r="J68" s="281">
        <v>1170144</v>
      </c>
      <c r="K68" s="283">
        <v>856922</v>
      </c>
      <c r="L68" s="283">
        <v>188881</v>
      </c>
      <c r="M68" s="283">
        <v>96700</v>
      </c>
      <c r="N68" s="283">
        <v>15989</v>
      </c>
      <c r="O68" s="283">
        <v>4859</v>
      </c>
      <c r="P68" s="283">
        <v>964</v>
      </c>
      <c r="Q68" s="283">
        <v>302</v>
      </c>
      <c r="R68" s="283">
        <v>55</v>
      </c>
      <c r="S68" s="282">
        <v>12</v>
      </c>
      <c r="T68" s="281">
        <v>2334828</v>
      </c>
      <c r="U68" s="283">
        <v>2021606</v>
      </c>
      <c r="V68" s="283">
        <v>685524</v>
      </c>
      <c r="W68" s="283">
        <v>408981</v>
      </c>
      <c r="X68" s="283">
        <v>86137</v>
      </c>
      <c r="Y68" s="283">
        <v>30487</v>
      </c>
      <c r="Z68" s="283">
        <v>7117</v>
      </c>
      <c r="AA68" s="283">
        <v>2483</v>
      </c>
      <c r="AB68" s="283">
        <v>507</v>
      </c>
      <c r="AC68" s="283">
        <v>120</v>
      </c>
      <c r="AD68" s="284">
        <v>0</v>
      </c>
      <c r="AE68" s="285">
        <v>313222</v>
      </c>
      <c r="AF68" s="285">
        <v>1649304</v>
      </c>
      <c r="AG68" s="285">
        <v>1925847</v>
      </c>
      <c r="AH68" s="285">
        <v>2248691</v>
      </c>
      <c r="AI68" s="285">
        <v>2304341</v>
      </c>
      <c r="AJ68" s="285">
        <v>2327711</v>
      </c>
      <c r="AK68" s="285">
        <v>2332345</v>
      </c>
      <c r="AL68" s="285">
        <v>2334321</v>
      </c>
      <c r="AM68" s="286">
        <v>2334708</v>
      </c>
    </row>
    <row r="69" spans="1:39" s="10" customFormat="1" ht="15.6">
      <c r="A69" s="6"/>
      <c r="B69" s="7"/>
      <c r="C69" s="7"/>
      <c r="D69" s="267">
        <v>12</v>
      </c>
      <c r="E69" s="281">
        <v>107849</v>
      </c>
      <c r="F69" s="282">
        <v>1935679</v>
      </c>
      <c r="G69" s="281">
        <v>0</v>
      </c>
      <c r="H69" s="283">
        <v>0</v>
      </c>
      <c r="I69" s="283">
        <v>2517802</v>
      </c>
      <c r="J69" s="281">
        <v>1244946</v>
      </c>
      <c r="K69" s="283">
        <v>920409</v>
      </c>
      <c r="L69" s="283">
        <v>214262</v>
      </c>
      <c r="M69" s="283">
        <v>110312</v>
      </c>
      <c r="N69" s="283">
        <v>19872</v>
      </c>
      <c r="O69" s="283">
        <v>6095</v>
      </c>
      <c r="P69" s="283">
        <v>1373</v>
      </c>
      <c r="Q69" s="283">
        <v>416</v>
      </c>
      <c r="R69" s="283">
        <v>92</v>
      </c>
      <c r="S69" s="282">
        <v>20</v>
      </c>
      <c r="T69" s="281">
        <v>2517802</v>
      </c>
      <c r="U69" s="283">
        <v>2193265</v>
      </c>
      <c r="V69" s="283">
        <v>780971</v>
      </c>
      <c r="W69" s="283">
        <v>469121</v>
      </c>
      <c r="X69" s="283">
        <v>107361</v>
      </c>
      <c r="Y69" s="283">
        <v>38476</v>
      </c>
      <c r="Z69" s="283">
        <v>10144</v>
      </c>
      <c r="AA69" s="283">
        <v>3445</v>
      </c>
      <c r="AB69" s="283">
        <v>853</v>
      </c>
      <c r="AC69" s="283">
        <v>205</v>
      </c>
      <c r="AD69" s="281">
        <v>0</v>
      </c>
      <c r="AE69" s="283">
        <v>324537</v>
      </c>
      <c r="AF69" s="283">
        <v>1736831</v>
      </c>
      <c r="AG69" s="283">
        <v>2048681</v>
      </c>
      <c r="AH69" s="283">
        <v>2410441</v>
      </c>
      <c r="AI69" s="283">
        <v>2479326</v>
      </c>
      <c r="AJ69" s="283">
        <v>2507658</v>
      </c>
      <c r="AK69" s="283">
        <v>2514357</v>
      </c>
      <c r="AL69" s="283">
        <v>2516949</v>
      </c>
      <c r="AM69" s="282">
        <v>2517597</v>
      </c>
    </row>
    <row r="70" spans="1:39" s="10" customFormat="1" ht="15.6">
      <c r="A70" s="6"/>
      <c r="B70" s="7"/>
      <c r="C70" s="7"/>
      <c r="D70" s="267">
        <v>13</v>
      </c>
      <c r="E70" s="281">
        <v>90254</v>
      </c>
      <c r="F70" s="282">
        <v>1724539</v>
      </c>
      <c r="G70" s="281">
        <v>0</v>
      </c>
      <c r="H70" s="283">
        <v>0</v>
      </c>
      <c r="I70" s="283">
        <v>2728942</v>
      </c>
      <c r="J70" s="281">
        <v>1328671</v>
      </c>
      <c r="K70" s="283">
        <v>995481</v>
      </c>
      <c r="L70" s="283">
        <v>242205</v>
      </c>
      <c r="M70" s="283">
        <v>128272</v>
      </c>
      <c r="N70" s="283">
        <v>23843</v>
      </c>
      <c r="O70" s="283">
        <v>7867</v>
      </c>
      <c r="P70" s="283">
        <v>1807</v>
      </c>
      <c r="Q70" s="283">
        <v>610</v>
      </c>
      <c r="R70" s="283">
        <v>133</v>
      </c>
      <c r="S70" s="282">
        <v>41</v>
      </c>
      <c r="T70" s="281">
        <v>2728942</v>
      </c>
      <c r="U70" s="283">
        <v>2395752</v>
      </c>
      <c r="V70" s="283">
        <v>889200</v>
      </c>
      <c r="W70" s="283">
        <v>547401</v>
      </c>
      <c r="X70" s="283">
        <v>129685</v>
      </c>
      <c r="Y70" s="283">
        <v>49805</v>
      </c>
      <c r="Z70" s="283">
        <v>13445</v>
      </c>
      <c r="AA70" s="283">
        <v>5066</v>
      </c>
      <c r="AB70" s="283">
        <v>1250</v>
      </c>
      <c r="AC70" s="283">
        <v>422</v>
      </c>
      <c r="AD70" s="281">
        <v>0</v>
      </c>
      <c r="AE70" s="283">
        <v>333190</v>
      </c>
      <c r="AF70" s="283">
        <v>1839742</v>
      </c>
      <c r="AG70" s="283">
        <v>2181541</v>
      </c>
      <c r="AH70" s="283">
        <v>2599257</v>
      </c>
      <c r="AI70" s="283">
        <v>2679137</v>
      </c>
      <c r="AJ70" s="283">
        <v>2715497</v>
      </c>
      <c r="AK70" s="283">
        <v>2723876</v>
      </c>
      <c r="AL70" s="283">
        <v>2727692</v>
      </c>
      <c r="AM70" s="282">
        <v>2728520</v>
      </c>
    </row>
    <row r="71" spans="1:39" s="10" customFormat="1" ht="15.6">
      <c r="A71" s="6"/>
      <c r="B71" s="7"/>
      <c r="C71" s="7"/>
      <c r="D71" s="267">
        <v>14</v>
      </c>
      <c r="E71" s="281">
        <v>77634</v>
      </c>
      <c r="F71" s="282">
        <v>1560479</v>
      </c>
      <c r="G71" s="281">
        <v>0</v>
      </c>
      <c r="H71" s="283">
        <v>0</v>
      </c>
      <c r="I71" s="283">
        <v>2893002</v>
      </c>
      <c r="J71" s="281">
        <v>1391713</v>
      </c>
      <c r="K71" s="283">
        <v>1051013</v>
      </c>
      <c r="L71" s="283">
        <v>266781</v>
      </c>
      <c r="M71" s="283">
        <v>142473</v>
      </c>
      <c r="N71" s="283">
        <v>28174</v>
      </c>
      <c r="O71" s="283">
        <v>9490</v>
      </c>
      <c r="P71" s="283">
        <v>2322</v>
      </c>
      <c r="Q71" s="283">
        <v>773</v>
      </c>
      <c r="R71" s="283">
        <v>190</v>
      </c>
      <c r="S71" s="282">
        <v>53</v>
      </c>
      <c r="T71" s="281">
        <v>2893002</v>
      </c>
      <c r="U71" s="283">
        <v>2552302</v>
      </c>
      <c r="V71" s="283">
        <v>983838</v>
      </c>
      <c r="W71" s="283">
        <v>610914</v>
      </c>
      <c r="X71" s="283">
        <v>153718</v>
      </c>
      <c r="Y71" s="283">
        <v>60298</v>
      </c>
      <c r="Z71" s="283">
        <v>17290</v>
      </c>
      <c r="AA71" s="283">
        <v>6447</v>
      </c>
      <c r="AB71" s="283">
        <v>1783</v>
      </c>
      <c r="AC71" s="283">
        <v>550</v>
      </c>
      <c r="AD71" s="281">
        <v>0</v>
      </c>
      <c r="AE71" s="283">
        <v>340700</v>
      </c>
      <c r="AF71" s="283">
        <v>1909164</v>
      </c>
      <c r="AG71" s="283">
        <v>2282088</v>
      </c>
      <c r="AH71" s="283">
        <v>2739284</v>
      </c>
      <c r="AI71" s="283">
        <v>2832704</v>
      </c>
      <c r="AJ71" s="283">
        <v>2875712</v>
      </c>
      <c r="AK71" s="283">
        <v>2886555</v>
      </c>
      <c r="AL71" s="283">
        <v>2891219</v>
      </c>
      <c r="AM71" s="282">
        <v>2892452</v>
      </c>
    </row>
    <row r="72" spans="1:39" s="10" customFormat="1" ht="15.6">
      <c r="A72" s="6"/>
      <c r="B72" s="7"/>
      <c r="C72" s="7"/>
      <c r="D72" s="267">
        <v>15</v>
      </c>
      <c r="E72" s="281">
        <v>65154</v>
      </c>
      <c r="F72" s="282">
        <v>1385759</v>
      </c>
      <c r="G72" s="281">
        <v>0</v>
      </c>
      <c r="H72" s="283">
        <v>0</v>
      </c>
      <c r="I72" s="283">
        <v>3067722</v>
      </c>
      <c r="J72" s="281">
        <v>1457037</v>
      </c>
      <c r="K72" s="283">
        <v>1110897</v>
      </c>
      <c r="L72" s="283">
        <v>292362</v>
      </c>
      <c r="M72" s="283">
        <v>159266</v>
      </c>
      <c r="N72" s="283">
        <v>32468</v>
      </c>
      <c r="O72" s="283">
        <v>11478</v>
      </c>
      <c r="P72" s="283">
        <v>2859</v>
      </c>
      <c r="Q72" s="283">
        <v>1006</v>
      </c>
      <c r="R72" s="283">
        <v>251</v>
      </c>
      <c r="S72" s="282">
        <v>76</v>
      </c>
      <c r="T72" s="281">
        <v>3067722</v>
      </c>
      <c r="U72" s="283">
        <v>2721582</v>
      </c>
      <c r="V72" s="283">
        <v>1084512</v>
      </c>
      <c r="W72" s="283">
        <v>685224</v>
      </c>
      <c r="X72" s="283">
        <v>178032</v>
      </c>
      <c r="Y72" s="283">
        <v>73082</v>
      </c>
      <c r="Z72" s="283">
        <v>21368</v>
      </c>
      <c r="AA72" s="283">
        <v>8397</v>
      </c>
      <c r="AB72" s="283">
        <v>2357</v>
      </c>
      <c r="AC72" s="283">
        <v>782</v>
      </c>
      <c r="AD72" s="281">
        <v>0</v>
      </c>
      <c r="AE72" s="283">
        <v>346140</v>
      </c>
      <c r="AF72" s="283">
        <v>1983210</v>
      </c>
      <c r="AG72" s="283">
        <v>2382498</v>
      </c>
      <c r="AH72" s="283">
        <v>2889690</v>
      </c>
      <c r="AI72" s="283">
        <v>2994640</v>
      </c>
      <c r="AJ72" s="283">
        <v>3046354</v>
      </c>
      <c r="AK72" s="283">
        <v>3059325</v>
      </c>
      <c r="AL72" s="283">
        <v>3065365</v>
      </c>
      <c r="AM72" s="282">
        <v>3066940</v>
      </c>
    </row>
    <row r="73" spans="1:39" s="10" customFormat="1" ht="15.6">
      <c r="A73" s="6"/>
      <c r="B73" s="7"/>
      <c r="C73" s="7"/>
      <c r="D73" s="267">
        <v>16</v>
      </c>
      <c r="E73" s="281">
        <v>56074</v>
      </c>
      <c r="F73" s="282">
        <v>1249559</v>
      </c>
      <c r="G73" s="281">
        <v>0</v>
      </c>
      <c r="H73" s="283">
        <v>0</v>
      </c>
      <c r="I73" s="283">
        <v>3203922</v>
      </c>
      <c r="J73" s="281">
        <v>1505264</v>
      </c>
      <c r="K73" s="283">
        <v>1154783</v>
      </c>
      <c r="L73" s="283">
        <v>315354</v>
      </c>
      <c r="M73" s="283">
        <v>173243</v>
      </c>
      <c r="N73" s="283">
        <v>36924</v>
      </c>
      <c r="O73" s="283">
        <v>13265</v>
      </c>
      <c r="P73" s="283">
        <v>3437</v>
      </c>
      <c r="Q73" s="283">
        <v>1201</v>
      </c>
      <c r="R73" s="283">
        <v>316</v>
      </c>
      <c r="S73" s="282">
        <v>99</v>
      </c>
      <c r="T73" s="281">
        <v>3203922</v>
      </c>
      <c r="U73" s="283">
        <v>2853441</v>
      </c>
      <c r="V73" s="283">
        <v>1174583</v>
      </c>
      <c r="W73" s="283">
        <v>748250</v>
      </c>
      <c r="X73" s="283">
        <v>202974</v>
      </c>
      <c r="Y73" s="283">
        <v>84679</v>
      </c>
      <c r="Z73" s="283">
        <v>25711</v>
      </c>
      <c r="AA73" s="283">
        <v>10059</v>
      </c>
      <c r="AB73" s="283">
        <v>2979</v>
      </c>
      <c r="AC73" s="283">
        <v>1026</v>
      </c>
      <c r="AD73" s="281">
        <v>0</v>
      </c>
      <c r="AE73" s="283">
        <v>350481</v>
      </c>
      <c r="AF73" s="283">
        <v>2029339</v>
      </c>
      <c r="AG73" s="283">
        <v>2455672</v>
      </c>
      <c r="AH73" s="283">
        <v>3000948</v>
      </c>
      <c r="AI73" s="283">
        <v>3119243</v>
      </c>
      <c r="AJ73" s="283">
        <v>3178211</v>
      </c>
      <c r="AK73" s="283">
        <v>3193863</v>
      </c>
      <c r="AL73" s="283">
        <v>3200943</v>
      </c>
      <c r="AM73" s="282">
        <v>3202896</v>
      </c>
    </row>
    <row r="74" spans="1:39" s="10" customFormat="1" ht="15.6">
      <c r="A74" s="6"/>
      <c r="B74" s="7"/>
      <c r="C74" s="7"/>
      <c r="D74" s="267">
        <v>17</v>
      </c>
      <c r="E74" s="281">
        <v>47682</v>
      </c>
      <c r="F74" s="282">
        <v>1115287</v>
      </c>
      <c r="G74" s="281">
        <v>0</v>
      </c>
      <c r="H74" s="283">
        <v>0</v>
      </c>
      <c r="I74" s="283">
        <v>3338194</v>
      </c>
      <c r="J74" s="281">
        <v>1550591</v>
      </c>
      <c r="K74" s="283">
        <v>1196820</v>
      </c>
      <c r="L74" s="283">
        <v>338707</v>
      </c>
      <c r="M74" s="283">
        <v>189283</v>
      </c>
      <c r="N74" s="283">
        <v>41351</v>
      </c>
      <c r="O74" s="283">
        <v>15329</v>
      </c>
      <c r="P74" s="283">
        <v>4079</v>
      </c>
      <c r="Q74" s="283">
        <v>1471</v>
      </c>
      <c r="R74" s="283">
        <v>387</v>
      </c>
      <c r="S74" s="282">
        <v>126</v>
      </c>
      <c r="T74" s="281">
        <v>3338194</v>
      </c>
      <c r="U74" s="283">
        <v>2984423</v>
      </c>
      <c r="V74" s="283">
        <v>1268197</v>
      </c>
      <c r="W74" s="283">
        <v>819925</v>
      </c>
      <c r="X74" s="283">
        <v>228197</v>
      </c>
      <c r="Y74" s="283">
        <v>98087</v>
      </c>
      <c r="Z74" s="283">
        <v>30587</v>
      </c>
      <c r="AA74" s="283">
        <v>12331</v>
      </c>
      <c r="AB74" s="283">
        <v>3659</v>
      </c>
      <c r="AC74" s="283">
        <v>1310</v>
      </c>
      <c r="AD74" s="281">
        <v>0</v>
      </c>
      <c r="AE74" s="283">
        <v>353771</v>
      </c>
      <c r="AF74" s="283">
        <v>2069997</v>
      </c>
      <c r="AG74" s="283">
        <v>2518269</v>
      </c>
      <c r="AH74" s="283">
        <v>3109997</v>
      </c>
      <c r="AI74" s="283">
        <v>3240107</v>
      </c>
      <c r="AJ74" s="283">
        <v>3307607</v>
      </c>
      <c r="AK74" s="283">
        <v>3325863</v>
      </c>
      <c r="AL74" s="283">
        <v>3334535</v>
      </c>
      <c r="AM74" s="282">
        <v>3336884</v>
      </c>
    </row>
    <row r="75" spans="1:39" s="10" customFormat="1" ht="15.6">
      <c r="A75" s="6"/>
      <c r="B75" s="7"/>
      <c r="C75" s="7"/>
      <c r="D75" s="267">
        <v>18</v>
      </c>
      <c r="E75" s="281">
        <v>41198</v>
      </c>
      <c r="F75" s="282">
        <v>1005059</v>
      </c>
      <c r="G75" s="281">
        <v>0</v>
      </c>
      <c r="H75" s="283">
        <v>0</v>
      </c>
      <c r="I75" s="283">
        <v>3448422</v>
      </c>
      <c r="J75" s="281">
        <v>1586589</v>
      </c>
      <c r="K75" s="283">
        <v>1230109</v>
      </c>
      <c r="L75" s="283">
        <v>358771</v>
      </c>
      <c r="M75" s="283">
        <v>202489</v>
      </c>
      <c r="N75" s="283">
        <v>45939</v>
      </c>
      <c r="O75" s="283">
        <v>17321</v>
      </c>
      <c r="P75" s="283">
        <v>4765</v>
      </c>
      <c r="Q75" s="283">
        <v>1745</v>
      </c>
      <c r="R75" s="283">
        <v>472</v>
      </c>
      <c r="S75" s="282">
        <v>152</v>
      </c>
      <c r="T75" s="281">
        <v>3448422</v>
      </c>
      <c r="U75" s="283">
        <v>3091942</v>
      </c>
      <c r="V75" s="283">
        <v>1349266</v>
      </c>
      <c r="W75" s="283">
        <v>880420</v>
      </c>
      <c r="X75" s="283">
        <v>254220</v>
      </c>
      <c r="Y75" s="283">
        <v>111130</v>
      </c>
      <c r="Z75" s="283">
        <v>35794</v>
      </c>
      <c r="AA75" s="283">
        <v>14654</v>
      </c>
      <c r="AB75" s="283">
        <v>4470</v>
      </c>
      <c r="AC75" s="283">
        <v>1590</v>
      </c>
      <c r="AD75" s="281">
        <v>0</v>
      </c>
      <c r="AE75" s="283">
        <v>356480</v>
      </c>
      <c r="AF75" s="283">
        <v>2099156</v>
      </c>
      <c r="AG75" s="283">
        <v>2568002</v>
      </c>
      <c r="AH75" s="283">
        <v>3194202</v>
      </c>
      <c r="AI75" s="283">
        <v>3337292</v>
      </c>
      <c r="AJ75" s="283">
        <v>3412628</v>
      </c>
      <c r="AK75" s="283">
        <v>3433768</v>
      </c>
      <c r="AL75" s="283">
        <v>3443952</v>
      </c>
      <c r="AM75" s="282">
        <v>3446832</v>
      </c>
    </row>
    <row r="76" spans="1:39" s="10" customFormat="1" ht="15.6">
      <c r="A76" s="6"/>
      <c r="B76" s="7"/>
      <c r="C76" s="7"/>
      <c r="D76" s="267">
        <v>19</v>
      </c>
      <c r="E76" s="281">
        <v>35332</v>
      </c>
      <c r="F76" s="282">
        <v>899471</v>
      </c>
      <c r="G76" s="281">
        <v>0</v>
      </c>
      <c r="H76" s="283">
        <v>0</v>
      </c>
      <c r="I76" s="283">
        <v>3554010</v>
      </c>
      <c r="J76" s="281">
        <v>1619654</v>
      </c>
      <c r="K76" s="283">
        <v>1261223</v>
      </c>
      <c r="L76" s="283">
        <v>378381</v>
      </c>
      <c r="M76" s="283">
        <v>216369</v>
      </c>
      <c r="N76" s="283">
        <v>50333</v>
      </c>
      <c r="O76" s="283">
        <v>19563</v>
      </c>
      <c r="P76" s="283">
        <v>5540</v>
      </c>
      <c r="Q76" s="283">
        <v>2077</v>
      </c>
      <c r="R76" s="283">
        <v>576</v>
      </c>
      <c r="S76" s="282">
        <v>197</v>
      </c>
      <c r="T76" s="281">
        <v>3554010</v>
      </c>
      <c r="U76" s="283">
        <v>3195579</v>
      </c>
      <c r="V76" s="283">
        <v>1429895</v>
      </c>
      <c r="W76" s="283">
        <v>943859</v>
      </c>
      <c r="X76" s="283">
        <v>279715</v>
      </c>
      <c r="Y76" s="283">
        <v>125865</v>
      </c>
      <c r="Z76" s="283">
        <v>41727</v>
      </c>
      <c r="AA76" s="283">
        <v>17486</v>
      </c>
      <c r="AB76" s="283">
        <v>5478</v>
      </c>
      <c r="AC76" s="283">
        <v>2067</v>
      </c>
      <c r="AD76" s="281">
        <v>0</v>
      </c>
      <c r="AE76" s="283">
        <v>358431</v>
      </c>
      <c r="AF76" s="283">
        <v>2124115</v>
      </c>
      <c r="AG76" s="283">
        <v>2610151</v>
      </c>
      <c r="AH76" s="283">
        <v>3274295</v>
      </c>
      <c r="AI76" s="283">
        <v>3428145</v>
      </c>
      <c r="AJ76" s="283">
        <v>3512283</v>
      </c>
      <c r="AK76" s="283">
        <v>3536524</v>
      </c>
      <c r="AL76" s="283">
        <v>3548532</v>
      </c>
      <c r="AM76" s="282">
        <v>3551943</v>
      </c>
    </row>
    <row r="77" spans="1:39" s="10" customFormat="1" ht="15.6">
      <c r="A77" s="6"/>
      <c r="B77" s="7"/>
      <c r="C77" s="7"/>
      <c r="D77" s="274">
        <v>20</v>
      </c>
      <c r="E77" s="278">
        <v>30574</v>
      </c>
      <c r="F77" s="280">
        <v>809069</v>
      </c>
      <c r="G77" s="278">
        <v>0</v>
      </c>
      <c r="H77" s="279">
        <v>0</v>
      </c>
      <c r="I77" s="279">
        <v>3644412</v>
      </c>
      <c r="J77" s="278">
        <v>1647108</v>
      </c>
      <c r="K77" s="279">
        <v>1286919</v>
      </c>
      <c r="L77" s="279">
        <v>395784</v>
      </c>
      <c r="M77" s="279">
        <v>228573</v>
      </c>
      <c r="N77" s="279">
        <v>54695</v>
      </c>
      <c r="O77" s="279">
        <v>21614</v>
      </c>
      <c r="P77" s="279">
        <v>6294</v>
      </c>
      <c r="Q77" s="279">
        <v>2384</v>
      </c>
      <c r="R77" s="279">
        <v>688</v>
      </c>
      <c r="S77" s="280">
        <v>232</v>
      </c>
      <c r="T77" s="278">
        <v>3644412</v>
      </c>
      <c r="U77" s="279">
        <v>3284223</v>
      </c>
      <c r="V77" s="279">
        <v>1501953</v>
      </c>
      <c r="W77" s="279">
        <v>1000320</v>
      </c>
      <c r="X77" s="279">
        <v>304808</v>
      </c>
      <c r="Y77" s="279">
        <v>139403</v>
      </c>
      <c r="Z77" s="279">
        <v>47483</v>
      </c>
      <c r="AA77" s="279">
        <v>20113</v>
      </c>
      <c r="AB77" s="279">
        <v>6545</v>
      </c>
      <c r="AC77" s="279">
        <v>2441</v>
      </c>
      <c r="AD77" s="278">
        <v>0</v>
      </c>
      <c r="AE77" s="279">
        <v>360189</v>
      </c>
      <c r="AF77" s="279">
        <v>2142459</v>
      </c>
      <c r="AG77" s="279">
        <v>2644092</v>
      </c>
      <c r="AH77" s="279">
        <v>3339604</v>
      </c>
      <c r="AI77" s="279">
        <v>3505009</v>
      </c>
      <c r="AJ77" s="279">
        <v>3596929</v>
      </c>
      <c r="AK77" s="279">
        <v>3624299</v>
      </c>
      <c r="AL77" s="279">
        <v>3637867</v>
      </c>
      <c r="AM77" s="280">
        <v>3641971</v>
      </c>
    </row>
    <row r="78" spans="1:39" s="10" customFormat="1" ht="15.6">
      <c r="A78" s="6"/>
      <c r="B78" s="7"/>
      <c r="C78" s="7"/>
      <c r="D78" s="267">
        <v>21</v>
      </c>
      <c r="E78" s="281">
        <v>26077</v>
      </c>
      <c r="F78" s="282">
        <v>719129</v>
      </c>
      <c r="G78" s="281">
        <v>0</v>
      </c>
      <c r="H78" s="283">
        <v>0</v>
      </c>
      <c r="I78" s="283">
        <v>3734352</v>
      </c>
      <c r="J78" s="281">
        <v>1673245</v>
      </c>
      <c r="K78" s="283">
        <v>1311830</v>
      </c>
      <c r="L78" s="283">
        <v>413432</v>
      </c>
      <c r="M78" s="283">
        <v>241809</v>
      </c>
      <c r="N78" s="283">
        <v>59129</v>
      </c>
      <c r="O78" s="283">
        <v>23859</v>
      </c>
      <c r="P78" s="283">
        <v>7085</v>
      </c>
      <c r="Q78" s="283">
        <v>2738</v>
      </c>
      <c r="R78" s="283">
        <v>803</v>
      </c>
      <c r="S78" s="282">
        <v>282</v>
      </c>
      <c r="T78" s="281">
        <v>3734352</v>
      </c>
      <c r="U78" s="283">
        <v>3372937</v>
      </c>
      <c r="V78" s="283">
        <v>1576141</v>
      </c>
      <c r="W78" s="283">
        <v>1061272</v>
      </c>
      <c r="X78" s="283">
        <v>330552</v>
      </c>
      <c r="Y78" s="283">
        <v>154202</v>
      </c>
      <c r="Z78" s="283">
        <v>53558</v>
      </c>
      <c r="AA78" s="283">
        <v>23129</v>
      </c>
      <c r="AB78" s="283">
        <v>7649</v>
      </c>
      <c r="AC78" s="283">
        <v>2960</v>
      </c>
      <c r="AD78" s="284">
        <v>0</v>
      </c>
      <c r="AE78" s="285">
        <v>361415</v>
      </c>
      <c r="AF78" s="285">
        <v>2158211</v>
      </c>
      <c r="AG78" s="285">
        <v>2673080</v>
      </c>
      <c r="AH78" s="285">
        <v>3403800</v>
      </c>
      <c r="AI78" s="285">
        <v>3580150</v>
      </c>
      <c r="AJ78" s="285">
        <v>3680794</v>
      </c>
      <c r="AK78" s="285">
        <v>3711223</v>
      </c>
      <c r="AL78" s="285">
        <v>3726703</v>
      </c>
      <c r="AM78" s="286">
        <v>3731392</v>
      </c>
    </row>
    <row r="79" spans="1:39" s="10" customFormat="1" ht="15.6">
      <c r="A79" s="6"/>
      <c r="B79" s="7"/>
      <c r="C79" s="7"/>
      <c r="D79" s="267">
        <v>22</v>
      </c>
      <c r="E79" s="281">
        <v>22578</v>
      </c>
      <c r="F79" s="282">
        <v>645650</v>
      </c>
      <c r="G79" s="281">
        <v>0</v>
      </c>
      <c r="H79" s="283">
        <v>0</v>
      </c>
      <c r="I79" s="283">
        <v>3807831</v>
      </c>
      <c r="J79" s="281">
        <v>1693994</v>
      </c>
      <c r="K79" s="283">
        <v>1331513</v>
      </c>
      <c r="L79" s="283">
        <v>427977</v>
      </c>
      <c r="M79" s="283">
        <v>252666</v>
      </c>
      <c r="N79" s="283">
        <v>63378</v>
      </c>
      <c r="O79" s="283">
        <v>25905</v>
      </c>
      <c r="P79" s="283">
        <v>7881</v>
      </c>
      <c r="Q79" s="283">
        <v>3086</v>
      </c>
      <c r="R79" s="283">
        <v>928</v>
      </c>
      <c r="S79" s="282">
        <v>329</v>
      </c>
      <c r="T79" s="281">
        <v>3807831</v>
      </c>
      <c r="U79" s="283">
        <v>3445350</v>
      </c>
      <c r="V79" s="283">
        <v>1638278</v>
      </c>
      <c r="W79" s="283">
        <v>1112345</v>
      </c>
      <c r="X79" s="283">
        <v>355193</v>
      </c>
      <c r="Y79" s="283">
        <v>167828</v>
      </c>
      <c r="Z79" s="283">
        <v>59684</v>
      </c>
      <c r="AA79" s="283">
        <v>26119</v>
      </c>
      <c r="AB79" s="283">
        <v>8855</v>
      </c>
      <c r="AC79" s="283">
        <v>3464</v>
      </c>
      <c r="AD79" s="281">
        <v>0</v>
      </c>
      <c r="AE79" s="283">
        <v>362481</v>
      </c>
      <c r="AF79" s="283">
        <v>2169553</v>
      </c>
      <c r="AG79" s="283">
        <v>2695486</v>
      </c>
      <c r="AH79" s="283">
        <v>3452638</v>
      </c>
      <c r="AI79" s="283">
        <v>3640003</v>
      </c>
      <c r="AJ79" s="283">
        <v>3748147</v>
      </c>
      <c r="AK79" s="283">
        <v>3781712</v>
      </c>
      <c r="AL79" s="283">
        <v>3798976</v>
      </c>
      <c r="AM79" s="282">
        <v>3804367</v>
      </c>
    </row>
    <row r="80" spans="1:39" s="10" customFormat="1" ht="15.6">
      <c r="A80" s="6"/>
      <c r="B80" s="7"/>
      <c r="C80" s="7"/>
      <c r="D80" s="267">
        <v>23</v>
      </c>
      <c r="E80" s="281">
        <v>19428</v>
      </c>
      <c r="F80" s="282">
        <v>576350</v>
      </c>
      <c r="G80" s="281">
        <v>0</v>
      </c>
      <c r="H80" s="283">
        <v>0</v>
      </c>
      <c r="I80" s="283">
        <v>3877131</v>
      </c>
      <c r="J80" s="281">
        <v>1713023</v>
      </c>
      <c r="K80" s="283">
        <v>1349850</v>
      </c>
      <c r="L80" s="283">
        <v>441717</v>
      </c>
      <c r="M80" s="283">
        <v>263324</v>
      </c>
      <c r="N80" s="283">
        <v>67342</v>
      </c>
      <c r="O80" s="283">
        <v>28074</v>
      </c>
      <c r="P80" s="283">
        <v>8679</v>
      </c>
      <c r="Q80" s="283">
        <v>3470</v>
      </c>
      <c r="R80" s="283">
        <v>1061</v>
      </c>
      <c r="S80" s="282">
        <v>380</v>
      </c>
      <c r="T80" s="281">
        <v>3877131</v>
      </c>
      <c r="U80" s="283">
        <v>3513958</v>
      </c>
      <c r="V80" s="283">
        <v>1697692</v>
      </c>
      <c r="W80" s="283">
        <v>1162513</v>
      </c>
      <c r="X80" s="283">
        <v>378585</v>
      </c>
      <c r="Y80" s="283">
        <v>182245</v>
      </c>
      <c r="Z80" s="283">
        <v>65875</v>
      </c>
      <c r="AA80" s="283">
        <v>29412</v>
      </c>
      <c r="AB80" s="283">
        <v>10140</v>
      </c>
      <c r="AC80" s="283">
        <v>4011</v>
      </c>
      <c r="AD80" s="281">
        <v>0</v>
      </c>
      <c r="AE80" s="283">
        <v>363173</v>
      </c>
      <c r="AF80" s="283">
        <v>2179439</v>
      </c>
      <c r="AG80" s="283">
        <v>2714618</v>
      </c>
      <c r="AH80" s="283">
        <v>3498546</v>
      </c>
      <c r="AI80" s="283">
        <v>3694886</v>
      </c>
      <c r="AJ80" s="283">
        <v>3811256</v>
      </c>
      <c r="AK80" s="283">
        <v>3847719</v>
      </c>
      <c r="AL80" s="283">
        <v>3866991</v>
      </c>
      <c r="AM80" s="282">
        <v>3873120</v>
      </c>
    </row>
    <row r="81" spans="1:39" s="10" customFormat="1" ht="15.6">
      <c r="A81" s="6"/>
      <c r="B81" s="7"/>
      <c r="C81" s="7"/>
      <c r="D81" s="267">
        <v>24</v>
      </c>
      <c r="E81" s="281">
        <v>16747</v>
      </c>
      <c r="F81" s="282">
        <v>514687</v>
      </c>
      <c r="G81" s="281">
        <v>0</v>
      </c>
      <c r="H81" s="283">
        <v>0</v>
      </c>
      <c r="I81" s="283">
        <v>3938794</v>
      </c>
      <c r="J81" s="281">
        <v>1729370</v>
      </c>
      <c r="K81" s="283">
        <v>1365572</v>
      </c>
      <c r="L81" s="283">
        <v>453933</v>
      </c>
      <c r="M81" s="283">
        <v>272915</v>
      </c>
      <c r="N81" s="283">
        <v>71481</v>
      </c>
      <c r="O81" s="283">
        <v>30258</v>
      </c>
      <c r="P81" s="283">
        <v>9527</v>
      </c>
      <c r="Q81" s="283">
        <v>3864</v>
      </c>
      <c r="R81" s="283">
        <v>1204</v>
      </c>
      <c r="S81" s="282">
        <v>434</v>
      </c>
      <c r="T81" s="281">
        <v>3938794</v>
      </c>
      <c r="U81" s="283">
        <v>3574996</v>
      </c>
      <c r="V81" s="283">
        <v>1751718</v>
      </c>
      <c r="W81" s="283">
        <v>1208664</v>
      </c>
      <c r="X81" s="283">
        <v>402928</v>
      </c>
      <c r="Y81" s="283">
        <v>196813</v>
      </c>
      <c r="Z81" s="283">
        <v>72427</v>
      </c>
      <c r="AA81" s="283">
        <v>32786</v>
      </c>
      <c r="AB81" s="283">
        <v>11506</v>
      </c>
      <c r="AC81" s="283">
        <v>4576</v>
      </c>
      <c r="AD81" s="281">
        <v>0</v>
      </c>
      <c r="AE81" s="283">
        <v>363798</v>
      </c>
      <c r="AF81" s="283">
        <v>2187076</v>
      </c>
      <c r="AG81" s="283">
        <v>2730130</v>
      </c>
      <c r="AH81" s="283">
        <v>3535866</v>
      </c>
      <c r="AI81" s="283">
        <v>3741981</v>
      </c>
      <c r="AJ81" s="283">
        <v>3866367</v>
      </c>
      <c r="AK81" s="283">
        <v>3906008</v>
      </c>
      <c r="AL81" s="283">
        <v>3927288</v>
      </c>
      <c r="AM81" s="282">
        <v>3934218</v>
      </c>
    </row>
    <row r="82" spans="1:39" s="10" customFormat="1" ht="15.6">
      <c r="A82" s="6"/>
      <c r="B82" s="7"/>
      <c r="C82" s="7"/>
      <c r="D82" s="267">
        <v>25</v>
      </c>
      <c r="E82" s="281">
        <v>14296</v>
      </c>
      <c r="F82" s="282">
        <v>455863</v>
      </c>
      <c r="G82" s="281">
        <v>0</v>
      </c>
      <c r="H82" s="283">
        <v>0</v>
      </c>
      <c r="I82" s="283">
        <v>3997618</v>
      </c>
      <c r="J82" s="281">
        <v>1744541</v>
      </c>
      <c r="K82" s="283">
        <v>1380233</v>
      </c>
      <c r="L82" s="283">
        <v>465841</v>
      </c>
      <c r="M82" s="283">
        <v>282616</v>
      </c>
      <c r="N82" s="283">
        <v>75338</v>
      </c>
      <c r="O82" s="283">
        <v>32354</v>
      </c>
      <c r="P82" s="283">
        <v>10352</v>
      </c>
      <c r="Q82" s="283">
        <v>4244</v>
      </c>
      <c r="R82" s="283">
        <v>1332</v>
      </c>
      <c r="S82" s="282">
        <v>491</v>
      </c>
      <c r="T82" s="281">
        <v>3997618</v>
      </c>
      <c r="U82" s="283">
        <v>3633310</v>
      </c>
      <c r="V82" s="283">
        <v>1804526</v>
      </c>
      <c r="W82" s="283">
        <v>1254851</v>
      </c>
      <c r="X82" s="283">
        <v>425739</v>
      </c>
      <c r="Y82" s="283">
        <v>210819</v>
      </c>
      <c r="Z82" s="283">
        <v>78807</v>
      </c>
      <c r="AA82" s="283">
        <v>36051</v>
      </c>
      <c r="AB82" s="283">
        <v>12755</v>
      </c>
      <c r="AC82" s="283">
        <v>5186</v>
      </c>
      <c r="AD82" s="281">
        <v>0</v>
      </c>
      <c r="AE82" s="283">
        <v>364308</v>
      </c>
      <c r="AF82" s="283">
        <v>2193092</v>
      </c>
      <c r="AG82" s="283">
        <v>2742767</v>
      </c>
      <c r="AH82" s="283">
        <v>3571879</v>
      </c>
      <c r="AI82" s="283">
        <v>3786799</v>
      </c>
      <c r="AJ82" s="283">
        <v>3918811</v>
      </c>
      <c r="AK82" s="283">
        <v>3961567</v>
      </c>
      <c r="AL82" s="283">
        <v>3984863</v>
      </c>
      <c r="AM82" s="282">
        <v>3992432</v>
      </c>
    </row>
    <row r="83" spans="1:39" s="10" customFormat="1" ht="15.6">
      <c r="A83" s="6"/>
      <c r="B83" s="7"/>
      <c r="C83" s="7"/>
      <c r="D83" s="267">
        <v>26</v>
      </c>
      <c r="E83" s="281">
        <v>12357</v>
      </c>
      <c r="F83" s="282">
        <v>407388</v>
      </c>
      <c r="G83" s="281">
        <v>0</v>
      </c>
      <c r="H83" s="283">
        <v>0</v>
      </c>
      <c r="I83" s="283">
        <v>4046093</v>
      </c>
      <c r="J83" s="281">
        <v>1756659</v>
      </c>
      <c r="K83" s="283">
        <v>1391981</v>
      </c>
      <c r="L83" s="283">
        <v>475510</v>
      </c>
      <c r="M83" s="283">
        <v>290510</v>
      </c>
      <c r="N83" s="283">
        <v>78987</v>
      </c>
      <c r="O83" s="283">
        <v>34306</v>
      </c>
      <c r="P83" s="283">
        <v>11165</v>
      </c>
      <c r="Q83" s="283">
        <v>4638</v>
      </c>
      <c r="R83" s="283">
        <v>1475</v>
      </c>
      <c r="S83" s="282">
        <v>549</v>
      </c>
      <c r="T83" s="281">
        <v>4046093</v>
      </c>
      <c r="U83" s="283">
        <v>3681415</v>
      </c>
      <c r="V83" s="283">
        <v>1848473</v>
      </c>
      <c r="W83" s="283">
        <v>1293473</v>
      </c>
      <c r="X83" s="283">
        <v>447381</v>
      </c>
      <c r="Y83" s="283">
        <v>223976</v>
      </c>
      <c r="Z83" s="283">
        <v>85130</v>
      </c>
      <c r="AA83" s="283">
        <v>39441</v>
      </c>
      <c r="AB83" s="283">
        <v>14137</v>
      </c>
      <c r="AC83" s="283">
        <v>5803</v>
      </c>
      <c r="AD83" s="281">
        <v>0</v>
      </c>
      <c r="AE83" s="283">
        <v>364678</v>
      </c>
      <c r="AF83" s="283">
        <v>2197620</v>
      </c>
      <c r="AG83" s="283">
        <v>2752620</v>
      </c>
      <c r="AH83" s="283">
        <v>3598712</v>
      </c>
      <c r="AI83" s="283">
        <v>3822117</v>
      </c>
      <c r="AJ83" s="283">
        <v>3960963</v>
      </c>
      <c r="AK83" s="283">
        <v>4006652</v>
      </c>
      <c r="AL83" s="283">
        <v>4031956</v>
      </c>
      <c r="AM83" s="282">
        <v>4040290</v>
      </c>
    </row>
    <row r="84" spans="1:39" s="10" customFormat="1" ht="15.6">
      <c r="A84" s="6"/>
      <c r="B84" s="7"/>
      <c r="C84" s="7"/>
      <c r="D84" s="267">
        <v>27</v>
      </c>
      <c r="E84" s="281">
        <v>10606</v>
      </c>
      <c r="F84" s="282">
        <v>361862</v>
      </c>
      <c r="G84" s="281">
        <v>0</v>
      </c>
      <c r="H84" s="283">
        <v>0</v>
      </c>
      <c r="I84" s="283">
        <v>4091619</v>
      </c>
      <c r="J84" s="281">
        <v>1767735</v>
      </c>
      <c r="K84" s="283">
        <v>1402741</v>
      </c>
      <c r="L84" s="283">
        <v>484460</v>
      </c>
      <c r="M84" s="283">
        <v>298016</v>
      </c>
      <c r="N84" s="283">
        <v>82603</v>
      </c>
      <c r="O84" s="283">
        <v>36392</v>
      </c>
      <c r="P84" s="283">
        <v>12006</v>
      </c>
      <c r="Q84" s="283">
        <v>5038</v>
      </c>
      <c r="R84" s="283">
        <v>1639</v>
      </c>
      <c r="S84" s="282">
        <v>629</v>
      </c>
      <c r="T84" s="281">
        <v>4091619</v>
      </c>
      <c r="U84" s="283">
        <v>3726625</v>
      </c>
      <c r="V84" s="283">
        <v>1890063</v>
      </c>
      <c r="W84" s="283">
        <v>1330731</v>
      </c>
      <c r="X84" s="283">
        <v>469079</v>
      </c>
      <c r="Y84" s="283">
        <v>238024</v>
      </c>
      <c r="Z84" s="283">
        <v>91708</v>
      </c>
      <c r="AA84" s="283">
        <v>42932</v>
      </c>
      <c r="AB84" s="283">
        <v>15740</v>
      </c>
      <c r="AC84" s="283">
        <v>6650</v>
      </c>
      <c r="AD84" s="281">
        <v>0</v>
      </c>
      <c r="AE84" s="283">
        <v>364994</v>
      </c>
      <c r="AF84" s="283">
        <v>2201556</v>
      </c>
      <c r="AG84" s="283">
        <v>2760888</v>
      </c>
      <c r="AH84" s="283">
        <v>3622540</v>
      </c>
      <c r="AI84" s="283">
        <v>3853595</v>
      </c>
      <c r="AJ84" s="283">
        <v>3999911</v>
      </c>
      <c r="AK84" s="283">
        <v>4048687</v>
      </c>
      <c r="AL84" s="283">
        <v>4075879</v>
      </c>
      <c r="AM84" s="282">
        <v>4084969</v>
      </c>
    </row>
    <row r="85" spans="1:39" s="10" customFormat="1" ht="15.6">
      <c r="A85" s="6"/>
      <c r="B85" s="7"/>
      <c r="C85" s="7"/>
      <c r="D85" s="267">
        <v>28</v>
      </c>
      <c r="E85" s="281">
        <v>9136</v>
      </c>
      <c r="F85" s="282">
        <v>322172</v>
      </c>
      <c r="G85" s="281">
        <v>0</v>
      </c>
      <c r="H85" s="283">
        <v>0</v>
      </c>
      <c r="I85" s="283">
        <v>4131309</v>
      </c>
      <c r="J85" s="281">
        <v>1777097</v>
      </c>
      <c r="K85" s="283">
        <v>1411854</v>
      </c>
      <c r="L85" s="283">
        <v>492241</v>
      </c>
      <c r="M85" s="283">
        <v>304561</v>
      </c>
      <c r="N85" s="283">
        <v>85994</v>
      </c>
      <c r="O85" s="283">
        <v>38345</v>
      </c>
      <c r="P85" s="283">
        <v>12856</v>
      </c>
      <c r="Q85" s="283">
        <v>5461</v>
      </c>
      <c r="R85" s="283">
        <v>1805</v>
      </c>
      <c r="S85" s="282">
        <v>697</v>
      </c>
      <c r="T85" s="281">
        <v>4131309</v>
      </c>
      <c r="U85" s="283">
        <v>3766066</v>
      </c>
      <c r="V85" s="283">
        <v>1926840</v>
      </c>
      <c r="W85" s="283">
        <v>1363800</v>
      </c>
      <c r="X85" s="283">
        <v>489532</v>
      </c>
      <c r="Y85" s="283">
        <v>251287</v>
      </c>
      <c r="Z85" s="283">
        <v>98353</v>
      </c>
      <c r="AA85" s="283">
        <v>46588</v>
      </c>
      <c r="AB85" s="283">
        <v>17340</v>
      </c>
      <c r="AC85" s="283">
        <v>7368</v>
      </c>
      <c r="AD85" s="281">
        <v>0</v>
      </c>
      <c r="AE85" s="283">
        <v>365243</v>
      </c>
      <c r="AF85" s="283">
        <v>2204469</v>
      </c>
      <c r="AG85" s="283">
        <v>2767509</v>
      </c>
      <c r="AH85" s="283">
        <v>3641777</v>
      </c>
      <c r="AI85" s="283">
        <v>3880022</v>
      </c>
      <c r="AJ85" s="283">
        <v>4032956</v>
      </c>
      <c r="AK85" s="283">
        <v>4084721</v>
      </c>
      <c r="AL85" s="283">
        <v>4113969</v>
      </c>
      <c r="AM85" s="282">
        <v>4123941</v>
      </c>
    </row>
    <row r="86" spans="1:39" s="10" customFormat="1" ht="15.6">
      <c r="A86" s="6"/>
      <c r="B86" s="7"/>
      <c r="C86" s="7"/>
      <c r="D86" s="267">
        <v>29</v>
      </c>
      <c r="E86" s="281">
        <v>7883</v>
      </c>
      <c r="F86" s="282">
        <v>287088</v>
      </c>
      <c r="G86" s="281">
        <v>0</v>
      </c>
      <c r="H86" s="283">
        <v>0</v>
      </c>
      <c r="I86" s="283">
        <v>4166393</v>
      </c>
      <c r="J86" s="281">
        <v>1785179</v>
      </c>
      <c r="K86" s="283">
        <v>1419775</v>
      </c>
      <c r="L86" s="283">
        <v>499169</v>
      </c>
      <c r="M86" s="283">
        <v>310528</v>
      </c>
      <c r="N86" s="283">
        <v>89069</v>
      </c>
      <c r="O86" s="283">
        <v>40158</v>
      </c>
      <c r="P86" s="283">
        <v>13580</v>
      </c>
      <c r="Q86" s="283">
        <v>5824</v>
      </c>
      <c r="R86" s="283">
        <v>1935</v>
      </c>
      <c r="S86" s="282">
        <v>753</v>
      </c>
      <c r="T86" s="281">
        <v>4166393</v>
      </c>
      <c r="U86" s="283">
        <v>3800989</v>
      </c>
      <c r="V86" s="283">
        <v>1959777</v>
      </c>
      <c r="W86" s="283">
        <v>1393854</v>
      </c>
      <c r="X86" s="283">
        <v>508018</v>
      </c>
      <c r="Y86" s="283">
        <v>263463</v>
      </c>
      <c r="Z86" s="283">
        <v>103995</v>
      </c>
      <c r="AA86" s="283">
        <v>49703</v>
      </c>
      <c r="AB86" s="283">
        <v>18591</v>
      </c>
      <c r="AC86" s="283">
        <v>7953</v>
      </c>
      <c r="AD86" s="281">
        <v>0</v>
      </c>
      <c r="AE86" s="283">
        <v>365404</v>
      </c>
      <c r="AF86" s="283">
        <v>2206616</v>
      </c>
      <c r="AG86" s="283">
        <v>2772539</v>
      </c>
      <c r="AH86" s="283">
        <v>3658375</v>
      </c>
      <c r="AI86" s="283">
        <v>3902930</v>
      </c>
      <c r="AJ86" s="283">
        <v>4062398</v>
      </c>
      <c r="AK86" s="283">
        <v>4116690</v>
      </c>
      <c r="AL86" s="283">
        <v>4147802</v>
      </c>
      <c r="AM86" s="282">
        <v>4158440</v>
      </c>
    </row>
    <row r="87" spans="1:39" s="10" customFormat="1" ht="15.6">
      <c r="A87" s="6"/>
      <c r="B87" s="7"/>
      <c r="C87" s="7"/>
      <c r="D87" s="274">
        <v>30</v>
      </c>
      <c r="E87" s="278">
        <v>6870</v>
      </c>
      <c r="F87" s="280">
        <v>257711</v>
      </c>
      <c r="G87" s="278">
        <v>0</v>
      </c>
      <c r="H87" s="279">
        <v>0</v>
      </c>
      <c r="I87" s="279">
        <v>4195770</v>
      </c>
      <c r="J87" s="278">
        <v>1791720</v>
      </c>
      <c r="K87" s="279">
        <v>1426190</v>
      </c>
      <c r="L87" s="279">
        <v>504807</v>
      </c>
      <c r="M87" s="279">
        <v>315471</v>
      </c>
      <c r="N87" s="279">
        <v>91871</v>
      </c>
      <c r="O87" s="279">
        <v>41836</v>
      </c>
      <c r="P87" s="279">
        <v>14328</v>
      </c>
      <c r="Q87" s="279">
        <v>6206</v>
      </c>
      <c r="R87" s="279">
        <v>2077</v>
      </c>
      <c r="S87" s="280">
        <v>806</v>
      </c>
      <c r="T87" s="278">
        <v>4195770</v>
      </c>
      <c r="U87" s="279">
        <v>3830240</v>
      </c>
      <c r="V87" s="279">
        <v>1987474</v>
      </c>
      <c r="W87" s="279">
        <v>1419466</v>
      </c>
      <c r="X87" s="279">
        <v>525066</v>
      </c>
      <c r="Y87" s="279">
        <v>274891</v>
      </c>
      <c r="Z87" s="279">
        <v>109843</v>
      </c>
      <c r="AA87" s="279">
        <v>52989</v>
      </c>
      <c r="AB87" s="279">
        <v>19957</v>
      </c>
      <c r="AC87" s="279">
        <v>8518</v>
      </c>
      <c r="AD87" s="278">
        <v>0</v>
      </c>
      <c r="AE87" s="279">
        <v>365530</v>
      </c>
      <c r="AF87" s="279">
        <v>2208296</v>
      </c>
      <c r="AG87" s="279">
        <v>2776304</v>
      </c>
      <c r="AH87" s="279">
        <v>3670704</v>
      </c>
      <c r="AI87" s="279">
        <v>3920879</v>
      </c>
      <c r="AJ87" s="279">
        <v>4085927</v>
      </c>
      <c r="AK87" s="279">
        <v>4142781</v>
      </c>
      <c r="AL87" s="279">
        <v>4175813</v>
      </c>
      <c r="AM87" s="280">
        <v>4187252</v>
      </c>
    </row>
    <row r="88" spans="1:39" s="10" customFormat="1" ht="15.6">
      <c r="A88" s="6"/>
      <c r="B88" s="7"/>
      <c r="C88" s="7"/>
      <c r="D88" s="267">
        <v>31</v>
      </c>
      <c r="E88" s="281">
        <v>5936</v>
      </c>
      <c r="F88" s="282">
        <v>229691</v>
      </c>
      <c r="G88" s="281">
        <v>0</v>
      </c>
      <c r="H88" s="283">
        <v>0</v>
      </c>
      <c r="I88" s="283">
        <v>4223790</v>
      </c>
      <c r="J88" s="281">
        <v>1797745</v>
      </c>
      <c r="K88" s="283">
        <v>1432102</v>
      </c>
      <c r="L88" s="283">
        <v>510098</v>
      </c>
      <c r="M88" s="283">
        <v>320146</v>
      </c>
      <c r="N88" s="283">
        <v>94631</v>
      </c>
      <c r="O88" s="283">
        <v>43575</v>
      </c>
      <c r="P88" s="283">
        <v>15156</v>
      </c>
      <c r="Q88" s="283">
        <v>6654</v>
      </c>
      <c r="R88" s="283">
        <v>2260</v>
      </c>
      <c r="S88" s="282">
        <v>902</v>
      </c>
      <c r="T88" s="281">
        <v>4223790</v>
      </c>
      <c r="U88" s="283">
        <v>3858147</v>
      </c>
      <c r="V88" s="283">
        <v>2014139</v>
      </c>
      <c r="W88" s="283">
        <v>1444283</v>
      </c>
      <c r="X88" s="283">
        <v>542223</v>
      </c>
      <c r="Y88" s="283">
        <v>286943</v>
      </c>
      <c r="Z88" s="283">
        <v>116429</v>
      </c>
      <c r="AA88" s="283">
        <v>56915</v>
      </c>
      <c r="AB88" s="283">
        <v>21763</v>
      </c>
      <c r="AC88" s="283">
        <v>9541</v>
      </c>
      <c r="AD88" s="284">
        <v>0</v>
      </c>
      <c r="AE88" s="285">
        <v>365643</v>
      </c>
      <c r="AF88" s="285">
        <v>2209651</v>
      </c>
      <c r="AG88" s="285">
        <v>2779507</v>
      </c>
      <c r="AH88" s="285">
        <v>3681567</v>
      </c>
      <c r="AI88" s="285">
        <v>3936847</v>
      </c>
      <c r="AJ88" s="285">
        <v>4107361</v>
      </c>
      <c r="AK88" s="285">
        <v>4166875</v>
      </c>
      <c r="AL88" s="285">
        <v>4202027</v>
      </c>
      <c r="AM88" s="286">
        <v>4214249</v>
      </c>
    </row>
    <row r="89" spans="1:39" s="10" customFormat="1" ht="15.6">
      <c r="A89" s="6"/>
      <c r="B89" s="7"/>
      <c r="C89" s="7"/>
      <c r="D89" s="267">
        <v>32</v>
      </c>
      <c r="E89" s="281">
        <v>5147</v>
      </c>
      <c r="F89" s="282">
        <v>205232</v>
      </c>
      <c r="G89" s="281">
        <v>0</v>
      </c>
      <c r="H89" s="283">
        <v>0</v>
      </c>
      <c r="I89" s="283">
        <v>4248249</v>
      </c>
      <c r="J89" s="281">
        <v>1802924</v>
      </c>
      <c r="K89" s="283">
        <v>1437185</v>
      </c>
      <c r="L89" s="283">
        <v>514672</v>
      </c>
      <c r="M89" s="283">
        <v>324205</v>
      </c>
      <c r="N89" s="283">
        <v>97103</v>
      </c>
      <c r="O89" s="283">
        <v>45172</v>
      </c>
      <c r="P89" s="283">
        <v>15959</v>
      </c>
      <c r="Q89" s="283">
        <v>7057</v>
      </c>
      <c r="R89" s="283">
        <v>2424</v>
      </c>
      <c r="S89" s="282">
        <v>972</v>
      </c>
      <c r="T89" s="281">
        <v>4248249</v>
      </c>
      <c r="U89" s="283">
        <v>3882510</v>
      </c>
      <c r="V89" s="283">
        <v>2037484</v>
      </c>
      <c r="W89" s="283">
        <v>1466083</v>
      </c>
      <c r="X89" s="283">
        <v>557675</v>
      </c>
      <c r="Y89" s="283">
        <v>298020</v>
      </c>
      <c r="Z89" s="283">
        <v>122742</v>
      </c>
      <c r="AA89" s="283">
        <v>60428</v>
      </c>
      <c r="AB89" s="283">
        <v>23364</v>
      </c>
      <c r="AC89" s="283">
        <v>10296</v>
      </c>
      <c r="AD89" s="281">
        <v>0</v>
      </c>
      <c r="AE89" s="283">
        <v>365739</v>
      </c>
      <c r="AF89" s="283">
        <v>2210765</v>
      </c>
      <c r="AG89" s="283">
        <v>2782166</v>
      </c>
      <c r="AH89" s="283">
        <v>3690574</v>
      </c>
      <c r="AI89" s="283">
        <v>3950229</v>
      </c>
      <c r="AJ89" s="283">
        <v>4125507</v>
      </c>
      <c r="AK89" s="283">
        <v>4187821</v>
      </c>
      <c r="AL89" s="283">
        <v>4224885</v>
      </c>
      <c r="AM89" s="282">
        <v>4237953</v>
      </c>
    </row>
    <row r="90" spans="1:39" s="10" customFormat="1" ht="15.6">
      <c r="A90" s="6"/>
      <c r="B90" s="7"/>
      <c r="C90" s="7"/>
      <c r="D90" s="267">
        <v>33</v>
      </c>
      <c r="E90" s="281">
        <v>4499</v>
      </c>
      <c r="F90" s="282">
        <v>184496</v>
      </c>
      <c r="G90" s="281">
        <v>0</v>
      </c>
      <c r="H90" s="283">
        <v>0</v>
      </c>
      <c r="I90" s="283">
        <v>4268985</v>
      </c>
      <c r="J90" s="281">
        <v>1807192</v>
      </c>
      <c r="K90" s="283">
        <v>1441389</v>
      </c>
      <c r="L90" s="283">
        <v>518460</v>
      </c>
      <c r="M90" s="283">
        <v>327642</v>
      </c>
      <c r="N90" s="283">
        <v>99263</v>
      </c>
      <c r="O90" s="283">
        <v>46659</v>
      </c>
      <c r="P90" s="283">
        <v>16660</v>
      </c>
      <c r="Q90" s="283">
        <v>7454</v>
      </c>
      <c r="R90" s="283">
        <v>2599</v>
      </c>
      <c r="S90" s="282">
        <v>1049</v>
      </c>
      <c r="T90" s="281">
        <v>4268985</v>
      </c>
      <c r="U90" s="283">
        <v>3903182</v>
      </c>
      <c r="V90" s="283">
        <v>2057324</v>
      </c>
      <c r="W90" s="283">
        <v>1484870</v>
      </c>
      <c r="X90" s="283">
        <v>571354</v>
      </c>
      <c r="Y90" s="283">
        <v>308334</v>
      </c>
      <c r="Z90" s="283">
        <v>128340</v>
      </c>
      <c r="AA90" s="283">
        <v>63898</v>
      </c>
      <c r="AB90" s="283">
        <v>25058</v>
      </c>
      <c r="AC90" s="283">
        <v>11108</v>
      </c>
      <c r="AD90" s="281">
        <v>0</v>
      </c>
      <c r="AE90" s="283">
        <v>365803</v>
      </c>
      <c r="AF90" s="283">
        <v>2211661</v>
      </c>
      <c r="AG90" s="283">
        <v>2784115</v>
      </c>
      <c r="AH90" s="283">
        <v>3697631</v>
      </c>
      <c r="AI90" s="283">
        <v>3960651</v>
      </c>
      <c r="AJ90" s="283">
        <v>4140645</v>
      </c>
      <c r="AK90" s="283">
        <v>4205087</v>
      </c>
      <c r="AL90" s="283">
        <v>4243927</v>
      </c>
      <c r="AM90" s="282">
        <v>4257877</v>
      </c>
    </row>
    <row r="91" spans="1:39" s="10" customFormat="1" ht="15.6">
      <c r="A91" s="6"/>
      <c r="B91" s="7"/>
      <c r="C91" s="7"/>
      <c r="D91" s="267">
        <v>34</v>
      </c>
      <c r="E91" s="281">
        <v>3940</v>
      </c>
      <c r="F91" s="282">
        <v>166049</v>
      </c>
      <c r="G91" s="281">
        <v>0</v>
      </c>
      <c r="H91" s="283">
        <v>0</v>
      </c>
      <c r="I91" s="283">
        <v>4287432</v>
      </c>
      <c r="J91" s="281">
        <v>1810868</v>
      </c>
      <c r="K91" s="283">
        <v>1445008</v>
      </c>
      <c r="L91" s="283">
        <v>521776</v>
      </c>
      <c r="M91" s="283">
        <v>330654</v>
      </c>
      <c r="N91" s="283">
        <v>101292</v>
      </c>
      <c r="O91" s="283">
        <v>48022</v>
      </c>
      <c r="P91" s="283">
        <v>17361</v>
      </c>
      <c r="Q91" s="283">
        <v>7852</v>
      </c>
      <c r="R91" s="283">
        <v>2775</v>
      </c>
      <c r="S91" s="282">
        <v>1130</v>
      </c>
      <c r="T91" s="281">
        <v>4287432</v>
      </c>
      <c r="U91" s="283">
        <v>3921572</v>
      </c>
      <c r="V91" s="283">
        <v>2075108</v>
      </c>
      <c r="W91" s="283">
        <v>1501742</v>
      </c>
      <c r="X91" s="283">
        <v>584294</v>
      </c>
      <c r="Y91" s="283">
        <v>317944</v>
      </c>
      <c r="Z91" s="283">
        <v>133978</v>
      </c>
      <c r="AA91" s="283">
        <v>67415</v>
      </c>
      <c r="AB91" s="283">
        <v>26799</v>
      </c>
      <c r="AC91" s="283">
        <v>11994</v>
      </c>
      <c r="AD91" s="281">
        <v>0</v>
      </c>
      <c r="AE91" s="283">
        <v>365860</v>
      </c>
      <c r="AF91" s="283">
        <v>2212324</v>
      </c>
      <c r="AG91" s="283">
        <v>2785690</v>
      </c>
      <c r="AH91" s="283">
        <v>3703138</v>
      </c>
      <c r="AI91" s="283">
        <v>3969488</v>
      </c>
      <c r="AJ91" s="283">
        <v>4153454</v>
      </c>
      <c r="AK91" s="283">
        <v>4220017</v>
      </c>
      <c r="AL91" s="283">
        <v>4260633</v>
      </c>
      <c r="AM91" s="282">
        <v>4275438</v>
      </c>
    </row>
    <row r="92" spans="1:39" s="10" customFormat="1" ht="15.6">
      <c r="A92" s="6"/>
      <c r="B92" s="7"/>
      <c r="C92" s="7"/>
      <c r="D92" s="267">
        <v>35</v>
      </c>
      <c r="E92" s="281">
        <v>3433</v>
      </c>
      <c r="F92" s="282">
        <v>148811</v>
      </c>
      <c r="G92" s="281">
        <v>0</v>
      </c>
      <c r="H92" s="283">
        <v>0</v>
      </c>
      <c r="I92" s="283">
        <v>4304670</v>
      </c>
      <c r="J92" s="281">
        <v>1814216</v>
      </c>
      <c r="K92" s="283">
        <v>1448308</v>
      </c>
      <c r="L92" s="283">
        <v>524822</v>
      </c>
      <c r="M92" s="283">
        <v>333435</v>
      </c>
      <c r="N92" s="283">
        <v>103237</v>
      </c>
      <c r="O92" s="283">
        <v>49400</v>
      </c>
      <c r="P92" s="283">
        <v>18076</v>
      </c>
      <c r="Q92" s="283">
        <v>8237</v>
      </c>
      <c r="R92" s="283">
        <v>2952</v>
      </c>
      <c r="S92" s="282">
        <v>1219</v>
      </c>
      <c r="T92" s="281">
        <v>4304670</v>
      </c>
      <c r="U92" s="283">
        <v>3938762</v>
      </c>
      <c r="V92" s="283">
        <v>2091790</v>
      </c>
      <c r="W92" s="283">
        <v>1517629</v>
      </c>
      <c r="X92" s="283">
        <v>596837</v>
      </c>
      <c r="Y92" s="283">
        <v>327652</v>
      </c>
      <c r="Z92" s="283">
        <v>139708</v>
      </c>
      <c r="AA92" s="283">
        <v>70835</v>
      </c>
      <c r="AB92" s="283">
        <v>28555</v>
      </c>
      <c r="AC92" s="283">
        <v>12958</v>
      </c>
      <c r="AD92" s="281">
        <v>0</v>
      </c>
      <c r="AE92" s="283">
        <v>365908</v>
      </c>
      <c r="AF92" s="283">
        <v>2212880</v>
      </c>
      <c r="AG92" s="283">
        <v>2787041</v>
      </c>
      <c r="AH92" s="283">
        <v>3707833</v>
      </c>
      <c r="AI92" s="283">
        <v>3977018</v>
      </c>
      <c r="AJ92" s="283">
        <v>4164962</v>
      </c>
      <c r="AK92" s="283">
        <v>4233835</v>
      </c>
      <c r="AL92" s="283">
        <v>4276115</v>
      </c>
      <c r="AM92" s="282">
        <v>4291712</v>
      </c>
    </row>
    <row r="93" spans="1:39" s="10" customFormat="1" ht="15.6">
      <c r="A93" s="6"/>
      <c r="B93" s="7"/>
      <c r="C93" s="7"/>
      <c r="D93" s="267">
        <v>36</v>
      </c>
      <c r="E93" s="281">
        <v>3055</v>
      </c>
      <c r="F93" s="282">
        <v>135581</v>
      </c>
      <c r="G93" s="281">
        <v>0</v>
      </c>
      <c r="H93" s="283">
        <v>0</v>
      </c>
      <c r="I93" s="283">
        <v>4317900</v>
      </c>
      <c r="J93" s="281">
        <v>1816723</v>
      </c>
      <c r="K93" s="283">
        <v>1450784</v>
      </c>
      <c r="L93" s="283">
        <v>527131</v>
      </c>
      <c r="M93" s="283">
        <v>335540</v>
      </c>
      <c r="N93" s="283">
        <v>104764</v>
      </c>
      <c r="O93" s="283">
        <v>50461</v>
      </c>
      <c r="P93" s="283">
        <v>18682</v>
      </c>
      <c r="Q93" s="283">
        <v>8585</v>
      </c>
      <c r="R93" s="283">
        <v>3103</v>
      </c>
      <c r="S93" s="282">
        <v>1294</v>
      </c>
      <c r="T93" s="281">
        <v>4317900</v>
      </c>
      <c r="U93" s="283">
        <v>3951961</v>
      </c>
      <c r="V93" s="283">
        <v>2104655</v>
      </c>
      <c r="W93" s="283">
        <v>1529882</v>
      </c>
      <c r="X93" s="283">
        <v>606778</v>
      </c>
      <c r="Y93" s="283">
        <v>335263</v>
      </c>
      <c r="Z93" s="283">
        <v>144589</v>
      </c>
      <c r="AA93" s="283">
        <v>73910</v>
      </c>
      <c r="AB93" s="283">
        <v>30054</v>
      </c>
      <c r="AC93" s="283">
        <v>13773</v>
      </c>
      <c r="AD93" s="281">
        <v>0</v>
      </c>
      <c r="AE93" s="283">
        <v>365939</v>
      </c>
      <c r="AF93" s="283">
        <v>2213245</v>
      </c>
      <c r="AG93" s="283">
        <v>2788018</v>
      </c>
      <c r="AH93" s="283">
        <v>3711122</v>
      </c>
      <c r="AI93" s="283">
        <v>3982637</v>
      </c>
      <c r="AJ93" s="283">
        <v>4173311</v>
      </c>
      <c r="AK93" s="283">
        <v>4243990</v>
      </c>
      <c r="AL93" s="283">
        <v>4287846</v>
      </c>
      <c r="AM93" s="282">
        <v>4304127</v>
      </c>
    </row>
    <row r="94" spans="1:39" s="10" customFormat="1" ht="15.6">
      <c r="A94" s="6"/>
      <c r="B94" s="7"/>
      <c r="C94" s="7"/>
      <c r="D94" s="267">
        <v>37</v>
      </c>
      <c r="E94" s="281">
        <v>2704</v>
      </c>
      <c r="F94" s="282">
        <v>122945</v>
      </c>
      <c r="G94" s="281">
        <v>0</v>
      </c>
      <c r="H94" s="283">
        <v>0</v>
      </c>
      <c r="I94" s="283">
        <v>4330536</v>
      </c>
      <c r="J94" s="281">
        <v>1819058</v>
      </c>
      <c r="K94" s="283">
        <v>1453087</v>
      </c>
      <c r="L94" s="283">
        <v>529286</v>
      </c>
      <c r="M94" s="283">
        <v>337521</v>
      </c>
      <c r="N94" s="283">
        <v>106250</v>
      </c>
      <c r="O94" s="283">
        <v>51566</v>
      </c>
      <c r="P94" s="283">
        <v>19308</v>
      </c>
      <c r="Q94" s="283">
        <v>8950</v>
      </c>
      <c r="R94" s="283">
        <v>3262</v>
      </c>
      <c r="S94" s="282">
        <v>1368</v>
      </c>
      <c r="T94" s="281">
        <v>4330536</v>
      </c>
      <c r="U94" s="283">
        <v>3964565</v>
      </c>
      <c r="V94" s="283">
        <v>2116963</v>
      </c>
      <c r="W94" s="283">
        <v>1541668</v>
      </c>
      <c r="X94" s="283">
        <v>616584</v>
      </c>
      <c r="Y94" s="283">
        <v>343164</v>
      </c>
      <c r="Z94" s="283">
        <v>149616</v>
      </c>
      <c r="AA94" s="283">
        <v>77110</v>
      </c>
      <c r="AB94" s="283">
        <v>31606</v>
      </c>
      <c r="AC94" s="283">
        <v>14560</v>
      </c>
      <c r="AD94" s="281">
        <v>0</v>
      </c>
      <c r="AE94" s="283">
        <v>365971</v>
      </c>
      <c r="AF94" s="283">
        <v>2213573</v>
      </c>
      <c r="AG94" s="283">
        <v>2788868</v>
      </c>
      <c r="AH94" s="283">
        <v>3713952</v>
      </c>
      <c r="AI94" s="283">
        <v>3987372</v>
      </c>
      <c r="AJ94" s="283">
        <v>4180920</v>
      </c>
      <c r="AK94" s="283">
        <v>4253426</v>
      </c>
      <c r="AL94" s="283">
        <v>4298930</v>
      </c>
      <c r="AM94" s="282">
        <v>4315976</v>
      </c>
    </row>
    <row r="95" spans="1:39" s="10" customFormat="1" ht="15.6">
      <c r="A95" s="6"/>
      <c r="B95" s="7"/>
      <c r="C95" s="7"/>
      <c r="D95" s="267">
        <v>38</v>
      </c>
      <c r="E95" s="281">
        <v>2377</v>
      </c>
      <c r="F95" s="282">
        <v>110846</v>
      </c>
      <c r="G95" s="281">
        <v>0</v>
      </c>
      <c r="H95" s="283">
        <v>0</v>
      </c>
      <c r="I95" s="283">
        <v>4342635</v>
      </c>
      <c r="J95" s="281">
        <v>1821228</v>
      </c>
      <c r="K95" s="283">
        <v>1455230</v>
      </c>
      <c r="L95" s="283">
        <v>531311</v>
      </c>
      <c r="M95" s="283">
        <v>339407</v>
      </c>
      <c r="N95" s="283">
        <v>107736</v>
      </c>
      <c r="O95" s="283">
        <v>52647</v>
      </c>
      <c r="P95" s="283">
        <v>19926</v>
      </c>
      <c r="Q95" s="283">
        <v>9318</v>
      </c>
      <c r="R95" s="283">
        <v>3438</v>
      </c>
      <c r="S95" s="282">
        <v>1450</v>
      </c>
      <c r="T95" s="281">
        <v>4342635</v>
      </c>
      <c r="U95" s="283">
        <v>3976637</v>
      </c>
      <c r="V95" s="283">
        <v>2128799</v>
      </c>
      <c r="W95" s="283">
        <v>1553087</v>
      </c>
      <c r="X95" s="283">
        <v>626403</v>
      </c>
      <c r="Y95" s="283">
        <v>350958</v>
      </c>
      <c r="Z95" s="283">
        <v>154632</v>
      </c>
      <c r="AA95" s="283">
        <v>80376</v>
      </c>
      <c r="AB95" s="283">
        <v>33336</v>
      </c>
      <c r="AC95" s="283">
        <v>15444</v>
      </c>
      <c r="AD95" s="281">
        <v>0</v>
      </c>
      <c r="AE95" s="283">
        <v>365998</v>
      </c>
      <c r="AF95" s="283">
        <v>2213836</v>
      </c>
      <c r="AG95" s="283">
        <v>2789548</v>
      </c>
      <c r="AH95" s="283">
        <v>3716232</v>
      </c>
      <c r="AI95" s="283">
        <v>3991677</v>
      </c>
      <c r="AJ95" s="283">
        <v>4188003</v>
      </c>
      <c r="AK95" s="283">
        <v>4262259</v>
      </c>
      <c r="AL95" s="283">
        <v>4309299</v>
      </c>
      <c r="AM95" s="282">
        <v>4327191</v>
      </c>
    </row>
    <row r="96" spans="1:39" s="10" customFormat="1" ht="15.6">
      <c r="A96" s="6"/>
      <c r="B96" s="7"/>
      <c r="C96" s="7"/>
      <c r="D96" s="267">
        <v>39</v>
      </c>
      <c r="E96" s="281">
        <v>2105</v>
      </c>
      <c r="F96" s="282">
        <v>100510</v>
      </c>
      <c r="G96" s="281">
        <v>0</v>
      </c>
      <c r="H96" s="283">
        <v>0</v>
      </c>
      <c r="I96" s="283">
        <v>4352971</v>
      </c>
      <c r="J96" s="281">
        <v>1823057</v>
      </c>
      <c r="K96" s="283">
        <v>1457030</v>
      </c>
      <c r="L96" s="283">
        <v>533010</v>
      </c>
      <c r="M96" s="283">
        <v>340991</v>
      </c>
      <c r="N96" s="283">
        <v>108985</v>
      </c>
      <c r="O96" s="283">
        <v>53610</v>
      </c>
      <c r="P96" s="283">
        <v>20475</v>
      </c>
      <c r="Q96" s="283">
        <v>9667</v>
      </c>
      <c r="R96" s="283">
        <v>3603</v>
      </c>
      <c r="S96" s="282">
        <v>1527</v>
      </c>
      <c r="T96" s="281">
        <v>4352971</v>
      </c>
      <c r="U96" s="283">
        <v>3986944</v>
      </c>
      <c r="V96" s="283">
        <v>2138904</v>
      </c>
      <c r="W96" s="283">
        <v>1562847</v>
      </c>
      <c r="X96" s="283">
        <v>634823</v>
      </c>
      <c r="Y96" s="283">
        <v>357948</v>
      </c>
      <c r="Z96" s="283">
        <v>159138</v>
      </c>
      <c r="AA96" s="283">
        <v>83482</v>
      </c>
      <c r="AB96" s="283">
        <v>34970</v>
      </c>
      <c r="AC96" s="283">
        <v>16286</v>
      </c>
      <c r="AD96" s="281">
        <v>0</v>
      </c>
      <c r="AE96" s="283">
        <v>366027</v>
      </c>
      <c r="AF96" s="283">
        <v>2214067</v>
      </c>
      <c r="AG96" s="283">
        <v>2790124</v>
      </c>
      <c r="AH96" s="283">
        <v>3718148</v>
      </c>
      <c r="AI96" s="283">
        <v>3995023</v>
      </c>
      <c r="AJ96" s="283">
        <v>4193833</v>
      </c>
      <c r="AK96" s="283">
        <v>4269489</v>
      </c>
      <c r="AL96" s="283">
        <v>4318001</v>
      </c>
      <c r="AM96" s="282">
        <v>4336685</v>
      </c>
    </row>
    <row r="97" spans="1:39" s="10" customFormat="1" ht="15.6">
      <c r="A97" s="6"/>
      <c r="B97" s="7"/>
      <c r="C97" s="7"/>
      <c r="D97" s="274">
        <v>40</v>
      </c>
      <c r="E97" s="278">
        <v>1868</v>
      </c>
      <c r="F97" s="280">
        <v>91267</v>
      </c>
      <c r="G97" s="278">
        <v>0</v>
      </c>
      <c r="H97" s="279">
        <v>0</v>
      </c>
      <c r="I97" s="279">
        <v>4362214</v>
      </c>
      <c r="J97" s="278">
        <v>1824640</v>
      </c>
      <c r="K97" s="279">
        <v>1458600</v>
      </c>
      <c r="L97" s="279">
        <v>534509</v>
      </c>
      <c r="M97" s="279">
        <v>342397</v>
      </c>
      <c r="N97" s="279">
        <v>110097</v>
      </c>
      <c r="O97" s="279">
        <v>54480</v>
      </c>
      <c r="P97" s="279">
        <v>21021</v>
      </c>
      <c r="Q97" s="279">
        <v>9999</v>
      </c>
      <c r="R97" s="279">
        <v>3773</v>
      </c>
      <c r="S97" s="280">
        <v>1614</v>
      </c>
      <c r="T97" s="278">
        <v>4362214</v>
      </c>
      <c r="U97" s="279">
        <v>3996174</v>
      </c>
      <c r="V97" s="279">
        <v>2147992</v>
      </c>
      <c r="W97" s="279">
        <v>1571656</v>
      </c>
      <c r="X97" s="279">
        <v>642456</v>
      </c>
      <c r="Y97" s="279">
        <v>364371</v>
      </c>
      <c r="Z97" s="279">
        <v>163617</v>
      </c>
      <c r="AA97" s="279">
        <v>86463</v>
      </c>
      <c r="AB97" s="279">
        <v>36655</v>
      </c>
      <c r="AC97" s="279">
        <v>17224</v>
      </c>
      <c r="AD97" s="278">
        <v>0</v>
      </c>
      <c r="AE97" s="279">
        <v>366040</v>
      </c>
      <c r="AF97" s="279">
        <v>2214222</v>
      </c>
      <c r="AG97" s="279">
        <v>2790558</v>
      </c>
      <c r="AH97" s="279">
        <v>3719758</v>
      </c>
      <c r="AI97" s="279">
        <v>3997843</v>
      </c>
      <c r="AJ97" s="279">
        <v>4198597</v>
      </c>
      <c r="AK97" s="279">
        <v>4275751</v>
      </c>
      <c r="AL97" s="279">
        <v>4325559</v>
      </c>
      <c r="AM97" s="280">
        <v>4344990</v>
      </c>
    </row>
    <row r="98" spans="1:39" s="10" customFormat="1" ht="15.6">
      <c r="A98" s="6"/>
      <c r="B98" s="7"/>
      <c r="C98" s="7"/>
      <c r="D98" s="274" t="s">
        <v>303</v>
      </c>
      <c r="E98" s="278">
        <v>1632</v>
      </c>
      <c r="F98" s="280">
        <v>81827</v>
      </c>
      <c r="G98" s="278">
        <v>0</v>
      </c>
      <c r="H98" s="279">
        <v>0</v>
      </c>
      <c r="I98" s="279">
        <v>4371654</v>
      </c>
      <c r="J98" s="278">
        <v>1826220</v>
      </c>
      <c r="K98" s="279">
        <v>1460159</v>
      </c>
      <c r="L98" s="279">
        <v>535984</v>
      </c>
      <c r="M98" s="279">
        <v>343782</v>
      </c>
      <c r="N98" s="279">
        <v>111224</v>
      </c>
      <c r="O98" s="279">
        <v>55425</v>
      </c>
      <c r="P98" s="279">
        <v>21627</v>
      </c>
      <c r="Q98" s="279">
        <v>10404</v>
      </c>
      <c r="R98" s="279">
        <v>3967</v>
      </c>
      <c r="S98" s="280">
        <v>1700</v>
      </c>
      <c r="T98" s="278">
        <v>4371654</v>
      </c>
      <c r="U98" s="279">
        <v>4005593</v>
      </c>
      <c r="V98" s="279">
        <v>2157243</v>
      </c>
      <c r="W98" s="279">
        <v>1580637</v>
      </c>
      <c r="X98" s="279">
        <v>650405</v>
      </c>
      <c r="Y98" s="279">
        <v>371410</v>
      </c>
      <c r="Z98" s="279">
        <v>168622</v>
      </c>
      <c r="AA98" s="279">
        <v>90061</v>
      </c>
      <c r="AB98" s="279">
        <v>38565</v>
      </c>
      <c r="AC98" s="279">
        <v>18162</v>
      </c>
      <c r="AD98" s="275">
        <v>0</v>
      </c>
      <c r="AE98" s="277">
        <v>366061</v>
      </c>
      <c r="AF98" s="277">
        <v>2214411</v>
      </c>
      <c r="AG98" s="277">
        <v>2791017</v>
      </c>
      <c r="AH98" s="277">
        <v>3721249</v>
      </c>
      <c r="AI98" s="277">
        <v>4000244</v>
      </c>
      <c r="AJ98" s="277">
        <v>4203032</v>
      </c>
      <c r="AK98" s="277">
        <v>4281593</v>
      </c>
      <c r="AL98" s="277">
        <v>4333089</v>
      </c>
      <c r="AM98" s="276">
        <v>4353492</v>
      </c>
    </row>
    <row r="99" spans="1:39" s="10" customFormat="1" ht="15.6">
      <c r="A99" s="6"/>
      <c r="B99" s="7"/>
      <c r="C99" s="7"/>
      <c r="D99" s="8"/>
      <c r="E99" s="9"/>
    </row>
    <row r="100" spans="1:39" s="10" customFormat="1" ht="15.6">
      <c r="A100" s="49"/>
      <c r="B100" s="49"/>
      <c r="C100" s="49"/>
      <c r="D100" s="46" t="s">
        <v>212</v>
      </c>
      <c r="E100" s="45"/>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row>
    <row r="101" spans="1:39" s="10" customFormat="1" ht="15.6">
      <c r="A101" s="6"/>
      <c r="B101" s="7"/>
      <c r="C101" s="7"/>
      <c r="D101" s="8"/>
      <c r="E101" s="9"/>
    </row>
    <row r="102" spans="1:39" s="10" customFormat="1" ht="14.45" customHeight="1">
      <c r="A102" s="6"/>
      <c r="B102" s="7"/>
      <c r="C102" s="7"/>
      <c r="D102" s="352" t="s">
        <v>294</v>
      </c>
      <c r="E102" s="353" t="s">
        <v>295</v>
      </c>
      <c r="F102" s="353"/>
      <c r="G102" s="353" t="s">
        <v>296</v>
      </c>
      <c r="H102" s="353"/>
      <c r="I102" s="353"/>
      <c r="J102" s="354" t="s">
        <v>297</v>
      </c>
      <c r="K102" s="355"/>
      <c r="L102" s="355"/>
      <c r="M102" s="355"/>
      <c r="N102" s="355"/>
      <c r="O102" s="355"/>
      <c r="P102" s="355"/>
      <c r="Q102" s="355"/>
      <c r="R102" s="355"/>
      <c r="S102" s="355"/>
      <c r="T102" s="355"/>
      <c r="U102" s="355"/>
      <c r="V102" s="355"/>
      <c r="W102" s="355"/>
      <c r="X102" s="355"/>
      <c r="Y102" s="355"/>
      <c r="Z102" s="355"/>
      <c r="AA102" s="355"/>
      <c r="AB102" s="355"/>
      <c r="AC102" s="355"/>
      <c r="AD102" s="355"/>
      <c r="AE102" s="355"/>
      <c r="AF102" s="355"/>
      <c r="AG102" s="355"/>
      <c r="AH102" s="355"/>
      <c r="AI102" s="355"/>
      <c r="AJ102" s="355"/>
      <c r="AK102" s="355"/>
      <c r="AL102" s="355"/>
      <c r="AM102" s="355"/>
    </row>
    <row r="103" spans="1:39" s="10" customFormat="1" ht="15.6">
      <c r="A103" s="6"/>
      <c r="B103" s="7"/>
      <c r="C103" s="7"/>
      <c r="D103" s="352"/>
      <c r="E103" s="353"/>
      <c r="F103" s="353"/>
      <c r="G103" s="353"/>
      <c r="H103" s="353"/>
      <c r="I103" s="353"/>
      <c r="J103" s="356" t="s">
        <v>298</v>
      </c>
      <c r="K103" s="357"/>
      <c r="L103" s="357"/>
      <c r="M103" s="357"/>
      <c r="N103" s="357"/>
      <c r="O103" s="357"/>
      <c r="P103" s="357"/>
      <c r="Q103" s="357"/>
      <c r="R103" s="357"/>
      <c r="S103" s="358"/>
      <c r="T103" s="356" t="s">
        <v>299</v>
      </c>
      <c r="U103" s="357"/>
      <c r="V103" s="357"/>
      <c r="W103" s="357"/>
      <c r="X103" s="357"/>
      <c r="Y103" s="357"/>
      <c r="Z103" s="357"/>
      <c r="AA103" s="357"/>
      <c r="AB103" s="357"/>
      <c r="AC103" s="358"/>
      <c r="AD103" s="356" t="s">
        <v>300</v>
      </c>
      <c r="AE103" s="357"/>
      <c r="AF103" s="357"/>
      <c r="AG103" s="357"/>
      <c r="AH103" s="357"/>
      <c r="AI103" s="357"/>
      <c r="AJ103" s="357"/>
      <c r="AK103" s="357"/>
      <c r="AL103" s="357"/>
      <c r="AM103" s="358"/>
    </row>
    <row r="104" spans="1:39" s="10" customFormat="1" ht="15.6">
      <c r="A104" s="6"/>
      <c r="B104" s="7"/>
      <c r="C104" s="7"/>
      <c r="D104" s="352"/>
      <c r="E104" s="254" t="s">
        <v>295</v>
      </c>
      <c r="F104" s="254" t="s">
        <v>301</v>
      </c>
      <c r="G104" s="254" t="s">
        <v>298</v>
      </c>
      <c r="H104" s="255" t="s">
        <v>299</v>
      </c>
      <c r="I104" s="256" t="s">
        <v>302</v>
      </c>
      <c r="J104" s="257">
        <v>1</v>
      </c>
      <c r="K104" s="258">
        <v>2</v>
      </c>
      <c r="L104" s="258">
        <v>3</v>
      </c>
      <c r="M104" s="258">
        <v>4</v>
      </c>
      <c r="N104" s="258">
        <v>5</v>
      </c>
      <c r="O104" s="258">
        <v>6</v>
      </c>
      <c r="P104" s="258">
        <v>7</v>
      </c>
      <c r="Q104" s="258">
        <v>8</v>
      </c>
      <c r="R104" s="258">
        <v>9</v>
      </c>
      <c r="S104" s="259">
        <v>10</v>
      </c>
      <c r="T104" s="257">
        <v>1</v>
      </c>
      <c r="U104" s="258">
        <v>2</v>
      </c>
      <c r="V104" s="258">
        <v>3</v>
      </c>
      <c r="W104" s="258">
        <v>4</v>
      </c>
      <c r="X104" s="258">
        <v>5</v>
      </c>
      <c r="Y104" s="258">
        <v>6</v>
      </c>
      <c r="Z104" s="258">
        <v>7</v>
      </c>
      <c r="AA104" s="258">
        <v>8</v>
      </c>
      <c r="AB104" s="258">
        <v>9</v>
      </c>
      <c r="AC104" s="258">
        <v>10</v>
      </c>
      <c r="AD104" s="257">
        <v>1</v>
      </c>
      <c r="AE104" s="258">
        <v>2</v>
      </c>
      <c r="AF104" s="258">
        <v>3</v>
      </c>
      <c r="AG104" s="258">
        <v>4</v>
      </c>
      <c r="AH104" s="258">
        <v>5</v>
      </c>
      <c r="AI104" s="258">
        <v>6</v>
      </c>
      <c r="AJ104" s="258">
        <v>7</v>
      </c>
      <c r="AK104" s="258">
        <v>8</v>
      </c>
      <c r="AL104" s="258">
        <v>9</v>
      </c>
      <c r="AM104" s="259">
        <v>10</v>
      </c>
    </row>
    <row r="105" spans="1:39" s="10" customFormat="1" ht="15.6">
      <c r="A105" s="6"/>
      <c r="B105" s="7"/>
      <c r="C105" s="7"/>
      <c r="D105" s="260">
        <v>0</v>
      </c>
      <c r="E105" s="275">
        <v>0</v>
      </c>
      <c r="F105" s="276">
        <v>0</v>
      </c>
      <c r="G105" s="275">
        <v>0</v>
      </c>
      <c r="H105" s="277">
        <v>0</v>
      </c>
      <c r="I105" s="277">
        <v>19449708</v>
      </c>
      <c r="J105" s="278">
        <v>8794372</v>
      </c>
      <c r="K105" s="279">
        <v>6370820</v>
      </c>
      <c r="L105" s="279">
        <v>2228349</v>
      </c>
      <c r="M105" s="279">
        <v>1193008</v>
      </c>
      <c r="N105" s="279">
        <v>416498</v>
      </c>
      <c r="O105" s="279">
        <v>206534</v>
      </c>
      <c r="P105" s="279">
        <v>90281</v>
      </c>
      <c r="Q105" s="279">
        <v>51679</v>
      </c>
      <c r="R105" s="279">
        <v>22530</v>
      </c>
      <c r="S105" s="280">
        <v>14704</v>
      </c>
      <c r="T105" s="278">
        <v>19449708</v>
      </c>
      <c r="U105" s="279">
        <v>17026156</v>
      </c>
      <c r="V105" s="279">
        <v>8741214</v>
      </c>
      <c r="W105" s="279">
        <v>5635191</v>
      </c>
      <c r="X105" s="279">
        <v>2529151</v>
      </c>
      <c r="Y105" s="279">
        <v>1479331</v>
      </c>
      <c r="Z105" s="279">
        <v>781813</v>
      </c>
      <c r="AA105" s="279">
        <v>511599</v>
      </c>
      <c r="AB105" s="279">
        <v>278407</v>
      </c>
      <c r="AC105" s="279">
        <v>207973</v>
      </c>
      <c r="AD105" s="278">
        <v>0</v>
      </c>
      <c r="AE105" s="279">
        <v>2423552</v>
      </c>
      <c r="AF105" s="279">
        <v>10708494</v>
      </c>
      <c r="AG105" s="279">
        <v>13814517</v>
      </c>
      <c r="AH105" s="279">
        <v>16920557</v>
      </c>
      <c r="AI105" s="279">
        <v>17970377</v>
      </c>
      <c r="AJ105" s="279">
        <v>18667895</v>
      </c>
      <c r="AK105" s="279">
        <v>18938109</v>
      </c>
      <c r="AL105" s="279">
        <v>19171301</v>
      </c>
      <c r="AM105" s="280">
        <v>19241735</v>
      </c>
    </row>
    <row r="106" spans="1:39" s="10" customFormat="1" ht="15.6">
      <c r="A106" s="6"/>
      <c r="B106" s="7"/>
      <c r="C106" s="7"/>
      <c r="D106" s="267">
        <v>1</v>
      </c>
      <c r="E106" s="281">
        <v>3455837</v>
      </c>
      <c r="F106" s="282">
        <v>19449708</v>
      </c>
      <c r="G106" s="281">
        <v>0</v>
      </c>
      <c r="H106" s="283">
        <v>0</v>
      </c>
      <c r="I106" s="283">
        <v>0</v>
      </c>
      <c r="J106" s="281">
        <v>0</v>
      </c>
      <c r="K106" s="283">
        <v>0</v>
      </c>
      <c r="L106" s="283">
        <v>0</v>
      </c>
      <c r="M106" s="283">
        <v>0</v>
      </c>
      <c r="N106" s="283">
        <v>0</v>
      </c>
      <c r="O106" s="283">
        <v>0</v>
      </c>
      <c r="P106" s="283">
        <v>0</v>
      </c>
      <c r="Q106" s="283">
        <v>0</v>
      </c>
      <c r="R106" s="283">
        <v>0</v>
      </c>
      <c r="S106" s="282">
        <v>0</v>
      </c>
      <c r="T106" s="281">
        <v>0</v>
      </c>
      <c r="U106" s="283">
        <v>0</v>
      </c>
      <c r="V106" s="283">
        <v>0</v>
      </c>
      <c r="W106" s="283">
        <v>0</v>
      </c>
      <c r="X106" s="283">
        <v>0</v>
      </c>
      <c r="Y106" s="283">
        <v>0</v>
      </c>
      <c r="Z106" s="283">
        <v>0</v>
      </c>
      <c r="AA106" s="283">
        <v>0</v>
      </c>
      <c r="AB106" s="283">
        <v>0</v>
      </c>
      <c r="AC106" s="283">
        <v>0</v>
      </c>
      <c r="AD106" s="284">
        <v>0</v>
      </c>
      <c r="AE106" s="285">
        <v>0</v>
      </c>
      <c r="AF106" s="285">
        <v>0</v>
      </c>
      <c r="AG106" s="285">
        <v>0</v>
      </c>
      <c r="AH106" s="285">
        <v>0</v>
      </c>
      <c r="AI106" s="285">
        <v>0</v>
      </c>
      <c r="AJ106" s="285">
        <v>0</v>
      </c>
      <c r="AK106" s="285">
        <v>0</v>
      </c>
      <c r="AL106" s="285">
        <v>0</v>
      </c>
      <c r="AM106" s="286">
        <v>0</v>
      </c>
    </row>
    <row r="107" spans="1:39" s="10" customFormat="1" ht="15.6">
      <c r="A107" s="6"/>
      <c r="B107" s="7"/>
      <c r="C107" s="7"/>
      <c r="D107" s="267">
        <v>2</v>
      </c>
      <c r="E107" s="281">
        <v>2962013</v>
      </c>
      <c r="F107" s="282">
        <v>18955884</v>
      </c>
      <c r="G107" s="281">
        <v>0</v>
      </c>
      <c r="H107" s="283">
        <v>0</v>
      </c>
      <c r="I107" s="283">
        <v>493824</v>
      </c>
      <c r="J107" s="281">
        <v>493824</v>
      </c>
      <c r="K107" s="283">
        <v>0</v>
      </c>
      <c r="L107" s="283">
        <v>0</v>
      </c>
      <c r="M107" s="283">
        <v>0</v>
      </c>
      <c r="N107" s="283">
        <v>0</v>
      </c>
      <c r="O107" s="283">
        <v>0</v>
      </c>
      <c r="P107" s="283">
        <v>0</v>
      </c>
      <c r="Q107" s="283">
        <v>0</v>
      </c>
      <c r="R107" s="283">
        <v>0</v>
      </c>
      <c r="S107" s="282">
        <v>0</v>
      </c>
      <c r="T107" s="281">
        <v>493824</v>
      </c>
      <c r="U107" s="283">
        <v>0</v>
      </c>
      <c r="V107" s="283">
        <v>0</v>
      </c>
      <c r="W107" s="283">
        <v>0</v>
      </c>
      <c r="X107" s="283">
        <v>0</v>
      </c>
      <c r="Y107" s="283">
        <v>0</v>
      </c>
      <c r="Z107" s="283">
        <v>0</v>
      </c>
      <c r="AA107" s="283">
        <v>0</v>
      </c>
      <c r="AB107" s="283">
        <v>0</v>
      </c>
      <c r="AC107" s="283">
        <v>0</v>
      </c>
      <c r="AD107" s="281">
        <v>0</v>
      </c>
      <c r="AE107" s="283">
        <v>493824</v>
      </c>
      <c r="AF107" s="283">
        <v>493824</v>
      </c>
      <c r="AG107" s="283">
        <v>493824</v>
      </c>
      <c r="AH107" s="283">
        <v>493824</v>
      </c>
      <c r="AI107" s="283">
        <v>493824</v>
      </c>
      <c r="AJ107" s="283">
        <v>493824</v>
      </c>
      <c r="AK107" s="283">
        <v>493824</v>
      </c>
      <c r="AL107" s="283">
        <v>493824</v>
      </c>
      <c r="AM107" s="282">
        <v>493824</v>
      </c>
    </row>
    <row r="108" spans="1:39" s="10" customFormat="1" ht="15.6">
      <c r="A108" s="6"/>
      <c r="B108" s="7"/>
      <c r="C108" s="7"/>
      <c r="D108" s="267">
        <v>3</v>
      </c>
      <c r="E108" s="281">
        <v>2170601</v>
      </c>
      <c r="F108" s="282">
        <v>17373060</v>
      </c>
      <c r="G108" s="281">
        <v>0</v>
      </c>
      <c r="H108" s="283">
        <v>0</v>
      </c>
      <c r="I108" s="283">
        <v>2076648</v>
      </c>
      <c r="J108" s="281">
        <v>1402398</v>
      </c>
      <c r="K108" s="283">
        <v>674250</v>
      </c>
      <c r="L108" s="283">
        <v>0</v>
      </c>
      <c r="M108" s="283">
        <v>0</v>
      </c>
      <c r="N108" s="283">
        <v>0</v>
      </c>
      <c r="O108" s="283">
        <v>0</v>
      </c>
      <c r="P108" s="283">
        <v>0</v>
      </c>
      <c r="Q108" s="283">
        <v>0</v>
      </c>
      <c r="R108" s="283">
        <v>0</v>
      </c>
      <c r="S108" s="282">
        <v>0</v>
      </c>
      <c r="T108" s="281">
        <v>2076648</v>
      </c>
      <c r="U108" s="283">
        <v>1348500</v>
      </c>
      <c r="V108" s="283">
        <v>0</v>
      </c>
      <c r="W108" s="283">
        <v>0</v>
      </c>
      <c r="X108" s="283">
        <v>0</v>
      </c>
      <c r="Y108" s="283">
        <v>0</v>
      </c>
      <c r="Z108" s="283">
        <v>0</v>
      </c>
      <c r="AA108" s="283">
        <v>0</v>
      </c>
      <c r="AB108" s="283">
        <v>0</v>
      </c>
      <c r="AC108" s="283">
        <v>0</v>
      </c>
      <c r="AD108" s="281">
        <v>0</v>
      </c>
      <c r="AE108" s="283">
        <v>728148</v>
      </c>
      <c r="AF108" s="283">
        <v>2076648</v>
      </c>
      <c r="AG108" s="283">
        <v>2076648</v>
      </c>
      <c r="AH108" s="283">
        <v>2076648</v>
      </c>
      <c r="AI108" s="283">
        <v>2076648</v>
      </c>
      <c r="AJ108" s="283">
        <v>2076648</v>
      </c>
      <c r="AK108" s="283">
        <v>2076648</v>
      </c>
      <c r="AL108" s="283">
        <v>2076648</v>
      </c>
      <c r="AM108" s="282">
        <v>2076648</v>
      </c>
    </row>
    <row r="109" spans="1:39" s="10" customFormat="1" ht="15.6">
      <c r="A109" s="6"/>
      <c r="B109" s="7"/>
      <c r="C109" s="7"/>
      <c r="D109" s="267">
        <v>4</v>
      </c>
      <c r="E109" s="281">
        <v>1846853</v>
      </c>
      <c r="F109" s="282">
        <v>16401816</v>
      </c>
      <c r="G109" s="281">
        <v>0</v>
      </c>
      <c r="H109" s="283">
        <v>0</v>
      </c>
      <c r="I109" s="283">
        <v>3047892</v>
      </c>
      <c r="J109" s="281">
        <v>1999975</v>
      </c>
      <c r="K109" s="283">
        <v>962499</v>
      </c>
      <c r="L109" s="283">
        <v>85418</v>
      </c>
      <c r="M109" s="283">
        <v>0</v>
      </c>
      <c r="N109" s="283">
        <v>0</v>
      </c>
      <c r="O109" s="283">
        <v>0</v>
      </c>
      <c r="P109" s="283">
        <v>0</v>
      </c>
      <c r="Q109" s="283">
        <v>0</v>
      </c>
      <c r="R109" s="283">
        <v>0</v>
      </c>
      <c r="S109" s="282">
        <v>0</v>
      </c>
      <c r="T109" s="281">
        <v>3047892</v>
      </c>
      <c r="U109" s="283">
        <v>2010416</v>
      </c>
      <c r="V109" s="283">
        <v>256254</v>
      </c>
      <c r="W109" s="283">
        <v>0</v>
      </c>
      <c r="X109" s="283">
        <v>0</v>
      </c>
      <c r="Y109" s="283">
        <v>0</v>
      </c>
      <c r="Z109" s="283">
        <v>0</v>
      </c>
      <c r="AA109" s="283">
        <v>0</v>
      </c>
      <c r="AB109" s="283">
        <v>0</v>
      </c>
      <c r="AC109" s="283">
        <v>0</v>
      </c>
      <c r="AD109" s="281">
        <v>0</v>
      </c>
      <c r="AE109" s="283">
        <v>1037476</v>
      </c>
      <c r="AF109" s="283">
        <v>2791638</v>
      </c>
      <c r="AG109" s="283">
        <v>3047892</v>
      </c>
      <c r="AH109" s="283">
        <v>3047892</v>
      </c>
      <c r="AI109" s="283">
        <v>3047892</v>
      </c>
      <c r="AJ109" s="283">
        <v>3047892</v>
      </c>
      <c r="AK109" s="283">
        <v>3047892</v>
      </c>
      <c r="AL109" s="283">
        <v>3047892</v>
      </c>
      <c r="AM109" s="282">
        <v>3047892</v>
      </c>
    </row>
    <row r="110" spans="1:39" s="10" customFormat="1" ht="15.6">
      <c r="A110" s="6"/>
      <c r="B110" s="7"/>
      <c r="C110" s="7"/>
      <c r="D110" s="267">
        <v>5</v>
      </c>
      <c r="E110" s="281">
        <v>1458736</v>
      </c>
      <c r="F110" s="282">
        <v>14849348</v>
      </c>
      <c r="G110" s="281">
        <v>0</v>
      </c>
      <c r="H110" s="283">
        <v>0</v>
      </c>
      <c r="I110" s="283">
        <v>4600360</v>
      </c>
      <c r="J110" s="281">
        <v>2812337</v>
      </c>
      <c r="K110" s="283">
        <v>1559182</v>
      </c>
      <c r="L110" s="283">
        <v>174388</v>
      </c>
      <c r="M110" s="283">
        <v>54453</v>
      </c>
      <c r="N110" s="283">
        <v>0</v>
      </c>
      <c r="O110" s="283">
        <v>0</v>
      </c>
      <c r="P110" s="283">
        <v>0</v>
      </c>
      <c r="Q110" s="283">
        <v>0</v>
      </c>
      <c r="R110" s="283">
        <v>0</v>
      </c>
      <c r="S110" s="282">
        <v>0</v>
      </c>
      <c r="T110" s="281">
        <v>4600360</v>
      </c>
      <c r="U110" s="283">
        <v>3347205</v>
      </c>
      <c r="V110" s="283">
        <v>577617</v>
      </c>
      <c r="W110" s="283">
        <v>217812</v>
      </c>
      <c r="X110" s="283">
        <v>0</v>
      </c>
      <c r="Y110" s="283">
        <v>0</v>
      </c>
      <c r="Z110" s="283">
        <v>0</v>
      </c>
      <c r="AA110" s="283">
        <v>0</v>
      </c>
      <c r="AB110" s="283">
        <v>0</v>
      </c>
      <c r="AC110" s="283">
        <v>0</v>
      </c>
      <c r="AD110" s="281">
        <v>0</v>
      </c>
      <c r="AE110" s="283">
        <v>1253155</v>
      </c>
      <c r="AF110" s="283">
        <v>4022743</v>
      </c>
      <c r="AG110" s="283">
        <v>4382548</v>
      </c>
      <c r="AH110" s="283">
        <v>4600360</v>
      </c>
      <c r="AI110" s="283">
        <v>4600360</v>
      </c>
      <c r="AJ110" s="283">
        <v>4600360</v>
      </c>
      <c r="AK110" s="283">
        <v>4600360</v>
      </c>
      <c r="AL110" s="283">
        <v>4600360</v>
      </c>
      <c r="AM110" s="282">
        <v>4600360</v>
      </c>
    </row>
    <row r="111" spans="1:39" s="10" customFormat="1" ht="15.6">
      <c r="A111" s="6"/>
      <c r="B111" s="7"/>
      <c r="C111" s="7"/>
      <c r="D111" s="267">
        <v>6</v>
      </c>
      <c r="E111" s="281">
        <v>1240782</v>
      </c>
      <c r="F111" s="282">
        <v>13759578</v>
      </c>
      <c r="G111" s="281">
        <v>0</v>
      </c>
      <c r="H111" s="283">
        <v>0</v>
      </c>
      <c r="I111" s="283">
        <v>5690130</v>
      </c>
      <c r="J111" s="281">
        <v>3405709</v>
      </c>
      <c r="K111" s="283">
        <v>1923223</v>
      </c>
      <c r="L111" s="283">
        <v>275639</v>
      </c>
      <c r="M111" s="283">
        <v>78263</v>
      </c>
      <c r="N111" s="283">
        <v>7296</v>
      </c>
      <c r="O111" s="283">
        <v>0</v>
      </c>
      <c r="P111" s="283">
        <v>0</v>
      </c>
      <c r="Q111" s="283">
        <v>0</v>
      </c>
      <c r="R111" s="283">
        <v>0</v>
      </c>
      <c r="S111" s="282">
        <v>0</v>
      </c>
      <c r="T111" s="281">
        <v>5690130</v>
      </c>
      <c r="U111" s="283">
        <v>4207644</v>
      </c>
      <c r="V111" s="283">
        <v>912476</v>
      </c>
      <c r="W111" s="283">
        <v>320348</v>
      </c>
      <c r="X111" s="283">
        <v>36480</v>
      </c>
      <c r="Y111" s="283">
        <v>0</v>
      </c>
      <c r="Z111" s="283">
        <v>0</v>
      </c>
      <c r="AA111" s="283">
        <v>0</v>
      </c>
      <c r="AB111" s="283">
        <v>0</v>
      </c>
      <c r="AC111" s="283">
        <v>0</v>
      </c>
      <c r="AD111" s="281">
        <v>0</v>
      </c>
      <c r="AE111" s="283">
        <v>1482486</v>
      </c>
      <c r="AF111" s="283">
        <v>4777654</v>
      </c>
      <c r="AG111" s="283">
        <v>5369782</v>
      </c>
      <c r="AH111" s="283">
        <v>5653650</v>
      </c>
      <c r="AI111" s="283">
        <v>5690130</v>
      </c>
      <c r="AJ111" s="283">
        <v>5690130</v>
      </c>
      <c r="AK111" s="283">
        <v>5690130</v>
      </c>
      <c r="AL111" s="283">
        <v>5690130</v>
      </c>
      <c r="AM111" s="282">
        <v>5690130</v>
      </c>
    </row>
    <row r="112" spans="1:39" s="10" customFormat="1" ht="15.6">
      <c r="A112" s="6"/>
      <c r="B112" s="7"/>
      <c r="C112" s="7"/>
      <c r="D112" s="267">
        <v>7</v>
      </c>
      <c r="E112" s="281">
        <v>1012270</v>
      </c>
      <c r="F112" s="282">
        <v>12388506</v>
      </c>
      <c r="G112" s="281">
        <v>0</v>
      </c>
      <c r="H112" s="283">
        <v>0</v>
      </c>
      <c r="I112" s="283">
        <v>7061202</v>
      </c>
      <c r="J112" s="281">
        <v>4090361</v>
      </c>
      <c r="K112" s="283">
        <v>2434109</v>
      </c>
      <c r="L112" s="283">
        <v>386434</v>
      </c>
      <c r="M112" s="283">
        <v>131427</v>
      </c>
      <c r="N112" s="283">
        <v>14623</v>
      </c>
      <c r="O112" s="283">
        <v>4248</v>
      </c>
      <c r="P112" s="283">
        <v>0</v>
      </c>
      <c r="Q112" s="283">
        <v>0</v>
      </c>
      <c r="R112" s="283">
        <v>0</v>
      </c>
      <c r="S112" s="282">
        <v>0</v>
      </c>
      <c r="T112" s="281">
        <v>7061202</v>
      </c>
      <c r="U112" s="283">
        <v>5404950</v>
      </c>
      <c r="V112" s="283">
        <v>1309600</v>
      </c>
      <c r="W112" s="283">
        <v>544579</v>
      </c>
      <c r="X112" s="283">
        <v>77363</v>
      </c>
      <c r="Y112" s="283">
        <v>25488</v>
      </c>
      <c r="Z112" s="283">
        <v>0</v>
      </c>
      <c r="AA112" s="283">
        <v>0</v>
      </c>
      <c r="AB112" s="283">
        <v>0</v>
      </c>
      <c r="AC112" s="283">
        <v>0</v>
      </c>
      <c r="AD112" s="281">
        <v>0</v>
      </c>
      <c r="AE112" s="283">
        <v>1656252</v>
      </c>
      <c r="AF112" s="283">
        <v>5751602</v>
      </c>
      <c r="AG112" s="283">
        <v>6516623</v>
      </c>
      <c r="AH112" s="283">
        <v>6983839</v>
      </c>
      <c r="AI112" s="283">
        <v>7035714</v>
      </c>
      <c r="AJ112" s="283">
        <v>7061202</v>
      </c>
      <c r="AK112" s="283">
        <v>7061202</v>
      </c>
      <c r="AL112" s="283">
        <v>7061202</v>
      </c>
      <c r="AM112" s="282">
        <v>7061202</v>
      </c>
    </row>
    <row r="113" spans="1:39" s="10" customFormat="1" ht="15.6">
      <c r="A113" s="6"/>
      <c r="B113" s="7"/>
      <c r="C113" s="7"/>
      <c r="D113" s="267">
        <v>8</v>
      </c>
      <c r="E113" s="281">
        <v>859806</v>
      </c>
      <c r="F113" s="282">
        <v>11321258</v>
      </c>
      <c r="G113" s="281">
        <v>0</v>
      </c>
      <c r="H113" s="283">
        <v>0</v>
      </c>
      <c r="I113" s="283">
        <v>8128450</v>
      </c>
      <c r="J113" s="281">
        <v>4622520</v>
      </c>
      <c r="K113" s="283">
        <v>2803560</v>
      </c>
      <c r="L113" s="283">
        <v>501608</v>
      </c>
      <c r="M113" s="283">
        <v>170401</v>
      </c>
      <c r="N113" s="283">
        <v>23698</v>
      </c>
      <c r="O113" s="283">
        <v>5984</v>
      </c>
      <c r="P113" s="283">
        <v>679</v>
      </c>
      <c r="Q113" s="283">
        <v>0</v>
      </c>
      <c r="R113" s="283">
        <v>0</v>
      </c>
      <c r="S113" s="282">
        <v>0</v>
      </c>
      <c r="T113" s="281">
        <v>8128450</v>
      </c>
      <c r="U113" s="283">
        <v>6309490</v>
      </c>
      <c r="V113" s="283">
        <v>1705586</v>
      </c>
      <c r="W113" s="283">
        <v>711965</v>
      </c>
      <c r="X113" s="283">
        <v>125153</v>
      </c>
      <c r="Y113" s="283">
        <v>36583</v>
      </c>
      <c r="Z113" s="283">
        <v>4753</v>
      </c>
      <c r="AA113" s="283">
        <v>0</v>
      </c>
      <c r="AB113" s="283">
        <v>0</v>
      </c>
      <c r="AC113" s="283">
        <v>0</v>
      </c>
      <c r="AD113" s="281">
        <v>0</v>
      </c>
      <c r="AE113" s="283">
        <v>1818960</v>
      </c>
      <c r="AF113" s="283">
        <v>6422864</v>
      </c>
      <c r="AG113" s="283">
        <v>7416485</v>
      </c>
      <c r="AH113" s="283">
        <v>8003297</v>
      </c>
      <c r="AI113" s="283">
        <v>8091867</v>
      </c>
      <c r="AJ113" s="283">
        <v>8123697</v>
      </c>
      <c r="AK113" s="283">
        <v>8128450</v>
      </c>
      <c r="AL113" s="283">
        <v>8128450</v>
      </c>
      <c r="AM113" s="282">
        <v>8128450</v>
      </c>
    </row>
    <row r="114" spans="1:39" s="10" customFormat="1" ht="15.6">
      <c r="A114" s="6"/>
      <c r="B114" s="7"/>
      <c r="C114" s="7"/>
      <c r="D114" s="267">
        <v>9</v>
      </c>
      <c r="E114" s="281">
        <v>707912</v>
      </c>
      <c r="F114" s="282">
        <v>10106106</v>
      </c>
      <c r="G114" s="281">
        <v>0</v>
      </c>
      <c r="H114" s="283">
        <v>0</v>
      </c>
      <c r="I114" s="283">
        <v>9343602</v>
      </c>
      <c r="J114" s="281">
        <v>5185439</v>
      </c>
      <c r="K114" s="283">
        <v>3243392</v>
      </c>
      <c r="L114" s="283">
        <v>629837</v>
      </c>
      <c r="M114" s="283">
        <v>235353</v>
      </c>
      <c r="N114" s="283">
        <v>34702</v>
      </c>
      <c r="O114" s="283">
        <v>10949</v>
      </c>
      <c r="P114" s="283">
        <v>2420</v>
      </c>
      <c r="Q114" s="283">
        <v>1510</v>
      </c>
      <c r="R114" s="283">
        <v>0</v>
      </c>
      <c r="S114" s="282">
        <v>0</v>
      </c>
      <c r="T114" s="281">
        <v>9343602</v>
      </c>
      <c r="U114" s="283">
        <v>7401555</v>
      </c>
      <c r="V114" s="283">
        <v>2174445</v>
      </c>
      <c r="W114" s="283">
        <v>990993</v>
      </c>
      <c r="X114" s="283">
        <v>188389</v>
      </c>
      <c r="Y114" s="283">
        <v>69624</v>
      </c>
      <c r="Z114" s="283">
        <v>18450</v>
      </c>
      <c r="AA114" s="283">
        <v>12080</v>
      </c>
      <c r="AB114" s="283">
        <v>0</v>
      </c>
      <c r="AC114" s="283">
        <v>0</v>
      </c>
      <c r="AD114" s="281">
        <v>0</v>
      </c>
      <c r="AE114" s="283">
        <v>1942047</v>
      </c>
      <c r="AF114" s="283">
        <v>7169157</v>
      </c>
      <c r="AG114" s="283">
        <v>8352609</v>
      </c>
      <c r="AH114" s="283">
        <v>9155213</v>
      </c>
      <c r="AI114" s="283">
        <v>9273978</v>
      </c>
      <c r="AJ114" s="283">
        <v>9325152</v>
      </c>
      <c r="AK114" s="283">
        <v>9331522</v>
      </c>
      <c r="AL114" s="283">
        <v>9343602</v>
      </c>
      <c r="AM114" s="282">
        <v>9343602</v>
      </c>
    </row>
    <row r="115" spans="1:39" s="10" customFormat="1" ht="15.6">
      <c r="A115" s="6"/>
      <c r="B115" s="7"/>
      <c r="C115" s="7"/>
      <c r="D115" s="274">
        <v>10</v>
      </c>
      <c r="E115" s="278">
        <v>599598</v>
      </c>
      <c r="F115" s="280">
        <v>9131280</v>
      </c>
      <c r="G115" s="278">
        <v>0</v>
      </c>
      <c r="H115" s="279">
        <v>0</v>
      </c>
      <c r="I115" s="279">
        <v>10318428</v>
      </c>
      <c r="J115" s="278">
        <v>5634454</v>
      </c>
      <c r="K115" s="279">
        <v>3584062</v>
      </c>
      <c r="L115" s="279">
        <v>749856</v>
      </c>
      <c r="M115" s="279">
        <v>283870</v>
      </c>
      <c r="N115" s="279">
        <v>47031</v>
      </c>
      <c r="O115" s="279">
        <v>14073</v>
      </c>
      <c r="P115" s="279">
        <v>3264</v>
      </c>
      <c r="Q115" s="279">
        <v>1718</v>
      </c>
      <c r="R115" s="279">
        <v>100</v>
      </c>
      <c r="S115" s="280">
        <v>0</v>
      </c>
      <c r="T115" s="278">
        <v>10318428</v>
      </c>
      <c r="U115" s="279">
        <v>8268036</v>
      </c>
      <c r="V115" s="279">
        <v>2599624</v>
      </c>
      <c r="W115" s="279">
        <v>1201666</v>
      </c>
      <c r="X115" s="279">
        <v>254310</v>
      </c>
      <c r="Y115" s="279">
        <v>89520</v>
      </c>
      <c r="Z115" s="279">
        <v>24666</v>
      </c>
      <c r="AA115" s="279">
        <v>13844</v>
      </c>
      <c r="AB115" s="279">
        <v>900</v>
      </c>
      <c r="AC115" s="279">
        <v>0</v>
      </c>
      <c r="AD115" s="278">
        <v>0</v>
      </c>
      <c r="AE115" s="279">
        <v>2050392</v>
      </c>
      <c r="AF115" s="279">
        <v>7718804</v>
      </c>
      <c r="AG115" s="279">
        <v>9116762</v>
      </c>
      <c r="AH115" s="279">
        <v>10064118</v>
      </c>
      <c r="AI115" s="279">
        <v>10228908</v>
      </c>
      <c r="AJ115" s="279">
        <v>10293762</v>
      </c>
      <c r="AK115" s="279">
        <v>10304584</v>
      </c>
      <c r="AL115" s="279">
        <v>10317528</v>
      </c>
      <c r="AM115" s="280">
        <v>10318428</v>
      </c>
    </row>
    <row r="116" spans="1:39" s="10" customFormat="1" ht="15.6">
      <c r="A116" s="6"/>
      <c r="B116" s="7"/>
      <c r="C116" s="7"/>
      <c r="D116" s="267">
        <v>11</v>
      </c>
      <c r="E116" s="281">
        <v>496337</v>
      </c>
      <c r="F116" s="282">
        <v>8098670</v>
      </c>
      <c r="G116" s="281">
        <v>0</v>
      </c>
      <c r="H116" s="283">
        <v>0</v>
      </c>
      <c r="I116" s="283">
        <v>11351038</v>
      </c>
      <c r="J116" s="281">
        <v>6087039</v>
      </c>
      <c r="K116" s="283">
        <v>3954670</v>
      </c>
      <c r="L116" s="283">
        <v>874291</v>
      </c>
      <c r="M116" s="283">
        <v>346626</v>
      </c>
      <c r="N116" s="283">
        <v>60927</v>
      </c>
      <c r="O116" s="283">
        <v>19824</v>
      </c>
      <c r="P116" s="283">
        <v>4574</v>
      </c>
      <c r="Q116" s="283">
        <v>2511</v>
      </c>
      <c r="R116" s="283">
        <v>352</v>
      </c>
      <c r="S116" s="282">
        <v>224</v>
      </c>
      <c r="T116" s="281">
        <v>11351038</v>
      </c>
      <c r="U116" s="283">
        <v>9218669</v>
      </c>
      <c r="V116" s="283">
        <v>3057911</v>
      </c>
      <c r="W116" s="283">
        <v>1474916</v>
      </c>
      <c r="X116" s="283">
        <v>332120</v>
      </c>
      <c r="Y116" s="283">
        <v>126605</v>
      </c>
      <c r="Z116" s="283">
        <v>35105</v>
      </c>
      <c r="AA116" s="283">
        <v>20664</v>
      </c>
      <c r="AB116" s="283">
        <v>3392</v>
      </c>
      <c r="AC116" s="283">
        <v>2240</v>
      </c>
      <c r="AD116" s="284">
        <v>0</v>
      </c>
      <c r="AE116" s="285">
        <v>2132369</v>
      </c>
      <c r="AF116" s="285">
        <v>8293127</v>
      </c>
      <c r="AG116" s="285">
        <v>9876122</v>
      </c>
      <c r="AH116" s="285">
        <v>11018918</v>
      </c>
      <c r="AI116" s="285">
        <v>11224433</v>
      </c>
      <c r="AJ116" s="285">
        <v>11315933</v>
      </c>
      <c r="AK116" s="285">
        <v>11330374</v>
      </c>
      <c r="AL116" s="285">
        <v>11347646</v>
      </c>
      <c r="AM116" s="286">
        <v>11348798</v>
      </c>
    </row>
    <row r="117" spans="1:39" s="10" customFormat="1" ht="15.6">
      <c r="A117" s="6"/>
      <c r="B117" s="7"/>
      <c r="C117" s="7"/>
      <c r="D117" s="267">
        <v>12</v>
      </c>
      <c r="E117" s="281">
        <v>418790</v>
      </c>
      <c r="F117" s="282">
        <v>7245653</v>
      </c>
      <c r="G117" s="281">
        <v>0</v>
      </c>
      <c r="H117" s="283">
        <v>0</v>
      </c>
      <c r="I117" s="283">
        <v>12204055</v>
      </c>
      <c r="J117" s="281">
        <v>6453605</v>
      </c>
      <c r="K117" s="283">
        <v>4251783</v>
      </c>
      <c r="L117" s="283">
        <v>990827</v>
      </c>
      <c r="M117" s="283">
        <v>399265</v>
      </c>
      <c r="N117" s="283">
        <v>75052</v>
      </c>
      <c r="O117" s="283">
        <v>24141</v>
      </c>
      <c r="P117" s="283">
        <v>5767</v>
      </c>
      <c r="Q117" s="283">
        <v>2858</v>
      </c>
      <c r="R117" s="283">
        <v>460</v>
      </c>
      <c r="S117" s="282">
        <v>270</v>
      </c>
      <c r="T117" s="281">
        <v>12204055</v>
      </c>
      <c r="U117" s="283">
        <v>10002233</v>
      </c>
      <c r="V117" s="283">
        <v>3480321</v>
      </c>
      <c r="W117" s="283">
        <v>1705635</v>
      </c>
      <c r="X117" s="283">
        <v>408783</v>
      </c>
      <c r="Y117" s="283">
        <v>154228</v>
      </c>
      <c r="Z117" s="283">
        <v>43984</v>
      </c>
      <c r="AA117" s="283">
        <v>23621</v>
      </c>
      <c r="AB117" s="283">
        <v>4437</v>
      </c>
      <c r="AC117" s="283">
        <v>2727</v>
      </c>
      <c r="AD117" s="281">
        <v>0</v>
      </c>
      <c r="AE117" s="283">
        <v>2201822</v>
      </c>
      <c r="AF117" s="283">
        <v>8723734</v>
      </c>
      <c r="AG117" s="283">
        <v>10498420</v>
      </c>
      <c r="AH117" s="283">
        <v>11795272</v>
      </c>
      <c r="AI117" s="283">
        <v>12049827</v>
      </c>
      <c r="AJ117" s="283">
        <v>12160071</v>
      </c>
      <c r="AK117" s="283">
        <v>12180434</v>
      </c>
      <c r="AL117" s="283">
        <v>12199618</v>
      </c>
      <c r="AM117" s="282">
        <v>12201328</v>
      </c>
    </row>
    <row r="118" spans="1:39" s="10" customFormat="1" ht="15.6">
      <c r="A118" s="6"/>
      <c r="B118" s="7"/>
      <c r="C118" s="7"/>
      <c r="D118" s="267">
        <v>13</v>
      </c>
      <c r="E118" s="281">
        <v>344884</v>
      </c>
      <c r="F118" s="282">
        <v>6358781</v>
      </c>
      <c r="G118" s="281">
        <v>0</v>
      </c>
      <c r="H118" s="283">
        <v>0</v>
      </c>
      <c r="I118" s="283">
        <v>13090927</v>
      </c>
      <c r="J118" s="281">
        <v>6816454</v>
      </c>
      <c r="K118" s="283">
        <v>4562951</v>
      </c>
      <c r="L118" s="283">
        <v>1111983</v>
      </c>
      <c r="M118" s="283">
        <v>463889</v>
      </c>
      <c r="N118" s="283">
        <v>91304</v>
      </c>
      <c r="O118" s="283">
        <v>31106</v>
      </c>
      <c r="P118" s="283">
        <v>7834</v>
      </c>
      <c r="Q118" s="283">
        <v>4117</v>
      </c>
      <c r="R118" s="283">
        <v>675</v>
      </c>
      <c r="S118" s="282">
        <v>441</v>
      </c>
      <c r="T118" s="281">
        <v>13090927</v>
      </c>
      <c r="U118" s="283">
        <v>10837424</v>
      </c>
      <c r="V118" s="283">
        <v>3935488</v>
      </c>
      <c r="W118" s="283">
        <v>1991206</v>
      </c>
      <c r="X118" s="283">
        <v>500866</v>
      </c>
      <c r="Y118" s="283">
        <v>199876</v>
      </c>
      <c r="Z118" s="283">
        <v>60244</v>
      </c>
      <c r="AA118" s="283">
        <v>34225</v>
      </c>
      <c r="AB118" s="283">
        <v>6689</v>
      </c>
      <c r="AC118" s="283">
        <v>4583</v>
      </c>
      <c r="AD118" s="281">
        <v>0</v>
      </c>
      <c r="AE118" s="283">
        <v>2253503</v>
      </c>
      <c r="AF118" s="283">
        <v>9155439</v>
      </c>
      <c r="AG118" s="283">
        <v>11099721</v>
      </c>
      <c r="AH118" s="283">
        <v>12590061</v>
      </c>
      <c r="AI118" s="283">
        <v>12891051</v>
      </c>
      <c r="AJ118" s="283">
        <v>13030683</v>
      </c>
      <c r="AK118" s="283">
        <v>13056702</v>
      </c>
      <c r="AL118" s="283">
        <v>13084238</v>
      </c>
      <c r="AM118" s="282">
        <v>13086344</v>
      </c>
    </row>
    <row r="119" spans="1:39" s="10" customFormat="1" ht="15.6">
      <c r="A119" s="6"/>
      <c r="B119" s="7"/>
      <c r="C119" s="7"/>
      <c r="D119" s="267">
        <v>14</v>
      </c>
      <c r="E119" s="281">
        <v>289297</v>
      </c>
      <c r="F119" s="282">
        <v>5636150</v>
      </c>
      <c r="G119" s="281">
        <v>0</v>
      </c>
      <c r="H119" s="283">
        <v>0</v>
      </c>
      <c r="I119" s="283">
        <v>13813558</v>
      </c>
      <c r="J119" s="281">
        <v>7105818</v>
      </c>
      <c r="K119" s="283">
        <v>4810226</v>
      </c>
      <c r="L119" s="283">
        <v>1220907</v>
      </c>
      <c r="M119" s="283">
        <v>517385</v>
      </c>
      <c r="N119" s="283">
        <v>107229</v>
      </c>
      <c r="O119" s="283">
        <v>36459</v>
      </c>
      <c r="P119" s="283">
        <v>9381</v>
      </c>
      <c r="Q119" s="283">
        <v>4600</v>
      </c>
      <c r="R119" s="283">
        <v>831</v>
      </c>
      <c r="S119" s="282">
        <v>508</v>
      </c>
      <c r="T119" s="281">
        <v>13813558</v>
      </c>
      <c r="U119" s="283">
        <v>11517966</v>
      </c>
      <c r="V119" s="283">
        <v>4339328</v>
      </c>
      <c r="W119" s="283">
        <v>2228762</v>
      </c>
      <c r="X119" s="283">
        <v>588138</v>
      </c>
      <c r="Y119" s="283">
        <v>234288</v>
      </c>
      <c r="Z119" s="283">
        <v>71820</v>
      </c>
      <c r="AA119" s="283">
        <v>38353</v>
      </c>
      <c r="AB119" s="283">
        <v>8201</v>
      </c>
      <c r="AC119" s="283">
        <v>5294</v>
      </c>
      <c r="AD119" s="281">
        <v>0</v>
      </c>
      <c r="AE119" s="283">
        <v>2295592</v>
      </c>
      <c r="AF119" s="283">
        <v>9474230</v>
      </c>
      <c r="AG119" s="283">
        <v>11584796</v>
      </c>
      <c r="AH119" s="283">
        <v>13225420</v>
      </c>
      <c r="AI119" s="283">
        <v>13579270</v>
      </c>
      <c r="AJ119" s="283">
        <v>13741738</v>
      </c>
      <c r="AK119" s="283">
        <v>13775205</v>
      </c>
      <c r="AL119" s="283">
        <v>13805357</v>
      </c>
      <c r="AM119" s="282">
        <v>13808264</v>
      </c>
    </row>
    <row r="120" spans="1:39" s="10" customFormat="1" ht="15.6">
      <c r="A120" s="6"/>
      <c r="B120" s="7"/>
      <c r="C120" s="7"/>
      <c r="D120" s="267">
        <v>15</v>
      </c>
      <c r="E120" s="281">
        <v>238172</v>
      </c>
      <c r="F120" s="282">
        <v>4920400</v>
      </c>
      <c r="G120" s="281">
        <v>0</v>
      </c>
      <c r="H120" s="283">
        <v>0</v>
      </c>
      <c r="I120" s="283">
        <v>14529308</v>
      </c>
      <c r="J120" s="281">
        <v>7380856</v>
      </c>
      <c r="K120" s="283">
        <v>5054677</v>
      </c>
      <c r="L120" s="283">
        <v>1328989</v>
      </c>
      <c r="M120" s="283">
        <v>576926</v>
      </c>
      <c r="N120" s="283">
        <v>124566</v>
      </c>
      <c r="O120" s="283">
        <v>43901</v>
      </c>
      <c r="P120" s="283">
        <v>11544</v>
      </c>
      <c r="Q120" s="283">
        <v>5700</v>
      </c>
      <c r="R120" s="283">
        <v>1118</v>
      </c>
      <c r="S120" s="282">
        <v>711</v>
      </c>
      <c r="T120" s="281">
        <v>14529308</v>
      </c>
      <c r="U120" s="283">
        <v>12203129</v>
      </c>
      <c r="V120" s="283">
        <v>4751753</v>
      </c>
      <c r="W120" s="283">
        <v>2495564</v>
      </c>
      <c r="X120" s="283">
        <v>686124</v>
      </c>
      <c r="Y120" s="283">
        <v>282799</v>
      </c>
      <c r="Z120" s="283">
        <v>88657</v>
      </c>
      <c r="AA120" s="283">
        <v>47749</v>
      </c>
      <c r="AB120" s="283">
        <v>11093</v>
      </c>
      <c r="AC120" s="283">
        <v>7430</v>
      </c>
      <c r="AD120" s="281">
        <v>0</v>
      </c>
      <c r="AE120" s="283">
        <v>2326179</v>
      </c>
      <c r="AF120" s="283">
        <v>9777555</v>
      </c>
      <c r="AG120" s="283">
        <v>12033744</v>
      </c>
      <c r="AH120" s="283">
        <v>13843184</v>
      </c>
      <c r="AI120" s="283">
        <v>14246509</v>
      </c>
      <c r="AJ120" s="283">
        <v>14440651</v>
      </c>
      <c r="AK120" s="283">
        <v>14481559</v>
      </c>
      <c r="AL120" s="283">
        <v>14518215</v>
      </c>
      <c r="AM120" s="282">
        <v>14521878</v>
      </c>
    </row>
    <row r="121" spans="1:39" s="10" customFormat="1" ht="15.6">
      <c r="A121" s="6"/>
      <c r="B121" s="7"/>
      <c r="C121" s="7"/>
      <c r="D121" s="267">
        <v>16</v>
      </c>
      <c r="E121" s="281">
        <v>200019</v>
      </c>
      <c r="F121" s="282">
        <v>4348105</v>
      </c>
      <c r="G121" s="281">
        <v>0</v>
      </c>
      <c r="H121" s="283">
        <v>0</v>
      </c>
      <c r="I121" s="283">
        <v>15101603</v>
      </c>
      <c r="J121" s="281">
        <v>7592275</v>
      </c>
      <c r="K121" s="283">
        <v>5242715</v>
      </c>
      <c r="L121" s="283">
        <v>1425535</v>
      </c>
      <c r="M121" s="283">
        <v>627712</v>
      </c>
      <c r="N121" s="283">
        <v>141010</v>
      </c>
      <c r="O121" s="283">
        <v>49982</v>
      </c>
      <c r="P121" s="283">
        <v>13455</v>
      </c>
      <c r="Q121" s="283">
        <v>6393</v>
      </c>
      <c r="R121" s="283">
        <v>1323</v>
      </c>
      <c r="S121" s="282">
        <v>812</v>
      </c>
      <c r="T121" s="281">
        <v>15101603</v>
      </c>
      <c r="U121" s="283">
        <v>12752043</v>
      </c>
      <c r="V121" s="283">
        <v>5117683</v>
      </c>
      <c r="W121" s="283">
        <v>2724214</v>
      </c>
      <c r="X121" s="283">
        <v>777406</v>
      </c>
      <c r="Y121" s="283">
        <v>322266</v>
      </c>
      <c r="Z121" s="283">
        <v>103104</v>
      </c>
      <c r="AA121" s="283">
        <v>53670</v>
      </c>
      <c r="AB121" s="283">
        <v>13110</v>
      </c>
      <c r="AC121" s="283">
        <v>8511</v>
      </c>
      <c r="AD121" s="281">
        <v>0</v>
      </c>
      <c r="AE121" s="283">
        <v>2349560</v>
      </c>
      <c r="AF121" s="283">
        <v>9983920</v>
      </c>
      <c r="AG121" s="283">
        <v>12377389</v>
      </c>
      <c r="AH121" s="283">
        <v>14324197</v>
      </c>
      <c r="AI121" s="283">
        <v>14779337</v>
      </c>
      <c r="AJ121" s="283">
        <v>14998499</v>
      </c>
      <c r="AK121" s="283">
        <v>15047933</v>
      </c>
      <c r="AL121" s="283">
        <v>15088493</v>
      </c>
      <c r="AM121" s="282">
        <v>15093092</v>
      </c>
    </row>
    <row r="122" spans="1:39" s="10" customFormat="1" ht="15.6">
      <c r="A122" s="6"/>
      <c r="B122" s="7"/>
      <c r="C122" s="7"/>
      <c r="D122" s="267">
        <v>17</v>
      </c>
      <c r="E122" s="281">
        <v>165846</v>
      </c>
      <c r="F122" s="282">
        <v>3801337</v>
      </c>
      <c r="G122" s="281">
        <v>0</v>
      </c>
      <c r="H122" s="283">
        <v>0</v>
      </c>
      <c r="I122" s="283">
        <v>15648371</v>
      </c>
      <c r="J122" s="281">
        <v>7782039</v>
      </c>
      <c r="K122" s="283">
        <v>5414868</v>
      </c>
      <c r="L122" s="283">
        <v>1520583</v>
      </c>
      <c r="M122" s="283">
        <v>683865</v>
      </c>
      <c r="N122" s="283">
        <v>159338</v>
      </c>
      <c r="O122" s="283">
        <v>58304</v>
      </c>
      <c r="P122" s="283">
        <v>16389</v>
      </c>
      <c r="Q122" s="283">
        <v>8203</v>
      </c>
      <c r="R122" s="283">
        <v>1881</v>
      </c>
      <c r="S122" s="282">
        <v>1235</v>
      </c>
      <c r="T122" s="281">
        <v>15648371</v>
      </c>
      <c r="U122" s="283">
        <v>13281200</v>
      </c>
      <c r="V122" s="283">
        <v>5492630</v>
      </c>
      <c r="W122" s="283">
        <v>2982476</v>
      </c>
      <c r="X122" s="283">
        <v>884368</v>
      </c>
      <c r="Y122" s="283">
        <v>379198</v>
      </c>
      <c r="Z122" s="283">
        <v>127708</v>
      </c>
      <c r="AA122" s="283">
        <v>70406</v>
      </c>
      <c r="AB122" s="283">
        <v>19830</v>
      </c>
      <c r="AC122" s="283">
        <v>14016</v>
      </c>
      <c r="AD122" s="281">
        <v>0</v>
      </c>
      <c r="AE122" s="283">
        <v>2367171</v>
      </c>
      <c r="AF122" s="283">
        <v>10155741</v>
      </c>
      <c r="AG122" s="283">
        <v>12665895</v>
      </c>
      <c r="AH122" s="283">
        <v>14764003</v>
      </c>
      <c r="AI122" s="283">
        <v>15269173</v>
      </c>
      <c r="AJ122" s="283">
        <v>15520663</v>
      </c>
      <c r="AK122" s="283">
        <v>15577965</v>
      </c>
      <c r="AL122" s="283">
        <v>15628541</v>
      </c>
      <c r="AM122" s="282">
        <v>15634355</v>
      </c>
    </row>
    <row r="123" spans="1:39" s="10" customFormat="1" ht="15.6">
      <c r="A123" s="6"/>
      <c r="B123" s="7"/>
      <c r="C123" s="7"/>
      <c r="D123" s="267">
        <v>18</v>
      </c>
      <c r="E123" s="281">
        <v>139951</v>
      </c>
      <c r="F123" s="282">
        <v>3361122</v>
      </c>
      <c r="G123" s="281">
        <v>0</v>
      </c>
      <c r="H123" s="283">
        <v>0</v>
      </c>
      <c r="I123" s="283">
        <v>16088586</v>
      </c>
      <c r="J123" s="281">
        <v>7932147</v>
      </c>
      <c r="K123" s="283">
        <v>5551440</v>
      </c>
      <c r="L123" s="283">
        <v>1601501</v>
      </c>
      <c r="M123" s="283">
        <v>730188</v>
      </c>
      <c r="N123" s="283">
        <v>175761</v>
      </c>
      <c r="O123" s="283">
        <v>64760</v>
      </c>
      <c r="P123" s="283">
        <v>18529</v>
      </c>
      <c r="Q123" s="283">
        <v>9027</v>
      </c>
      <c r="R123" s="283">
        <v>2146</v>
      </c>
      <c r="S123" s="282">
        <v>1338</v>
      </c>
      <c r="T123" s="281">
        <v>16088586</v>
      </c>
      <c r="U123" s="283">
        <v>13707879</v>
      </c>
      <c r="V123" s="283">
        <v>5808001</v>
      </c>
      <c r="W123" s="283">
        <v>3194062</v>
      </c>
      <c r="X123" s="283">
        <v>976354</v>
      </c>
      <c r="Y123" s="283">
        <v>421349</v>
      </c>
      <c r="Z123" s="283">
        <v>143963</v>
      </c>
      <c r="AA123" s="283">
        <v>77449</v>
      </c>
      <c r="AB123" s="283">
        <v>22401</v>
      </c>
      <c r="AC123" s="283">
        <v>15129</v>
      </c>
      <c r="AD123" s="281">
        <v>0</v>
      </c>
      <c r="AE123" s="283">
        <v>2380707</v>
      </c>
      <c r="AF123" s="283">
        <v>10280585</v>
      </c>
      <c r="AG123" s="283">
        <v>12894524</v>
      </c>
      <c r="AH123" s="283">
        <v>15112232</v>
      </c>
      <c r="AI123" s="283">
        <v>15667237</v>
      </c>
      <c r="AJ123" s="283">
        <v>15944623</v>
      </c>
      <c r="AK123" s="283">
        <v>16011137</v>
      </c>
      <c r="AL123" s="283">
        <v>16066185</v>
      </c>
      <c r="AM123" s="282">
        <v>16073457</v>
      </c>
    </row>
    <row r="124" spans="1:39" s="10" customFormat="1" ht="15.6">
      <c r="A124" s="6"/>
      <c r="B124" s="7"/>
      <c r="C124" s="7"/>
      <c r="D124" s="267">
        <v>19</v>
      </c>
      <c r="E124" s="281">
        <v>117011</v>
      </c>
      <c r="F124" s="282">
        <v>2948202</v>
      </c>
      <c r="G124" s="281">
        <v>0</v>
      </c>
      <c r="H124" s="283">
        <v>0</v>
      </c>
      <c r="I124" s="283">
        <v>16501506</v>
      </c>
      <c r="J124" s="281">
        <v>8065847</v>
      </c>
      <c r="K124" s="283">
        <v>5674940</v>
      </c>
      <c r="L124" s="283">
        <v>1679188</v>
      </c>
      <c r="M124" s="283">
        <v>778017</v>
      </c>
      <c r="N124" s="283">
        <v>192933</v>
      </c>
      <c r="O124" s="283">
        <v>72679</v>
      </c>
      <c r="P124" s="283">
        <v>21264</v>
      </c>
      <c r="Q124" s="283">
        <v>10478</v>
      </c>
      <c r="R124" s="283">
        <v>2574</v>
      </c>
      <c r="S124" s="282">
        <v>1631</v>
      </c>
      <c r="T124" s="281">
        <v>16501506</v>
      </c>
      <c r="U124" s="283">
        <v>14110599</v>
      </c>
      <c r="V124" s="283">
        <v>6119095</v>
      </c>
      <c r="W124" s="283">
        <v>3415582</v>
      </c>
      <c r="X124" s="283">
        <v>1075246</v>
      </c>
      <c r="Y124" s="283">
        <v>473976</v>
      </c>
      <c r="Z124" s="283">
        <v>165486</v>
      </c>
      <c r="AA124" s="283">
        <v>89984</v>
      </c>
      <c r="AB124" s="283">
        <v>26752</v>
      </c>
      <c r="AC124" s="283">
        <v>18265</v>
      </c>
      <c r="AD124" s="281">
        <v>0</v>
      </c>
      <c r="AE124" s="283">
        <v>2390907</v>
      </c>
      <c r="AF124" s="283">
        <v>10382411</v>
      </c>
      <c r="AG124" s="283">
        <v>13085924</v>
      </c>
      <c r="AH124" s="283">
        <v>15426260</v>
      </c>
      <c r="AI124" s="283">
        <v>16027530</v>
      </c>
      <c r="AJ124" s="283">
        <v>16336020</v>
      </c>
      <c r="AK124" s="283">
        <v>16411522</v>
      </c>
      <c r="AL124" s="283">
        <v>16474754</v>
      </c>
      <c r="AM124" s="282">
        <v>16483241</v>
      </c>
    </row>
    <row r="125" spans="1:39" s="10" customFormat="1" ht="15.6">
      <c r="A125" s="6"/>
      <c r="B125" s="7"/>
      <c r="C125" s="7"/>
      <c r="D125" s="274">
        <v>20</v>
      </c>
      <c r="E125" s="278">
        <v>98794</v>
      </c>
      <c r="F125" s="280">
        <v>2602079</v>
      </c>
      <c r="G125" s="278">
        <v>0</v>
      </c>
      <c r="H125" s="279">
        <v>0</v>
      </c>
      <c r="I125" s="279">
        <v>16847629</v>
      </c>
      <c r="J125" s="278">
        <v>8174792</v>
      </c>
      <c r="K125" s="279">
        <v>5775978</v>
      </c>
      <c r="L125" s="279">
        <v>1746645</v>
      </c>
      <c r="M125" s="279">
        <v>819832</v>
      </c>
      <c r="N125" s="279">
        <v>208916</v>
      </c>
      <c r="O125" s="279">
        <v>79626</v>
      </c>
      <c r="P125" s="279">
        <v>23653</v>
      </c>
      <c r="Q125" s="279">
        <v>11430</v>
      </c>
      <c r="R125" s="279">
        <v>2913</v>
      </c>
      <c r="S125" s="280">
        <v>1771</v>
      </c>
      <c r="T125" s="278">
        <v>16847629</v>
      </c>
      <c r="U125" s="279">
        <v>14448815</v>
      </c>
      <c r="V125" s="279">
        <v>6390149</v>
      </c>
      <c r="W125" s="279">
        <v>3609710</v>
      </c>
      <c r="X125" s="279">
        <v>1166046</v>
      </c>
      <c r="Y125" s="279">
        <v>519596</v>
      </c>
      <c r="Z125" s="279">
        <v>183758</v>
      </c>
      <c r="AA125" s="279">
        <v>98197</v>
      </c>
      <c r="AB125" s="279">
        <v>30061</v>
      </c>
      <c r="AC125" s="279">
        <v>19783</v>
      </c>
      <c r="AD125" s="278">
        <v>0</v>
      </c>
      <c r="AE125" s="279">
        <v>2398814</v>
      </c>
      <c r="AF125" s="279">
        <v>10457480</v>
      </c>
      <c r="AG125" s="279">
        <v>13237919</v>
      </c>
      <c r="AH125" s="279">
        <v>15681583</v>
      </c>
      <c r="AI125" s="279">
        <v>16328033</v>
      </c>
      <c r="AJ125" s="279">
        <v>16663871</v>
      </c>
      <c r="AK125" s="279">
        <v>16749432</v>
      </c>
      <c r="AL125" s="279">
        <v>16817568</v>
      </c>
      <c r="AM125" s="280">
        <v>16827846</v>
      </c>
    </row>
    <row r="126" spans="1:39" s="10" customFormat="1" ht="15.6">
      <c r="A126" s="6"/>
      <c r="B126" s="7"/>
      <c r="C126" s="7"/>
      <c r="D126" s="267">
        <v>21</v>
      </c>
      <c r="E126" s="281">
        <v>82740</v>
      </c>
      <c r="F126" s="282">
        <v>2280999</v>
      </c>
      <c r="G126" s="281">
        <v>0</v>
      </c>
      <c r="H126" s="283">
        <v>0</v>
      </c>
      <c r="I126" s="283">
        <v>17168709</v>
      </c>
      <c r="J126" s="281">
        <v>8270708</v>
      </c>
      <c r="K126" s="283">
        <v>5866084</v>
      </c>
      <c r="L126" s="283">
        <v>1809844</v>
      </c>
      <c r="M126" s="283">
        <v>862115</v>
      </c>
      <c r="N126" s="283">
        <v>225210</v>
      </c>
      <c r="O126" s="283">
        <v>87516</v>
      </c>
      <c r="P126" s="283">
        <v>26578</v>
      </c>
      <c r="Q126" s="283">
        <v>12980</v>
      </c>
      <c r="R126" s="283">
        <v>3356</v>
      </c>
      <c r="S126" s="282">
        <v>2049</v>
      </c>
      <c r="T126" s="281">
        <v>17168709</v>
      </c>
      <c r="U126" s="283">
        <v>14764085</v>
      </c>
      <c r="V126" s="283">
        <v>6651605</v>
      </c>
      <c r="W126" s="283">
        <v>3808418</v>
      </c>
      <c r="X126" s="283">
        <v>1260798</v>
      </c>
      <c r="Y126" s="283">
        <v>572328</v>
      </c>
      <c r="Z126" s="283">
        <v>206700</v>
      </c>
      <c r="AA126" s="283">
        <v>111514</v>
      </c>
      <c r="AB126" s="283">
        <v>34522</v>
      </c>
      <c r="AC126" s="283">
        <v>22759</v>
      </c>
      <c r="AD126" s="284">
        <v>0</v>
      </c>
      <c r="AE126" s="285">
        <v>2404624</v>
      </c>
      <c r="AF126" s="285">
        <v>10517104</v>
      </c>
      <c r="AG126" s="285">
        <v>13360291</v>
      </c>
      <c r="AH126" s="285">
        <v>15907911</v>
      </c>
      <c r="AI126" s="285">
        <v>16596381</v>
      </c>
      <c r="AJ126" s="285">
        <v>16962009</v>
      </c>
      <c r="AK126" s="285">
        <v>17057195</v>
      </c>
      <c r="AL126" s="285">
        <v>17134187</v>
      </c>
      <c r="AM126" s="286">
        <v>17145950</v>
      </c>
    </row>
    <row r="127" spans="1:39" s="10" customFormat="1" ht="15.6">
      <c r="A127" s="6"/>
      <c r="B127" s="7"/>
      <c r="C127" s="7"/>
      <c r="D127" s="267">
        <v>22</v>
      </c>
      <c r="E127" s="281">
        <v>70465</v>
      </c>
      <c r="F127" s="282">
        <v>2023224</v>
      </c>
      <c r="G127" s="281">
        <v>0</v>
      </c>
      <c r="H127" s="283">
        <v>0</v>
      </c>
      <c r="I127" s="283">
        <v>17426484</v>
      </c>
      <c r="J127" s="281">
        <v>8346310</v>
      </c>
      <c r="K127" s="283">
        <v>5937198</v>
      </c>
      <c r="L127" s="283">
        <v>1861513</v>
      </c>
      <c r="M127" s="283">
        <v>896238</v>
      </c>
      <c r="N127" s="283">
        <v>239791</v>
      </c>
      <c r="O127" s="283">
        <v>94153</v>
      </c>
      <c r="P127" s="283">
        <v>29023</v>
      </c>
      <c r="Q127" s="283">
        <v>13967</v>
      </c>
      <c r="R127" s="283">
        <v>3705</v>
      </c>
      <c r="S127" s="282">
        <v>2206</v>
      </c>
      <c r="T127" s="281">
        <v>17426484</v>
      </c>
      <c r="U127" s="283">
        <v>15017372</v>
      </c>
      <c r="V127" s="283">
        <v>6866002</v>
      </c>
      <c r="W127" s="283">
        <v>3970177</v>
      </c>
      <c r="X127" s="283">
        <v>1344389</v>
      </c>
      <c r="Y127" s="283">
        <v>616199</v>
      </c>
      <c r="Z127" s="283">
        <v>225419</v>
      </c>
      <c r="AA127" s="283">
        <v>120027</v>
      </c>
      <c r="AB127" s="283">
        <v>37931</v>
      </c>
      <c r="AC127" s="283">
        <v>24440</v>
      </c>
      <c r="AD127" s="281">
        <v>0</v>
      </c>
      <c r="AE127" s="283">
        <v>2409112</v>
      </c>
      <c r="AF127" s="283">
        <v>10560482</v>
      </c>
      <c r="AG127" s="283">
        <v>13456307</v>
      </c>
      <c r="AH127" s="283">
        <v>16082095</v>
      </c>
      <c r="AI127" s="283">
        <v>16810285</v>
      </c>
      <c r="AJ127" s="283">
        <v>17201065</v>
      </c>
      <c r="AK127" s="283">
        <v>17306457</v>
      </c>
      <c r="AL127" s="283">
        <v>17388553</v>
      </c>
      <c r="AM127" s="282">
        <v>17402044</v>
      </c>
    </row>
    <row r="128" spans="1:39" s="10" customFormat="1" ht="15.6">
      <c r="A128" s="6"/>
      <c r="B128" s="7"/>
      <c r="C128" s="7"/>
      <c r="D128" s="267">
        <v>23</v>
      </c>
      <c r="E128" s="281">
        <v>59517</v>
      </c>
      <c r="F128" s="282">
        <v>1782368</v>
      </c>
      <c r="G128" s="281">
        <v>0</v>
      </c>
      <c r="H128" s="283">
        <v>0</v>
      </c>
      <c r="I128" s="283">
        <v>17667340</v>
      </c>
      <c r="J128" s="281">
        <v>8413435</v>
      </c>
      <c r="K128" s="283">
        <v>6000897</v>
      </c>
      <c r="L128" s="283">
        <v>1909580</v>
      </c>
      <c r="M128" s="283">
        <v>930283</v>
      </c>
      <c r="N128" s="283">
        <v>254750</v>
      </c>
      <c r="O128" s="283">
        <v>101700</v>
      </c>
      <c r="P128" s="283">
        <v>31908</v>
      </c>
      <c r="Q128" s="283">
        <v>15483</v>
      </c>
      <c r="R128" s="283">
        <v>4175</v>
      </c>
      <c r="S128" s="282">
        <v>2511</v>
      </c>
      <c r="T128" s="281">
        <v>17667340</v>
      </c>
      <c r="U128" s="283">
        <v>15254802</v>
      </c>
      <c r="V128" s="283">
        <v>7072168</v>
      </c>
      <c r="W128" s="283">
        <v>4134277</v>
      </c>
      <c r="X128" s="283">
        <v>1432145</v>
      </c>
      <c r="Y128" s="283">
        <v>666895</v>
      </c>
      <c r="Z128" s="283">
        <v>248143</v>
      </c>
      <c r="AA128" s="283">
        <v>133168</v>
      </c>
      <c r="AB128" s="283">
        <v>42704</v>
      </c>
      <c r="AC128" s="283">
        <v>27728</v>
      </c>
      <c r="AD128" s="281">
        <v>0</v>
      </c>
      <c r="AE128" s="283">
        <v>2412538</v>
      </c>
      <c r="AF128" s="283">
        <v>10595172</v>
      </c>
      <c r="AG128" s="283">
        <v>13533063</v>
      </c>
      <c r="AH128" s="283">
        <v>16235195</v>
      </c>
      <c r="AI128" s="283">
        <v>17000445</v>
      </c>
      <c r="AJ128" s="283">
        <v>17419197</v>
      </c>
      <c r="AK128" s="283">
        <v>17534172</v>
      </c>
      <c r="AL128" s="283">
        <v>17624636</v>
      </c>
      <c r="AM128" s="282">
        <v>17639612</v>
      </c>
    </row>
    <row r="129" spans="1:39" s="10" customFormat="1" ht="15.6">
      <c r="A129" s="6"/>
      <c r="B129" s="7"/>
      <c r="C129" s="7"/>
      <c r="D129" s="267">
        <v>24</v>
      </c>
      <c r="E129" s="281">
        <v>50872</v>
      </c>
      <c r="F129" s="282">
        <v>1583533</v>
      </c>
      <c r="G129" s="281">
        <v>0</v>
      </c>
      <c r="H129" s="283">
        <v>0</v>
      </c>
      <c r="I129" s="283">
        <v>17866175</v>
      </c>
      <c r="J129" s="281">
        <v>8467586</v>
      </c>
      <c r="K129" s="283">
        <v>6052527</v>
      </c>
      <c r="L129" s="283">
        <v>1949623</v>
      </c>
      <c r="M129" s="283">
        <v>958938</v>
      </c>
      <c r="N129" s="283">
        <v>268170</v>
      </c>
      <c r="O129" s="283">
        <v>108142</v>
      </c>
      <c r="P129" s="283">
        <v>34538</v>
      </c>
      <c r="Q129" s="283">
        <v>16623</v>
      </c>
      <c r="R129" s="283">
        <v>4575</v>
      </c>
      <c r="S129" s="282">
        <v>2688</v>
      </c>
      <c r="T129" s="281">
        <v>17866175</v>
      </c>
      <c r="U129" s="283">
        <v>15451116</v>
      </c>
      <c r="V129" s="283">
        <v>7245308</v>
      </c>
      <c r="W129" s="283">
        <v>4273253</v>
      </c>
      <c r="X129" s="283">
        <v>1510181</v>
      </c>
      <c r="Y129" s="283">
        <v>710041</v>
      </c>
      <c r="Z129" s="283">
        <v>268417</v>
      </c>
      <c r="AA129" s="283">
        <v>143012</v>
      </c>
      <c r="AB129" s="283">
        <v>46628</v>
      </c>
      <c r="AC129" s="283">
        <v>29645</v>
      </c>
      <c r="AD129" s="281">
        <v>0</v>
      </c>
      <c r="AE129" s="283">
        <v>2415059</v>
      </c>
      <c r="AF129" s="283">
        <v>10620867</v>
      </c>
      <c r="AG129" s="283">
        <v>13592922</v>
      </c>
      <c r="AH129" s="283">
        <v>16355994</v>
      </c>
      <c r="AI129" s="283">
        <v>17156134</v>
      </c>
      <c r="AJ129" s="283">
        <v>17597758</v>
      </c>
      <c r="AK129" s="283">
        <v>17723163</v>
      </c>
      <c r="AL129" s="283">
        <v>17819547</v>
      </c>
      <c r="AM129" s="282">
        <v>17836530</v>
      </c>
    </row>
    <row r="130" spans="1:39" s="10" customFormat="1" ht="15.6">
      <c r="A130" s="6"/>
      <c r="B130" s="7"/>
      <c r="C130" s="7"/>
      <c r="D130" s="267">
        <v>25</v>
      </c>
      <c r="E130" s="281">
        <v>42865</v>
      </c>
      <c r="F130" s="282">
        <v>1391365</v>
      </c>
      <c r="G130" s="281">
        <v>0</v>
      </c>
      <c r="H130" s="283">
        <v>0</v>
      </c>
      <c r="I130" s="283">
        <v>18058343</v>
      </c>
      <c r="J130" s="281">
        <v>8517073</v>
      </c>
      <c r="K130" s="283">
        <v>6100010</v>
      </c>
      <c r="L130" s="283">
        <v>1987835</v>
      </c>
      <c r="M130" s="283">
        <v>987852</v>
      </c>
      <c r="N130" s="283">
        <v>281716</v>
      </c>
      <c r="O130" s="283">
        <v>115497</v>
      </c>
      <c r="P130" s="283">
        <v>37729</v>
      </c>
      <c r="Q130" s="283">
        <v>18462</v>
      </c>
      <c r="R130" s="283">
        <v>5231</v>
      </c>
      <c r="S130" s="282">
        <v>3109</v>
      </c>
      <c r="T130" s="281">
        <v>18058343</v>
      </c>
      <c r="U130" s="283">
        <v>15641280</v>
      </c>
      <c r="V130" s="283">
        <v>7416930</v>
      </c>
      <c r="W130" s="283">
        <v>4416981</v>
      </c>
      <c r="X130" s="283">
        <v>1592437</v>
      </c>
      <c r="Y130" s="283">
        <v>761342</v>
      </c>
      <c r="Z130" s="283">
        <v>294734</v>
      </c>
      <c r="AA130" s="283">
        <v>159865</v>
      </c>
      <c r="AB130" s="283">
        <v>54017</v>
      </c>
      <c r="AC130" s="283">
        <v>34919</v>
      </c>
      <c r="AD130" s="281">
        <v>0</v>
      </c>
      <c r="AE130" s="283">
        <v>2417063</v>
      </c>
      <c r="AF130" s="283">
        <v>10641413</v>
      </c>
      <c r="AG130" s="283">
        <v>13641362</v>
      </c>
      <c r="AH130" s="283">
        <v>16465906</v>
      </c>
      <c r="AI130" s="283">
        <v>17297001</v>
      </c>
      <c r="AJ130" s="283">
        <v>17763609</v>
      </c>
      <c r="AK130" s="283">
        <v>17898478</v>
      </c>
      <c r="AL130" s="283">
        <v>18004326</v>
      </c>
      <c r="AM130" s="282">
        <v>18023424</v>
      </c>
    </row>
    <row r="131" spans="1:39" s="10" customFormat="1" ht="15.6">
      <c r="A131" s="6"/>
      <c r="B131" s="7"/>
      <c r="C131" s="7"/>
      <c r="D131" s="267">
        <v>26</v>
      </c>
      <c r="E131" s="281">
        <v>36769</v>
      </c>
      <c r="F131" s="282">
        <v>1238965</v>
      </c>
      <c r="G131" s="281">
        <v>0</v>
      </c>
      <c r="H131" s="283">
        <v>0</v>
      </c>
      <c r="I131" s="283">
        <v>18210743</v>
      </c>
      <c r="J131" s="281">
        <v>8555915</v>
      </c>
      <c r="K131" s="283">
        <v>6137412</v>
      </c>
      <c r="L131" s="283">
        <v>2018484</v>
      </c>
      <c r="M131" s="283">
        <v>1011027</v>
      </c>
      <c r="N131" s="283">
        <v>293465</v>
      </c>
      <c r="O131" s="283">
        <v>121599</v>
      </c>
      <c r="P131" s="283">
        <v>40244</v>
      </c>
      <c r="Q131" s="283">
        <v>19638</v>
      </c>
      <c r="R131" s="283">
        <v>5680</v>
      </c>
      <c r="S131" s="282">
        <v>3302</v>
      </c>
      <c r="T131" s="281">
        <v>18210743</v>
      </c>
      <c r="U131" s="283">
        <v>15792240</v>
      </c>
      <c r="V131" s="283">
        <v>7554384</v>
      </c>
      <c r="W131" s="283">
        <v>4532013</v>
      </c>
      <c r="X131" s="283">
        <v>1661765</v>
      </c>
      <c r="Y131" s="283">
        <v>802435</v>
      </c>
      <c r="Z131" s="283">
        <v>314305</v>
      </c>
      <c r="AA131" s="283">
        <v>170063</v>
      </c>
      <c r="AB131" s="283">
        <v>58399</v>
      </c>
      <c r="AC131" s="283">
        <v>36997</v>
      </c>
      <c r="AD131" s="281">
        <v>0</v>
      </c>
      <c r="AE131" s="283">
        <v>2418503</v>
      </c>
      <c r="AF131" s="283">
        <v>10656359</v>
      </c>
      <c r="AG131" s="283">
        <v>13678730</v>
      </c>
      <c r="AH131" s="283">
        <v>16548978</v>
      </c>
      <c r="AI131" s="283">
        <v>17408308</v>
      </c>
      <c r="AJ131" s="283">
        <v>17896438</v>
      </c>
      <c r="AK131" s="283">
        <v>18040680</v>
      </c>
      <c r="AL131" s="283">
        <v>18152344</v>
      </c>
      <c r="AM131" s="282">
        <v>18173746</v>
      </c>
    </row>
    <row r="132" spans="1:39" s="10" customFormat="1" ht="15.6">
      <c r="A132" s="6"/>
      <c r="B132" s="7"/>
      <c r="C132" s="7"/>
      <c r="D132" s="267">
        <v>27</v>
      </c>
      <c r="E132" s="281">
        <v>31303</v>
      </c>
      <c r="F132" s="282">
        <v>1096849</v>
      </c>
      <c r="G132" s="281">
        <v>0</v>
      </c>
      <c r="H132" s="283">
        <v>0</v>
      </c>
      <c r="I132" s="283">
        <v>18352859</v>
      </c>
      <c r="J132" s="281">
        <v>8590690</v>
      </c>
      <c r="K132" s="283">
        <v>6171107</v>
      </c>
      <c r="L132" s="283">
        <v>2046649</v>
      </c>
      <c r="M132" s="283">
        <v>1033298</v>
      </c>
      <c r="N132" s="283">
        <v>304973</v>
      </c>
      <c r="O132" s="283">
        <v>128006</v>
      </c>
      <c r="P132" s="283">
        <v>42966</v>
      </c>
      <c r="Q132" s="283">
        <v>21077</v>
      </c>
      <c r="R132" s="283">
        <v>6197</v>
      </c>
      <c r="S132" s="282">
        <v>3617</v>
      </c>
      <c r="T132" s="281">
        <v>18352859</v>
      </c>
      <c r="U132" s="283">
        <v>15933276</v>
      </c>
      <c r="V132" s="283">
        <v>7684360</v>
      </c>
      <c r="W132" s="283">
        <v>4644307</v>
      </c>
      <c r="X132" s="283">
        <v>1731007</v>
      </c>
      <c r="Y132" s="283">
        <v>846172</v>
      </c>
      <c r="Z132" s="283">
        <v>335932</v>
      </c>
      <c r="AA132" s="283">
        <v>182709</v>
      </c>
      <c r="AB132" s="283">
        <v>63669</v>
      </c>
      <c r="AC132" s="283">
        <v>40449</v>
      </c>
      <c r="AD132" s="281">
        <v>0</v>
      </c>
      <c r="AE132" s="283">
        <v>2419583</v>
      </c>
      <c r="AF132" s="283">
        <v>10668499</v>
      </c>
      <c r="AG132" s="283">
        <v>13708552</v>
      </c>
      <c r="AH132" s="283">
        <v>16621852</v>
      </c>
      <c r="AI132" s="283">
        <v>17506687</v>
      </c>
      <c r="AJ132" s="283">
        <v>18016927</v>
      </c>
      <c r="AK132" s="283">
        <v>18170150</v>
      </c>
      <c r="AL132" s="283">
        <v>18289190</v>
      </c>
      <c r="AM132" s="282">
        <v>18312410</v>
      </c>
    </row>
    <row r="133" spans="1:39" s="10" customFormat="1" ht="15.6">
      <c r="A133" s="6"/>
      <c r="B133" s="7"/>
      <c r="C133" s="7"/>
      <c r="D133" s="267">
        <v>28</v>
      </c>
      <c r="E133" s="281">
        <v>27008</v>
      </c>
      <c r="F133" s="282">
        <v>980884</v>
      </c>
      <c r="G133" s="281">
        <v>0</v>
      </c>
      <c r="H133" s="283">
        <v>0</v>
      </c>
      <c r="I133" s="283">
        <v>18468824</v>
      </c>
      <c r="J133" s="281">
        <v>8618361</v>
      </c>
      <c r="K133" s="283">
        <v>6197899</v>
      </c>
      <c r="L133" s="283">
        <v>2069591</v>
      </c>
      <c r="M133" s="283">
        <v>1051692</v>
      </c>
      <c r="N133" s="283">
        <v>315061</v>
      </c>
      <c r="O133" s="283">
        <v>133516</v>
      </c>
      <c r="P133" s="283">
        <v>45479</v>
      </c>
      <c r="Q133" s="283">
        <v>22222</v>
      </c>
      <c r="R133" s="283">
        <v>6661</v>
      </c>
      <c r="S133" s="282">
        <v>3866</v>
      </c>
      <c r="T133" s="281">
        <v>18468824</v>
      </c>
      <c r="U133" s="283">
        <v>16048362</v>
      </c>
      <c r="V133" s="283">
        <v>7791746</v>
      </c>
      <c r="W133" s="283">
        <v>4738049</v>
      </c>
      <c r="X133" s="283">
        <v>1791525</v>
      </c>
      <c r="Y133" s="283">
        <v>883800</v>
      </c>
      <c r="Z133" s="283">
        <v>355578</v>
      </c>
      <c r="AA133" s="283">
        <v>192779</v>
      </c>
      <c r="AB133" s="283">
        <v>68291</v>
      </c>
      <c r="AC133" s="283">
        <v>43136</v>
      </c>
      <c r="AD133" s="281">
        <v>0</v>
      </c>
      <c r="AE133" s="283">
        <v>2420462</v>
      </c>
      <c r="AF133" s="283">
        <v>10677078</v>
      </c>
      <c r="AG133" s="283">
        <v>13730775</v>
      </c>
      <c r="AH133" s="283">
        <v>16677299</v>
      </c>
      <c r="AI133" s="283">
        <v>17585024</v>
      </c>
      <c r="AJ133" s="283">
        <v>18113246</v>
      </c>
      <c r="AK133" s="283">
        <v>18276045</v>
      </c>
      <c r="AL133" s="283">
        <v>18400533</v>
      </c>
      <c r="AM133" s="282">
        <v>18425688</v>
      </c>
    </row>
    <row r="134" spans="1:39" s="10" customFormat="1" ht="15.6">
      <c r="A134" s="6"/>
      <c r="B134" s="7"/>
      <c r="C134" s="7"/>
      <c r="D134" s="267">
        <v>29</v>
      </c>
      <c r="E134" s="281">
        <v>23084</v>
      </c>
      <c r="F134" s="282">
        <v>871012</v>
      </c>
      <c r="G134" s="281">
        <v>0</v>
      </c>
      <c r="H134" s="283">
        <v>0</v>
      </c>
      <c r="I134" s="283">
        <v>18578696</v>
      </c>
      <c r="J134" s="281">
        <v>8643489</v>
      </c>
      <c r="K134" s="283">
        <v>6222342</v>
      </c>
      <c r="L134" s="283">
        <v>2090953</v>
      </c>
      <c r="M134" s="283">
        <v>1069558</v>
      </c>
      <c r="N134" s="283">
        <v>324944</v>
      </c>
      <c r="O134" s="283">
        <v>139332</v>
      </c>
      <c r="P134" s="283">
        <v>48155</v>
      </c>
      <c r="Q134" s="283">
        <v>23746</v>
      </c>
      <c r="R134" s="283">
        <v>7209</v>
      </c>
      <c r="S134" s="282">
        <v>4179</v>
      </c>
      <c r="T134" s="281">
        <v>18578696</v>
      </c>
      <c r="U134" s="283">
        <v>16157549</v>
      </c>
      <c r="V134" s="283">
        <v>7894771</v>
      </c>
      <c r="W134" s="283">
        <v>4830586</v>
      </c>
      <c r="X134" s="283">
        <v>1852130</v>
      </c>
      <c r="Y134" s="283">
        <v>924070</v>
      </c>
      <c r="Z134" s="283">
        <v>377008</v>
      </c>
      <c r="AA134" s="283">
        <v>206145</v>
      </c>
      <c r="AB134" s="283">
        <v>73849</v>
      </c>
      <c r="AC134" s="283">
        <v>46579</v>
      </c>
      <c r="AD134" s="281">
        <v>0</v>
      </c>
      <c r="AE134" s="283">
        <v>2421147</v>
      </c>
      <c r="AF134" s="283">
        <v>10683925</v>
      </c>
      <c r="AG134" s="283">
        <v>13748110</v>
      </c>
      <c r="AH134" s="283">
        <v>16726566</v>
      </c>
      <c r="AI134" s="283">
        <v>17654626</v>
      </c>
      <c r="AJ134" s="283">
        <v>18201688</v>
      </c>
      <c r="AK134" s="283">
        <v>18372551</v>
      </c>
      <c r="AL134" s="283">
        <v>18504847</v>
      </c>
      <c r="AM134" s="282">
        <v>18532117</v>
      </c>
    </row>
    <row r="135" spans="1:39" s="10" customFormat="1" ht="15.6">
      <c r="A135" s="6"/>
      <c r="B135" s="7"/>
      <c r="C135" s="7"/>
      <c r="D135" s="274">
        <v>30</v>
      </c>
      <c r="E135" s="278">
        <v>20107</v>
      </c>
      <c r="F135" s="280">
        <v>784679</v>
      </c>
      <c r="G135" s="278">
        <v>0</v>
      </c>
      <c r="H135" s="279">
        <v>0</v>
      </c>
      <c r="I135" s="279">
        <v>18665029</v>
      </c>
      <c r="J135" s="278">
        <v>8662931</v>
      </c>
      <c r="K135" s="279">
        <v>6241273</v>
      </c>
      <c r="L135" s="279">
        <v>2107626</v>
      </c>
      <c r="M135" s="279">
        <v>1083349</v>
      </c>
      <c r="N135" s="279">
        <v>333208</v>
      </c>
      <c r="O135" s="279">
        <v>144167</v>
      </c>
      <c r="P135" s="279">
        <v>50499</v>
      </c>
      <c r="Q135" s="279">
        <v>24924</v>
      </c>
      <c r="R135" s="279">
        <v>7663</v>
      </c>
      <c r="S135" s="280">
        <v>4389</v>
      </c>
      <c r="T135" s="278">
        <v>18665029</v>
      </c>
      <c r="U135" s="279">
        <v>16243371</v>
      </c>
      <c r="V135" s="279">
        <v>7976077</v>
      </c>
      <c r="W135" s="279">
        <v>4903246</v>
      </c>
      <c r="X135" s="279">
        <v>1902682</v>
      </c>
      <c r="Y135" s="279">
        <v>957477</v>
      </c>
      <c r="Z135" s="279">
        <v>395469</v>
      </c>
      <c r="AA135" s="279">
        <v>216444</v>
      </c>
      <c r="AB135" s="279">
        <v>78356</v>
      </c>
      <c r="AC135" s="279">
        <v>48890</v>
      </c>
      <c r="AD135" s="278">
        <v>0</v>
      </c>
      <c r="AE135" s="279">
        <v>2421658</v>
      </c>
      <c r="AF135" s="279">
        <v>10688952</v>
      </c>
      <c r="AG135" s="279">
        <v>13761783</v>
      </c>
      <c r="AH135" s="279">
        <v>16762347</v>
      </c>
      <c r="AI135" s="279">
        <v>17707552</v>
      </c>
      <c r="AJ135" s="279">
        <v>18269560</v>
      </c>
      <c r="AK135" s="279">
        <v>18448585</v>
      </c>
      <c r="AL135" s="279">
        <v>18586673</v>
      </c>
      <c r="AM135" s="280">
        <v>18616139</v>
      </c>
    </row>
    <row r="136" spans="1:39" s="10" customFormat="1" ht="15.6">
      <c r="A136" s="6"/>
      <c r="B136" s="7"/>
      <c r="C136" s="7"/>
      <c r="D136" s="267">
        <v>31</v>
      </c>
      <c r="E136" s="281">
        <v>17359</v>
      </c>
      <c r="F136" s="282">
        <v>702239</v>
      </c>
      <c r="G136" s="281">
        <v>0</v>
      </c>
      <c r="H136" s="283">
        <v>0</v>
      </c>
      <c r="I136" s="283">
        <v>18747469</v>
      </c>
      <c r="J136" s="281">
        <v>8680629</v>
      </c>
      <c r="K136" s="283">
        <v>6258589</v>
      </c>
      <c r="L136" s="283">
        <v>2123058</v>
      </c>
      <c r="M136" s="283">
        <v>1096595</v>
      </c>
      <c r="N136" s="283">
        <v>341578</v>
      </c>
      <c r="O136" s="283">
        <v>149411</v>
      </c>
      <c r="P136" s="283">
        <v>53018</v>
      </c>
      <c r="Q136" s="283">
        <v>26382</v>
      </c>
      <c r="R136" s="283">
        <v>8221</v>
      </c>
      <c r="S136" s="282">
        <v>4692</v>
      </c>
      <c r="T136" s="281">
        <v>18747469</v>
      </c>
      <c r="U136" s="283">
        <v>16325429</v>
      </c>
      <c r="V136" s="283">
        <v>8054367</v>
      </c>
      <c r="W136" s="283">
        <v>4974978</v>
      </c>
      <c r="X136" s="283">
        <v>1954910</v>
      </c>
      <c r="Y136" s="283">
        <v>994075</v>
      </c>
      <c r="Z136" s="283">
        <v>415717</v>
      </c>
      <c r="AA136" s="283">
        <v>229265</v>
      </c>
      <c r="AB136" s="283">
        <v>83977</v>
      </c>
      <c r="AC136" s="283">
        <v>52216</v>
      </c>
      <c r="AD136" s="284">
        <v>0</v>
      </c>
      <c r="AE136" s="285">
        <v>2422040</v>
      </c>
      <c r="AF136" s="285">
        <v>10693102</v>
      </c>
      <c r="AG136" s="285">
        <v>13772491</v>
      </c>
      <c r="AH136" s="285">
        <v>16792559</v>
      </c>
      <c r="AI136" s="285">
        <v>17753394</v>
      </c>
      <c r="AJ136" s="285">
        <v>18331752</v>
      </c>
      <c r="AK136" s="285">
        <v>18518204</v>
      </c>
      <c r="AL136" s="285">
        <v>18663492</v>
      </c>
      <c r="AM136" s="286">
        <v>18695253</v>
      </c>
    </row>
    <row r="137" spans="1:39" s="10" customFormat="1" ht="15.6">
      <c r="A137" s="6"/>
      <c r="B137" s="7"/>
      <c r="C137" s="7"/>
      <c r="D137" s="267">
        <v>32</v>
      </c>
      <c r="E137" s="281">
        <v>15159</v>
      </c>
      <c r="F137" s="282">
        <v>634039</v>
      </c>
      <c r="G137" s="281">
        <v>0</v>
      </c>
      <c r="H137" s="283">
        <v>0</v>
      </c>
      <c r="I137" s="283">
        <v>18815669</v>
      </c>
      <c r="J137" s="281">
        <v>8695073</v>
      </c>
      <c r="K137" s="283">
        <v>6272737</v>
      </c>
      <c r="L137" s="283">
        <v>2135786</v>
      </c>
      <c r="M137" s="283">
        <v>1107524</v>
      </c>
      <c r="N137" s="283">
        <v>348796</v>
      </c>
      <c r="O137" s="283">
        <v>153908</v>
      </c>
      <c r="P137" s="283">
        <v>55228</v>
      </c>
      <c r="Q137" s="283">
        <v>27506</v>
      </c>
      <c r="R137" s="283">
        <v>8690</v>
      </c>
      <c r="S137" s="282">
        <v>4922</v>
      </c>
      <c r="T137" s="281">
        <v>18815669</v>
      </c>
      <c r="U137" s="283">
        <v>16393333</v>
      </c>
      <c r="V137" s="283">
        <v>8119431</v>
      </c>
      <c r="W137" s="283">
        <v>5034645</v>
      </c>
      <c r="X137" s="283">
        <v>1999733</v>
      </c>
      <c r="Y137" s="283">
        <v>1025293</v>
      </c>
      <c r="Z137" s="283">
        <v>433213</v>
      </c>
      <c r="AA137" s="283">
        <v>239159</v>
      </c>
      <c r="AB137" s="283">
        <v>88631</v>
      </c>
      <c r="AC137" s="283">
        <v>54719</v>
      </c>
      <c r="AD137" s="281">
        <v>0</v>
      </c>
      <c r="AE137" s="283">
        <v>2422336</v>
      </c>
      <c r="AF137" s="283">
        <v>10696238</v>
      </c>
      <c r="AG137" s="283">
        <v>13781024</v>
      </c>
      <c r="AH137" s="283">
        <v>16815936</v>
      </c>
      <c r="AI137" s="283">
        <v>17790376</v>
      </c>
      <c r="AJ137" s="283">
        <v>18382456</v>
      </c>
      <c r="AK137" s="283">
        <v>18576510</v>
      </c>
      <c r="AL137" s="283">
        <v>18727038</v>
      </c>
      <c r="AM137" s="282">
        <v>18760950</v>
      </c>
    </row>
    <row r="138" spans="1:39" s="10" customFormat="1" ht="15.6">
      <c r="A138" s="6"/>
      <c r="B138" s="7"/>
      <c r="C138" s="7"/>
      <c r="D138" s="267">
        <v>33</v>
      </c>
      <c r="E138" s="281">
        <v>13011</v>
      </c>
      <c r="F138" s="282">
        <v>565303</v>
      </c>
      <c r="G138" s="281">
        <v>0</v>
      </c>
      <c r="H138" s="283">
        <v>0</v>
      </c>
      <c r="I138" s="283">
        <v>18884405</v>
      </c>
      <c r="J138" s="281">
        <v>8708515</v>
      </c>
      <c r="K138" s="283">
        <v>6285929</v>
      </c>
      <c r="L138" s="283">
        <v>2147820</v>
      </c>
      <c r="M138" s="283">
        <v>1118203</v>
      </c>
      <c r="N138" s="283">
        <v>356057</v>
      </c>
      <c r="O138" s="283">
        <v>158747</v>
      </c>
      <c r="P138" s="283">
        <v>57880</v>
      </c>
      <c r="Q138" s="283">
        <v>29199</v>
      </c>
      <c r="R138" s="283">
        <v>9434</v>
      </c>
      <c r="S138" s="282">
        <v>5421</v>
      </c>
      <c r="T138" s="281">
        <v>18884405</v>
      </c>
      <c r="U138" s="283">
        <v>16461819</v>
      </c>
      <c r="V138" s="283">
        <v>8185601</v>
      </c>
      <c r="W138" s="283">
        <v>5096750</v>
      </c>
      <c r="X138" s="283">
        <v>2048166</v>
      </c>
      <c r="Y138" s="283">
        <v>1061616</v>
      </c>
      <c r="Z138" s="283">
        <v>456414</v>
      </c>
      <c r="AA138" s="283">
        <v>255647</v>
      </c>
      <c r="AB138" s="283">
        <v>97527</v>
      </c>
      <c r="AC138" s="283">
        <v>61410</v>
      </c>
      <c r="AD138" s="281">
        <v>0</v>
      </c>
      <c r="AE138" s="283">
        <v>2422586</v>
      </c>
      <c r="AF138" s="283">
        <v>10698804</v>
      </c>
      <c r="AG138" s="283">
        <v>13787655</v>
      </c>
      <c r="AH138" s="283">
        <v>16836239</v>
      </c>
      <c r="AI138" s="283">
        <v>17822789</v>
      </c>
      <c r="AJ138" s="283">
        <v>18427991</v>
      </c>
      <c r="AK138" s="283">
        <v>18628758</v>
      </c>
      <c r="AL138" s="283">
        <v>18786878</v>
      </c>
      <c r="AM138" s="282">
        <v>18822995</v>
      </c>
    </row>
    <row r="139" spans="1:39" s="10" customFormat="1" ht="15.6">
      <c r="A139" s="6"/>
      <c r="B139" s="7"/>
      <c r="C139" s="7"/>
      <c r="D139" s="267">
        <v>34</v>
      </c>
      <c r="E139" s="281">
        <v>11398</v>
      </c>
      <c r="F139" s="282">
        <v>512074</v>
      </c>
      <c r="G139" s="281">
        <v>0</v>
      </c>
      <c r="H139" s="283">
        <v>0</v>
      </c>
      <c r="I139" s="283">
        <v>18937634</v>
      </c>
      <c r="J139" s="281">
        <v>8719188</v>
      </c>
      <c r="K139" s="283">
        <v>6296398</v>
      </c>
      <c r="L139" s="283">
        <v>2157378</v>
      </c>
      <c r="M139" s="283">
        <v>1126581</v>
      </c>
      <c r="N139" s="283">
        <v>362013</v>
      </c>
      <c r="O139" s="283">
        <v>162690</v>
      </c>
      <c r="P139" s="283">
        <v>59957</v>
      </c>
      <c r="Q139" s="283">
        <v>30325</v>
      </c>
      <c r="R139" s="283">
        <v>9953</v>
      </c>
      <c r="S139" s="282">
        <v>5694</v>
      </c>
      <c r="T139" s="281">
        <v>18937634</v>
      </c>
      <c r="U139" s="283">
        <v>16514844</v>
      </c>
      <c r="V139" s="283">
        <v>8236804</v>
      </c>
      <c r="W139" s="283">
        <v>5144413</v>
      </c>
      <c r="X139" s="283">
        <v>2086141</v>
      </c>
      <c r="Y139" s="283">
        <v>1089526</v>
      </c>
      <c r="Z139" s="283">
        <v>473128</v>
      </c>
      <c r="AA139" s="283">
        <v>265704</v>
      </c>
      <c r="AB139" s="283">
        <v>102728</v>
      </c>
      <c r="AC139" s="283">
        <v>64397</v>
      </c>
      <c r="AD139" s="281">
        <v>0</v>
      </c>
      <c r="AE139" s="283">
        <v>2422790</v>
      </c>
      <c r="AF139" s="283">
        <v>10700830</v>
      </c>
      <c r="AG139" s="283">
        <v>13793221</v>
      </c>
      <c r="AH139" s="283">
        <v>16851493</v>
      </c>
      <c r="AI139" s="283">
        <v>17848108</v>
      </c>
      <c r="AJ139" s="283">
        <v>18464506</v>
      </c>
      <c r="AK139" s="283">
        <v>18671930</v>
      </c>
      <c r="AL139" s="283">
        <v>18834906</v>
      </c>
      <c r="AM139" s="282">
        <v>18873237</v>
      </c>
    </row>
    <row r="140" spans="1:39" s="10" customFormat="1" ht="15.6">
      <c r="A140" s="6"/>
      <c r="B140" s="7"/>
      <c r="C140" s="7"/>
      <c r="D140" s="267">
        <v>35</v>
      </c>
      <c r="E140" s="281">
        <v>9892</v>
      </c>
      <c r="F140" s="282">
        <v>460870</v>
      </c>
      <c r="G140" s="281">
        <v>0</v>
      </c>
      <c r="H140" s="283">
        <v>0</v>
      </c>
      <c r="I140" s="283">
        <v>18988838</v>
      </c>
      <c r="J140" s="281">
        <v>8729030</v>
      </c>
      <c r="K140" s="283">
        <v>6306089</v>
      </c>
      <c r="L140" s="283">
        <v>2166405</v>
      </c>
      <c r="M140" s="283">
        <v>1134737</v>
      </c>
      <c r="N140" s="283">
        <v>367836</v>
      </c>
      <c r="O140" s="283">
        <v>166739</v>
      </c>
      <c r="P140" s="283">
        <v>62108</v>
      </c>
      <c r="Q140" s="283">
        <v>31602</v>
      </c>
      <c r="R140" s="283">
        <v>10478</v>
      </c>
      <c r="S140" s="282">
        <v>6015</v>
      </c>
      <c r="T140" s="281">
        <v>18988838</v>
      </c>
      <c r="U140" s="283">
        <v>16565897</v>
      </c>
      <c r="V140" s="283">
        <v>8286529</v>
      </c>
      <c r="W140" s="283">
        <v>5191525</v>
      </c>
      <c r="X140" s="283">
        <v>2123921</v>
      </c>
      <c r="Y140" s="283">
        <v>1118436</v>
      </c>
      <c r="Z140" s="283">
        <v>490650</v>
      </c>
      <c r="AA140" s="283">
        <v>277108</v>
      </c>
      <c r="AB140" s="283">
        <v>108116</v>
      </c>
      <c r="AC140" s="283">
        <v>67949</v>
      </c>
      <c r="AD140" s="281">
        <v>0</v>
      </c>
      <c r="AE140" s="283">
        <v>2422941</v>
      </c>
      <c r="AF140" s="283">
        <v>10702309</v>
      </c>
      <c r="AG140" s="283">
        <v>13797313</v>
      </c>
      <c r="AH140" s="283">
        <v>16864917</v>
      </c>
      <c r="AI140" s="283">
        <v>17870402</v>
      </c>
      <c r="AJ140" s="283">
        <v>18498188</v>
      </c>
      <c r="AK140" s="283">
        <v>18711730</v>
      </c>
      <c r="AL140" s="283">
        <v>18880722</v>
      </c>
      <c r="AM140" s="282">
        <v>18920889</v>
      </c>
    </row>
    <row r="141" spans="1:39" s="10" customFormat="1" ht="15.6">
      <c r="A141" s="6"/>
      <c r="B141" s="7"/>
      <c r="C141" s="7"/>
      <c r="D141" s="267">
        <v>36</v>
      </c>
      <c r="E141" s="281">
        <v>8657</v>
      </c>
      <c r="F141" s="282">
        <v>417645</v>
      </c>
      <c r="G141" s="281">
        <v>0</v>
      </c>
      <c r="H141" s="283">
        <v>0</v>
      </c>
      <c r="I141" s="283">
        <v>19032063</v>
      </c>
      <c r="J141" s="281">
        <v>8737201</v>
      </c>
      <c r="K141" s="283">
        <v>6314135</v>
      </c>
      <c r="L141" s="283">
        <v>2173894</v>
      </c>
      <c r="M141" s="283">
        <v>1141473</v>
      </c>
      <c r="N141" s="283">
        <v>372916</v>
      </c>
      <c r="O141" s="283">
        <v>170236</v>
      </c>
      <c r="P141" s="283">
        <v>64111</v>
      </c>
      <c r="Q141" s="283">
        <v>32726</v>
      </c>
      <c r="R141" s="283">
        <v>11001</v>
      </c>
      <c r="S141" s="282">
        <v>6298</v>
      </c>
      <c r="T141" s="281">
        <v>19032063</v>
      </c>
      <c r="U141" s="283">
        <v>16608997</v>
      </c>
      <c r="V141" s="283">
        <v>8328515</v>
      </c>
      <c r="W141" s="283">
        <v>5231252</v>
      </c>
      <c r="X141" s="283">
        <v>2157024</v>
      </c>
      <c r="Y141" s="283">
        <v>1143624</v>
      </c>
      <c r="Z141" s="283">
        <v>506874</v>
      </c>
      <c r="AA141" s="283">
        <v>287179</v>
      </c>
      <c r="AB141" s="283">
        <v>113379</v>
      </c>
      <c r="AC141" s="283">
        <v>71052</v>
      </c>
      <c r="AD141" s="281">
        <v>0</v>
      </c>
      <c r="AE141" s="283">
        <v>2423066</v>
      </c>
      <c r="AF141" s="283">
        <v>10703548</v>
      </c>
      <c r="AG141" s="283">
        <v>13800811</v>
      </c>
      <c r="AH141" s="283">
        <v>16875039</v>
      </c>
      <c r="AI141" s="283">
        <v>17888439</v>
      </c>
      <c r="AJ141" s="283">
        <v>18525189</v>
      </c>
      <c r="AK141" s="283">
        <v>18744884</v>
      </c>
      <c r="AL141" s="283">
        <v>18918684</v>
      </c>
      <c r="AM141" s="282">
        <v>18961011</v>
      </c>
    </row>
    <row r="142" spans="1:39" s="10" customFormat="1" ht="15.6">
      <c r="A142" s="6"/>
      <c r="B142" s="7"/>
      <c r="C142" s="7"/>
      <c r="D142" s="267">
        <v>37</v>
      </c>
      <c r="E142" s="281">
        <v>7568</v>
      </c>
      <c r="F142" s="282">
        <v>378441</v>
      </c>
      <c r="G142" s="281">
        <v>0</v>
      </c>
      <c r="H142" s="283">
        <v>0</v>
      </c>
      <c r="I142" s="283">
        <v>19071267</v>
      </c>
      <c r="J142" s="281">
        <v>8744363</v>
      </c>
      <c r="K142" s="283">
        <v>6321217</v>
      </c>
      <c r="L142" s="283">
        <v>2180542</v>
      </c>
      <c r="M142" s="283">
        <v>1147568</v>
      </c>
      <c r="N142" s="283">
        <v>377523</v>
      </c>
      <c r="O142" s="283">
        <v>173587</v>
      </c>
      <c r="P142" s="283">
        <v>66028</v>
      </c>
      <c r="Q142" s="283">
        <v>33911</v>
      </c>
      <c r="R142" s="283">
        <v>11504</v>
      </c>
      <c r="S142" s="282">
        <v>6611</v>
      </c>
      <c r="T142" s="281">
        <v>19071267</v>
      </c>
      <c r="U142" s="283">
        <v>16648121</v>
      </c>
      <c r="V142" s="283">
        <v>8366771</v>
      </c>
      <c r="W142" s="283">
        <v>5267849</v>
      </c>
      <c r="X142" s="283">
        <v>2187669</v>
      </c>
      <c r="Y142" s="283">
        <v>1167989</v>
      </c>
      <c r="Z142" s="283">
        <v>522635</v>
      </c>
      <c r="AA142" s="283">
        <v>297816</v>
      </c>
      <c r="AB142" s="283">
        <v>118560</v>
      </c>
      <c r="AC142" s="283">
        <v>74523</v>
      </c>
      <c r="AD142" s="281">
        <v>0</v>
      </c>
      <c r="AE142" s="283">
        <v>2423146</v>
      </c>
      <c r="AF142" s="283">
        <v>10704496</v>
      </c>
      <c r="AG142" s="283">
        <v>13803418</v>
      </c>
      <c r="AH142" s="283">
        <v>16883598</v>
      </c>
      <c r="AI142" s="283">
        <v>17903278</v>
      </c>
      <c r="AJ142" s="283">
        <v>18548632</v>
      </c>
      <c r="AK142" s="283">
        <v>18773451</v>
      </c>
      <c r="AL142" s="283">
        <v>18952707</v>
      </c>
      <c r="AM142" s="282">
        <v>18996744</v>
      </c>
    </row>
    <row r="143" spans="1:39" s="10" customFormat="1" ht="15.6">
      <c r="A143" s="6"/>
      <c r="B143" s="7"/>
      <c r="C143" s="7"/>
      <c r="D143" s="267">
        <v>38</v>
      </c>
      <c r="E143" s="281">
        <v>6695</v>
      </c>
      <c r="F143" s="282">
        <v>346140</v>
      </c>
      <c r="G143" s="281">
        <v>0</v>
      </c>
      <c r="H143" s="283">
        <v>0</v>
      </c>
      <c r="I143" s="283">
        <v>19103568</v>
      </c>
      <c r="J143" s="281">
        <v>8750182</v>
      </c>
      <c r="K143" s="283">
        <v>6326952</v>
      </c>
      <c r="L143" s="283">
        <v>2185935</v>
      </c>
      <c r="M143" s="283">
        <v>1152475</v>
      </c>
      <c r="N143" s="283">
        <v>381389</v>
      </c>
      <c r="O143" s="283">
        <v>176422</v>
      </c>
      <c r="P143" s="283">
        <v>67762</v>
      </c>
      <c r="Q143" s="283">
        <v>34918</v>
      </c>
      <c r="R143" s="283">
        <v>11983</v>
      </c>
      <c r="S143" s="282">
        <v>6882</v>
      </c>
      <c r="T143" s="281">
        <v>19103568</v>
      </c>
      <c r="U143" s="283">
        <v>16680338</v>
      </c>
      <c r="V143" s="283">
        <v>8398304</v>
      </c>
      <c r="W143" s="283">
        <v>5297924</v>
      </c>
      <c r="X143" s="283">
        <v>2213580</v>
      </c>
      <c r="Y143" s="283">
        <v>1188745</v>
      </c>
      <c r="Z143" s="283">
        <v>536785</v>
      </c>
      <c r="AA143" s="283">
        <v>306877</v>
      </c>
      <c r="AB143" s="283">
        <v>123397</v>
      </c>
      <c r="AC143" s="283">
        <v>77488</v>
      </c>
      <c r="AD143" s="281">
        <v>0</v>
      </c>
      <c r="AE143" s="283">
        <v>2423230</v>
      </c>
      <c r="AF143" s="283">
        <v>10705264</v>
      </c>
      <c r="AG143" s="283">
        <v>13805644</v>
      </c>
      <c r="AH143" s="283">
        <v>16889988</v>
      </c>
      <c r="AI143" s="283">
        <v>17914823</v>
      </c>
      <c r="AJ143" s="283">
        <v>18566783</v>
      </c>
      <c r="AK143" s="283">
        <v>18796691</v>
      </c>
      <c r="AL143" s="283">
        <v>18980171</v>
      </c>
      <c r="AM143" s="282">
        <v>19026080</v>
      </c>
    </row>
    <row r="144" spans="1:39" s="10" customFormat="1" ht="15.6">
      <c r="A144" s="6"/>
      <c r="B144" s="7"/>
      <c r="C144" s="7"/>
      <c r="D144" s="267">
        <v>39</v>
      </c>
      <c r="E144" s="281">
        <v>5917</v>
      </c>
      <c r="F144" s="282">
        <v>316576</v>
      </c>
      <c r="G144" s="281">
        <v>0</v>
      </c>
      <c r="H144" s="283">
        <v>0</v>
      </c>
      <c r="I144" s="283">
        <v>19133132</v>
      </c>
      <c r="J144" s="281">
        <v>8755301</v>
      </c>
      <c r="K144" s="283">
        <v>6332006</v>
      </c>
      <c r="L144" s="283">
        <v>2190708</v>
      </c>
      <c r="M144" s="283">
        <v>1156905</v>
      </c>
      <c r="N144" s="283">
        <v>384868</v>
      </c>
      <c r="O144" s="283">
        <v>179136</v>
      </c>
      <c r="P144" s="283">
        <v>69474</v>
      </c>
      <c r="Q144" s="283">
        <v>36016</v>
      </c>
      <c r="R144" s="283">
        <v>12468</v>
      </c>
      <c r="S144" s="282">
        <v>7200</v>
      </c>
      <c r="T144" s="281">
        <v>19133132</v>
      </c>
      <c r="U144" s="283">
        <v>16709837</v>
      </c>
      <c r="V144" s="283">
        <v>8427241</v>
      </c>
      <c r="W144" s="283">
        <v>5325832</v>
      </c>
      <c r="X144" s="283">
        <v>2237684</v>
      </c>
      <c r="Y144" s="283">
        <v>1209024</v>
      </c>
      <c r="Z144" s="283">
        <v>551052</v>
      </c>
      <c r="AA144" s="283">
        <v>316846</v>
      </c>
      <c r="AB144" s="283">
        <v>128462</v>
      </c>
      <c r="AC144" s="283">
        <v>81050</v>
      </c>
      <c r="AD144" s="281">
        <v>0</v>
      </c>
      <c r="AE144" s="283">
        <v>2423295</v>
      </c>
      <c r="AF144" s="283">
        <v>10705891</v>
      </c>
      <c r="AG144" s="283">
        <v>13807300</v>
      </c>
      <c r="AH144" s="283">
        <v>16895448</v>
      </c>
      <c r="AI144" s="283">
        <v>17924108</v>
      </c>
      <c r="AJ144" s="283">
        <v>18582080</v>
      </c>
      <c r="AK144" s="283">
        <v>18816286</v>
      </c>
      <c r="AL144" s="283">
        <v>19004670</v>
      </c>
      <c r="AM144" s="282">
        <v>19052082</v>
      </c>
    </row>
    <row r="145" spans="1:39" s="10" customFormat="1" ht="15.6">
      <c r="A145" s="6"/>
      <c r="B145" s="7"/>
      <c r="C145" s="7"/>
      <c r="D145" s="274">
        <v>40</v>
      </c>
      <c r="E145" s="278">
        <v>5243</v>
      </c>
      <c r="F145" s="280">
        <v>290290</v>
      </c>
      <c r="G145" s="278">
        <v>0</v>
      </c>
      <c r="H145" s="279">
        <v>0</v>
      </c>
      <c r="I145" s="279">
        <v>19159418</v>
      </c>
      <c r="J145" s="278">
        <v>8759804</v>
      </c>
      <c r="K145" s="279">
        <v>6336468</v>
      </c>
      <c r="L145" s="279">
        <v>2194965</v>
      </c>
      <c r="M145" s="279">
        <v>1160870</v>
      </c>
      <c r="N145" s="279">
        <v>388097</v>
      </c>
      <c r="O145" s="279">
        <v>181613</v>
      </c>
      <c r="P145" s="279">
        <v>70999</v>
      </c>
      <c r="Q145" s="279">
        <v>36915</v>
      </c>
      <c r="R145" s="279">
        <v>12909</v>
      </c>
      <c r="S145" s="280">
        <v>7437</v>
      </c>
      <c r="T145" s="278">
        <v>19159418</v>
      </c>
      <c r="U145" s="279">
        <v>16736082</v>
      </c>
      <c r="V145" s="279">
        <v>8453076</v>
      </c>
      <c r="W145" s="279">
        <v>5350791</v>
      </c>
      <c r="X145" s="279">
        <v>2259699</v>
      </c>
      <c r="Y145" s="279">
        <v>1227279</v>
      </c>
      <c r="Z145" s="279">
        <v>563595</v>
      </c>
      <c r="AA145" s="279">
        <v>325007</v>
      </c>
      <c r="AB145" s="279">
        <v>132959</v>
      </c>
      <c r="AC145" s="279">
        <v>83711</v>
      </c>
      <c r="AD145" s="278">
        <v>0</v>
      </c>
      <c r="AE145" s="279">
        <v>2423336</v>
      </c>
      <c r="AF145" s="279">
        <v>10706342</v>
      </c>
      <c r="AG145" s="279">
        <v>13808627</v>
      </c>
      <c r="AH145" s="279">
        <v>16899719</v>
      </c>
      <c r="AI145" s="279">
        <v>17932139</v>
      </c>
      <c r="AJ145" s="279">
        <v>18595823</v>
      </c>
      <c r="AK145" s="279">
        <v>18834411</v>
      </c>
      <c r="AL145" s="279">
        <v>19026459</v>
      </c>
      <c r="AM145" s="280">
        <v>19075707</v>
      </c>
    </row>
    <row r="146" spans="1:39" s="10" customFormat="1" ht="15.6">
      <c r="A146" s="6"/>
      <c r="B146" s="7"/>
      <c r="C146" s="7"/>
      <c r="D146" s="274" t="s">
        <v>303</v>
      </c>
      <c r="E146" s="278">
        <v>4578</v>
      </c>
      <c r="F146" s="280">
        <v>263690</v>
      </c>
      <c r="G146" s="278">
        <v>0</v>
      </c>
      <c r="H146" s="279">
        <v>0</v>
      </c>
      <c r="I146" s="279">
        <v>19186018</v>
      </c>
      <c r="J146" s="278">
        <v>8763956</v>
      </c>
      <c r="K146" s="279">
        <v>6340588</v>
      </c>
      <c r="L146" s="279">
        <v>2198911</v>
      </c>
      <c r="M146" s="279">
        <v>1164590</v>
      </c>
      <c r="N146" s="279">
        <v>391160</v>
      </c>
      <c r="O146" s="279">
        <v>184117</v>
      </c>
      <c r="P146" s="279">
        <v>72633</v>
      </c>
      <c r="Q146" s="279">
        <v>38044</v>
      </c>
      <c r="R146" s="279">
        <v>13485</v>
      </c>
      <c r="S146" s="280">
        <v>7843</v>
      </c>
      <c r="T146" s="278">
        <v>19186018</v>
      </c>
      <c r="U146" s="279">
        <v>16762650</v>
      </c>
      <c r="V146" s="279">
        <v>8479296</v>
      </c>
      <c r="W146" s="279">
        <v>5376333</v>
      </c>
      <c r="X146" s="279">
        <v>2282613</v>
      </c>
      <c r="Y146" s="279">
        <v>1247398</v>
      </c>
      <c r="Z146" s="279">
        <v>578494</v>
      </c>
      <c r="AA146" s="279">
        <v>336371</v>
      </c>
      <c r="AB146" s="279">
        <v>139899</v>
      </c>
      <c r="AC146" s="279">
        <v>89121</v>
      </c>
      <c r="AD146" s="275">
        <v>0</v>
      </c>
      <c r="AE146" s="277">
        <v>2423368</v>
      </c>
      <c r="AF146" s="277">
        <v>10706722</v>
      </c>
      <c r="AG146" s="277">
        <v>13809685</v>
      </c>
      <c r="AH146" s="277">
        <v>16903405</v>
      </c>
      <c r="AI146" s="277">
        <v>17938620</v>
      </c>
      <c r="AJ146" s="277">
        <v>18607524</v>
      </c>
      <c r="AK146" s="277">
        <v>18849647</v>
      </c>
      <c r="AL146" s="277">
        <v>19046119</v>
      </c>
      <c r="AM146" s="276">
        <v>19096897</v>
      </c>
    </row>
    <row r="147" spans="1:39" s="10" customFormat="1" ht="15.6">
      <c r="A147" s="6"/>
      <c r="B147" s="7"/>
      <c r="C147" s="7"/>
      <c r="D147" s="8"/>
      <c r="E147" s="9"/>
    </row>
    <row r="148" spans="1:39" s="10" customFormat="1" ht="15.6">
      <c r="A148" s="49"/>
      <c r="B148" s="49"/>
      <c r="C148" s="49"/>
      <c r="D148" s="46" t="s">
        <v>213</v>
      </c>
      <c r="E148" s="45"/>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row>
    <row r="149" spans="1:39" s="10" customFormat="1" ht="15.6">
      <c r="A149" s="6"/>
      <c r="B149" s="7"/>
      <c r="C149" s="7"/>
      <c r="D149" s="8"/>
      <c r="E149" s="9"/>
    </row>
    <row r="150" spans="1:39" s="10" customFormat="1" ht="14.45" customHeight="1">
      <c r="A150" s="6"/>
      <c r="B150" s="7"/>
      <c r="C150" s="7"/>
      <c r="D150" s="352" t="s">
        <v>294</v>
      </c>
      <c r="E150" s="353" t="s">
        <v>295</v>
      </c>
      <c r="F150" s="353"/>
      <c r="G150" s="353" t="s">
        <v>296</v>
      </c>
      <c r="H150" s="353"/>
      <c r="I150" s="353"/>
      <c r="J150" s="354" t="s">
        <v>297</v>
      </c>
      <c r="K150" s="355"/>
      <c r="L150" s="355"/>
      <c r="M150" s="355"/>
      <c r="N150" s="355"/>
      <c r="O150" s="355"/>
      <c r="P150" s="355"/>
      <c r="Q150" s="355"/>
      <c r="R150" s="355"/>
      <c r="S150" s="355"/>
      <c r="T150" s="355"/>
      <c r="U150" s="355"/>
      <c r="V150" s="355"/>
      <c r="W150" s="355"/>
      <c r="X150" s="355"/>
      <c r="Y150" s="355"/>
      <c r="Z150" s="355"/>
      <c r="AA150" s="355"/>
      <c r="AB150" s="355"/>
      <c r="AC150" s="355"/>
      <c r="AD150" s="355"/>
      <c r="AE150" s="355"/>
      <c r="AF150" s="355"/>
      <c r="AG150" s="355"/>
      <c r="AH150" s="355"/>
      <c r="AI150" s="355"/>
      <c r="AJ150" s="355"/>
      <c r="AK150" s="355"/>
      <c r="AL150" s="355"/>
      <c r="AM150" s="355"/>
    </row>
    <row r="151" spans="1:39" s="10" customFormat="1" ht="15.6">
      <c r="A151" s="6"/>
      <c r="B151" s="7"/>
      <c r="C151" s="7"/>
      <c r="D151" s="352"/>
      <c r="E151" s="353"/>
      <c r="F151" s="353"/>
      <c r="G151" s="353"/>
      <c r="H151" s="353"/>
      <c r="I151" s="353"/>
      <c r="J151" s="356" t="s">
        <v>298</v>
      </c>
      <c r="K151" s="357"/>
      <c r="L151" s="357"/>
      <c r="M151" s="357"/>
      <c r="N151" s="357"/>
      <c r="O151" s="357"/>
      <c r="P151" s="357"/>
      <c r="Q151" s="357"/>
      <c r="R151" s="357"/>
      <c r="S151" s="358"/>
      <c r="T151" s="356" t="s">
        <v>299</v>
      </c>
      <c r="U151" s="357"/>
      <c r="V151" s="357"/>
      <c r="W151" s="357"/>
      <c r="X151" s="357"/>
      <c r="Y151" s="357"/>
      <c r="Z151" s="357"/>
      <c r="AA151" s="357"/>
      <c r="AB151" s="357"/>
      <c r="AC151" s="358"/>
      <c r="AD151" s="356" t="s">
        <v>300</v>
      </c>
      <c r="AE151" s="357"/>
      <c r="AF151" s="357"/>
      <c r="AG151" s="357"/>
      <c r="AH151" s="357"/>
      <c r="AI151" s="357"/>
      <c r="AJ151" s="357"/>
      <c r="AK151" s="357"/>
      <c r="AL151" s="357"/>
      <c r="AM151" s="358"/>
    </row>
    <row r="152" spans="1:39" s="10" customFormat="1" ht="15.6">
      <c r="A152" s="6"/>
      <c r="B152" s="7"/>
      <c r="C152" s="7"/>
      <c r="D152" s="352"/>
      <c r="E152" s="254" t="s">
        <v>295</v>
      </c>
      <c r="F152" s="254" t="s">
        <v>301</v>
      </c>
      <c r="G152" s="254" t="s">
        <v>298</v>
      </c>
      <c r="H152" s="255" t="s">
        <v>299</v>
      </c>
      <c r="I152" s="256" t="s">
        <v>302</v>
      </c>
      <c r="J152" s="257">
        <v>1</v>
      </c>
      <c r="K152" s="258">
        <v>2</v>
      </c>
      <c r="L152" s="258">
        <v>3</v>
      </c>
      <c r="M152" s="258">
        <v>4</v>
      </c>
      <c r="N152" s="258">
        <v>5</v>
      </c>
      <c r="O152" s="258">
        <v>6</v>
      </c>
      <c r="P152" s="258">
        <v>7</v>
      </c>
      <c r="Q152" s="258">
        <v>8</v>
      </c>
      <c r="R152" s="258">
        <v>9</v>
      </c>
      <c r="S152" s="259">
        <v>10</v>
      </c>
      <c r="T152" s="257">
        <v>1</v>
      </c>
      <c r="U152" s="258">
        <v>2</v>
      </c>
      <c r="V152" s="258">
        <v>3</v>
      </c>
      <c r="W152" s="258">
        <v>4</v>
      </c>
      <c r="X152" s="258">
        <v>5</v>
      </c>
      <c r="Y152" s="258">
        <v>6</v>
      </c>
      <c r="Z152" s="258">
        <v>7</v>
      </c>
      <c r="AA152" s="258">
        <v>8</v>
      </c>
      <c r="AB152" s="258">
        <v>9</v>
      </c>
      <c r="AC152" s="258">
        <v>10</v>
      </c>
      <c r="AD152" s="257">
        <v>1</v>
      </c>
      <c r="AE152" s="258">
        <v>2</v>
      </c>
      <c r="AF152" s="258">
        <v>3</v>
      </c>
      <c r="AG152" s="258">
        <v>4</v>
      </c>
      <c r="AH152" s="258">
        <v>5</v>
      </c>
      <c r="AI152" s="258">
        <v>6</v>
      </c>
      <c r="AJ152" s="258">
        <v>7</v>
      </c>
      <c r="AK152" s="258">
        <v>8</v>
      </c>
      <c r="AL152" s="258">
        <v>9</v>
      </c>
      <c r="AM152" s="259">
        <v>10</v>
      </c>
    </row>
    <row r="153" spans="1:39" s="10" customFormat="1" ht="15.6">
      <c r="A153" s="6"/>
      <c r="B153" s="7"/>
      <c r="C153" s="7"/>
      <c r="D153" s="260">
        <v>0</v>
      </c>
      <c r="E153" s="275">
        <v>0</v>
      </c>
      <c r="F153" s="276">
        <v>0</v>
      </c>
      <c r="G153" s="275">
        <v>0</v>
      </c>
      <c r="H153" s="277">
        <v>0</v>
      </c>
      <c r="I153" s="277">
        <v>4390618</v>
      </c>
      <c r="J153" s="278">
        <v>2194713</v>
      </c>
      <c r="K153" s="279">
        <v>1566319</v>
      </c>
      <c r="L153" s="279">
        <v>359840</v>
      </c>
      <c r="M153" s="279">
        <v>190013</v>
      </c>
      <c r="N153" s="279">
        <v>43522</v>
      </c>
      <c r="O153" s="279">
        <v>20384</v>
      </c>
      <c r="P153" s="279">
        <v>7821</v>
      </c>
      <c r="Q153" s="279">
        <v>4950</v>
      </c>
      <c r="R153" s="279">
        <v>1331</v>
      </c>
      <c r="S153" s="280">
        <v>879</v>
      </c>
      <c r="T153" s="278">
        <v>4390618</v>
      </c>
      <c r="U153" s="279">
        <v>3762224</v>
      </c>
      <c r="V153" s="279">
        <v>1349266</v>
      </c>
      <c r="W153" s="279">
        <v>839785</v>
      </c>
      <c r="X153" s="279">
        <v>253821</v>
      </c>
      <c r="Y153" s="279">
        <v>138131</v>
      </c>
      <c r="Z153" s="279">
        <v>62753</v>
      </c>
      <c r="AA153" s="279">
        <v>42656</v>
      </c>
      <c r="AB153" s="279">
        <v>13704</v>
      </c>
      <c r="AC153" s="279">
        <v>9636</v>
      </c>
      <c r="AD153" s="278">
        <v>0</v>
      </c>
      <c r="AE153" s="279">
        <v>628394</v>
      </c>
      <c r="AF153" s="279">
        <v>3041352</v>
      </c>
      <c r="AG153" s="279">
        <v>3550833</v>
      </c>
      <c r="AH153" s="279">
        <v>4136797</v>
      </c>
      <c r="AI153" s="279">
        <v>4252487</v>
      </c>
      <c r="AJ153" s="279">
        <v>4327865</v>
      </c>
      <c r="AK153" s="279">
        <v>4347962</v>
      </c>
      <c r="AL153" s="279">
        <v>4376914</v>
      </c>
      <c r="AM153" s="280">
        <v>4380982</v>
      </c>
    </row>
    <row r="154" spans="1:39" s="10" customFormat="1" ht="15.6">
      <c r="A154" s="6"/>
      <c r="B154" s="7"/>
      <c r="C154" s="7"/>
      <c r="D154" s="267">
        <v>1</v>
      </c>
      <c r="E154" s="281">
        <v>1176157</v>
      </c>
      <c r="F154" s="282">
        <v>4390618</v>
      </c>
      <c r="G154" s="281">
        <v>0</v>
      </c>
      <c r="H154" s="283">
        <v>0</v>
      </c>
      <c r="I154" s="283">
        <v>0</v>
      </c>
      <c r="J154" s="281">
        <v>0</v>
      </c>
      <c r="K154" s="283">
        <v>0</v>
      </c>
      <c r="L154" s="283">
        <v>0</v>
      </c>
      <c r="M154" s="283">
        <v>0</v>
      </c>
      <c r="N154" s="283">
        <v>0</v>
      </c>
      <c r="O154" s="283">
        <v>0</v>
      </c>
      <c r="P154" s="283">
        <v>0</v>
      </c>
      <c r="Q154" s="283">
        <v>0</v>
      </c>
      <c r="R154" s="283">
        <v>0</v>
      </c>
      <c r="S154" s="282">
        <v>0</v>
      </c>
      <c r="T154" s="281">
        <v>0</v>
      </c>
      <c r="U154" s="283">
        <v>0</v>
      </c>
      <c r="V154" s="283">
        <v>0</v>
      </c>
      <c r="W154" s="283">
        <v>0</v>
      </c>
      <c r="X154" s="283">
        <v>0</v>
      </c>
      <c r="Y154" s="283">
        <v>0</v>
      </c>
      <c r="Z154" s="283">
        <v>0</v>
      </c>
      <c r="AA154" s="283">
        <v>0</v>
      </c>
      <c r="AB154" s="283">
        <v>0</v>
      </c>
      <c r="AC154" s="283">
        <v>0</v>
      </c>
      <c r="AD154" s="284">
        <v>0</v>
      </c>
      <c r="AE154" s="285">
        <v>0</v>
      </c>
      <c r="AF154" s="285">
        <v>0</v>
      </c>
      <c r="AG154" s="285">
        <v>0</v>
      </c>
      <c r="AH154" s="285">
        <v>0</v>
      </c>
      <c r="AI154" s="285">
        <v>0</v>
      </c>
      <c r="AJ154" s="285">
        <v>0</v>
      </c>
      <c r="AK154" s="285">
        <v>0</v>
      </c>
      <c r="AL154" s="285">
        <v>0</v>
      </c>
      <c r="AM154" s="286">
        <v>0</v>
      </c>
    </row>
    <row r="155" spans="1:39" s="10" customFormat="1" ht="15.6">
      <c r="A155" s="6"/>
      <c r="B155" s="7"/>
      <c r="C155" s="7"/>
      <c r="D155" s="267">
        <v>2</v>
      </c>
      <c r="E155" s="281">
        <v>975355</v>
      </c>
      <c r="F155" s="282">
        <v>4189816</v>
      </c>
      <c r="G155" s="281">
        <v>0</v>
      </c>
      <c r="H155" s="283">
        <v>0</v>
      </c>
      <c r="I155" s="283">
        <v>200802</v>
      </c>
      <c r="J155" s="281">
        <v>200802</v>
      </c>
      <c r="K155" s="283">
        <v>0</v>
      </c>
      <c r="L155" s="283">
        <v>0</v>
      </c>
      <c r="M155" s="283">
        <v>0</v>
      </c>
      <c r="N155" s="283">
        <v>0</v>
      </c>
      <c r="O155" s="283">
        <v>0</v>
      </c>
      <c r="P155" s="283">
        <v>0</v>
      </c>
      <c r="Q155" s="283">
        <v>0</v>
      </c>
      <c r="R155" s="283">
        <v>0</v>
      </c>
      <c r="S155" s="282">
        <v>0</v>
      </c>
      <c r="T155" s="281">
        <v>200802</v>
      </c>
      <c r="U155" s="283">
        <v>0</v>
      </c>
      <c r="V155" s="283">
        <v>0</v>
      </c>
      <c r="W155" s="283">
        <v>0</v>
      </c>
      <c r="X155" s="283">
        <v>0</v>
      </c>
      <c r="Y155" s="283">
        <v>0</v>
      </c>
      <c r="Z155" s="283">
        <v>0</v>
      </c>
      <c r="AA155" s="283">
        <v>0</v>
      </c>
      <c r="AB155" s="283">
        <v>0</v>
      </c>
      <c r="AC155" s="283">
        <v>0</v>
      </c>
      <c r="AD155" s="281">
        <v>0</v>
      </c>
      <c r="AE155" s="283">
        <v>200802</v>
      </c>
      <c r="AF155" s="283">
        <v>200802</v>
      </c>
      <c r="AG155" s="283">
        <v>200802</v>
      </c>
      <c r="AH155" s="283">
        <v>200802</v>
      </c>
      <c r="AI155" s="283">
        <v>200802</v>
      </c>
      <c r="AJ155" s="283">
        <v>200802</v>
      </c>
      <c r="AK155" s="283">
        <v>200802</v>
      </c>
      <c r="AL155" s="283">
        <v>200802</v>
      </c>
      <c r="AM155" s="282">
        <v>200802</v>
      </c>
    </row>
    <row r="156" spans="1:39" s="10" customFormat="1" ht="15.6">
      <c r="A156" s="6"/>
      <c r="B156" s="7"/>
      <c r="C156" s="7"/>
      <c r="D156" s="267">
        <v>3</v>
      </c>
      <c r="E156" s="281">
        <v>533894</v>
      </c>
      <c r="F156" s="282">
        <v>3306894</v>
      </c>
      <c r="G156" s="281">
        <v>0</v>
      </c>
      <c r="H156" s="283">
        <v>0</v>
      </c>
      <c r="I156" s="283">
        <v>1083724</v>
      </c>
      <c r="J156" s="281">
        <v>679376</v>
      </c>
      <c r="K156" s="283">
        <v>404348</v>
      </c>
      <c r="L156" s="283">
        <v>0</v>
      </c>
      <c r="M156" s="283">
        <v>0</v>
      </c>
      <c r="N156" s="283">
        <v>0</v>
      </c>
      <c r="O156" s="283">
        <v>0</v>
      </c>
      <c r="P156" s="283">
        <v>0</v>
      </c>
      <c r="Q156" s="283">
        <v>0</v>
      </c>
      <c r="R156" s="283">
        <v>0</v>
      </c>
      <c r="S156" s="282">
        <v>0</v>
      </c>
      <c r="T156" s="281">
        <v>1083724</v>
      </c>
      <c r="U156" s="283">
        <v>808696</v>
      </c>
      <c r="V156" s="283">
        <v>0</v>
      </c>
      <c r="W156" s="283">
        <v>0</v>
      </c>
      <c r="X156" s="283">
        <v>0</v>
      </c>
      <c r="Y156" s="283">
        <v>0</v>
      </c>
      <c r="Z156" s="283">
        <v>0</v>
      </c>
      <c r="AA156" s="283">
        <v>0</v>
      </c>
      <c r="AB156" s="283">
        <v>0</v>
      </c>
      <c r="AC156" s="283">
        <v>0</v>
      </c>
      <c r="AD156" s="281">
        <v>0</v>
      </c>
      <c r="AE156" s="283">
        <v>275028</v>
      </c>
      <c r="AF156" s="283">
        <v>1083724</v>
      </c>
      <c r="AG156" s="283">
        <v>1083724</v>
      </c>
      <c r="AH156" s="283">
        <v>1083724</v>
      </c>
      <c r="AI156" s="283">
        <v>1083724</v>
      </c>
      <c r="AJ156" s="283">
        <v>1083724</v>
      </c>
      <c r="AK156" s="283">
        <v>1083724</v>
      </c>
      <c r="AL156" s="283">
        <v>1083724</v>
      </c>
      <c r="AM156" s="282">
        <v>1083724</v>
      </c>
    </row>
    <row r="157" spans="1:39" s="10" customFormat="1" ht="15.6">
      <c r="A157" s="6"/>
      <c r="B157" s="7"/>
      <c r="C157" s="7"/>
      <c r="D157" s="267">
        <v>4</v>
      </c>
      <c r="E157" s="281">
        <v>429991</v>
      </c>
      <c r="F157" s="282">
        <v>2995185</v>
      </c>
      <c r="G157" s="281">
        <v>0</v>
      </c>
      <c r="H157" s="283">
        <v>0</v>
      </c>
      <c r="I157" s="283">
        <v>1395433</v>
      </c>
      <c r="J157" s="281">
        <v>866830</v>
      </c>
      <c r="K157" s="283">
        <v>497802</v>
      </c>
      <c r="L157" s="283">
        <v>30801</v>
      </c>
      <c r="M157" s="283">
        <v>0</v>
      </c>
      <c r="N157" s="283">
        <v>0</v>
      </c>
      <c r="O157" s="283">
        <v>0</v>
      </c>
      <c r="P157" s="283">
        <v>0</v>
      </c>
      <c r="Q157" s="283">
        <v>0</v>
      </c>
      <c r="R157" s="283">
        <v>0</v>
      </c>
      <c r="S157" s="282">
        <v>0</v>
      </c>
      <c r="T157" s="281">
        <v>1395433</v>
      </c>
      <c r="U157" s="283">
        <v>1026405</v>
      </c>
      <c r="V157" s="283">
        <v>92403</v>
      </c>
      <c r="W157" s="283">
        <v>0</v>
      </c>
      <c r="X157" s="283">
        <v>0</v>
      </c>
      <c r="Y157" s="283">
        <v>0</v>
      </c>
      <c r="Z157" s="283">
        <v>0</v>
      </c>
      <c r="AA157" s="283">
        <v>0</v>
      </c>
      <c r="AB157" s="283">
        <v>0</v>
      </c>
      <c r="AC157" s="283">
        <v>0</v>
      </c>
      <c r="AD157" s="281">
        <v>0</v>
      </c>
      <c r="AE157" s="283">
        <v>369028</v>
      </c>
      <c r="AF157" s="283">
        <v>1303030</v>
      </c>
      <c r="AG157" s="283">
        <v>1395433</v>
      </c>
      <c r="AH157" s="283">
        <v>1395433</v>
      </c>
      <c r="AI157" s="283">
        <v>1395433</v>
      </c>
      <c r="AJ157" s="283">
        <v>1395433</v>
      </c>
      <c r="AK157" s="283">
        <v>1395433</v>
      </c>
      <c r="AL157" s="283">
        <v>1395433</v>
      </c>
      <c r="AM157" s="282">
        <v>1395433</v>
      </c>
    </row>
    <row r="158" spans="1:39" s="10" customFormat="1" ht="15.6">
      <c r="A158" s="6"/>
      <c r="B158" s="7"/>
      <c r="C158" s="7"/>
      <c r="D158" s="267">
        <v>5</v>
      </c>
      <c r="E158" s="281">
        <v>281502</v>
      </c>
      <c r="F158" s="282">
        <v>2401229</v>
      </c>
      <c r="G158" s="281">
        <v>0</v>
      </c>
      <c r="H158" s="283">
        <v>0</v>
      </c>
      <c r="I158" s="283">
        <v>1989389</v>
      </c>
      <c r="J158" s="281">
        <v>1158600</v>
      </c>
      <c r="K158" s="283">
        <v>734981</v>
      </c>
      <c r="L158" s="283">
        <v>66988</v>
      </c>
      <c r="M158" s="283">
        <v>28820</v>
      </c>
      <c r="N158" s="283">
        <v>0</v>
      </c>
      <c r="O158" s="283">
        <v>0</v>
      </c>
      <c r="P158" s="283">
        <v>0</v>
      </c>
      <c r="Q158" s="283">
        <v>0</v>
      </c>
      <c r="R158" s="283">
        <v>0</v>
      </c>
      <c r="S158" s="282">
        <v>0</v>
      </c>
      <c r="T158" s="281">
        <v>1989389</v>
      </c>
      <c r="U158" s="283">
        <v>1565770</v>
      </c>
      <c r="V158" s="283">
        <v>229784</v>
      </c>
      <c r="W158" s="283">
        <v>115280</v>
      </c>
      <c r="X158" s="283">
        <v>0</v>
      </c>
      <c r="Y158" s="283">
        <v>0</v>
      </c>
      <c r="Z158" s="283">
        <v>0</v>
      </c>
      <c r="AA158" s="283">
        <v>0</v>
      </c>
      <c r="AB158" s="283">
        <v>0</v>
      </c>
      <c r="AC158" s="283">
        <v>0</v>
      </c>
      <c r="AD158" s="281">
        <v>0</v>
      </c>
      <c r="AE158" s="283">
        <v>423619</v>
      </c>
      <c r="AF158" s="283">
        <v>1759605</v>
      </c>
      <c r="AG158" s="283">
        <v>1874109</v>
      </c>
      <c r="AH158" s="283">
        <v>1989389</v>
      </c>
      <c r="AI158" s="283">
        <v>1989389</v>
      </c>
      <c r="AJ158" s="283">
        <v>1989389</v>
      </c>
      <c r="AK158" s="283">
        <v>1989389</v>
      </c>
      <c r="AL158" s="283">
        <v>1989389</v>
      </c>
      <c r="AM158" s="282">
        <v>1989389</v>
      </c>
    </row>
    <row r="159" spans="1:39" s="10" customFormat="1" ht="15.6">
      <c r="A159" s="6"/>
      <c r="B159" s="7"/>
      <c r="C159" s="7"/>
      <c r="D159" s="267">
        <v>6</v>
      </c>
      <c r="E159" s="281">
        <v>225990</v>
      </c>
      <c r="F159" s="282">
        <v>2123669</v>
      </c>
      <c r="G159" s="281">
        <v>0</v>
      </c>
      <c r="H159" s="283">
        <v>0</v>
      </c>
      <c r="I159" s="283">
        <v>2266949</v>
      </c>
      <c r="J159" s="281">
        <v>1307303</v>
      </c>
      <c r="K159" s="283">
        <v>828258</v>
      </c>
      <c r="L159" s="283">
        <v>93537</v>
      </c>
      <c r="M159" s="283">
        <v>35473</v>
      </c>
      <c r="N159" s="283">
        <v>2378</v>
      </c>
      <c r="O159" s="283">
        <v>0</v>
      </c>
      <c r="P159" s="283">
        <v>0</v>
      </c>
      <c r="Q159" s="283">
        <v>0</v>
      </c>
      <c r="R159" s="283">
        <v>0</v>
      </c>
      <c r="S159" s="282">
        <v>0</v>
      </c>
      <c r="T159" s="281">
        <v>2266949</v>
      </c>
      <c r="U159" s="283">
        <v>1787904</v>
      </c>
      <c r="V159" s="283">
        <v>318462</v>
      </c>
      <c r="W159" s="283">
        <v>144270</v>
      </c>
      <c r="X159" s="283">
        <v>11890</v>
      </c>
      <c r="Y159" s="283">
        <v>0</v>
      </c>
      <c r="Z159" s="283">
        <v>0</v>
      </c>
      <c r="AA159" s="283">
        <v>0</v>
      </c>
      <c r="AB159" s="283">
        <v>0</v>
      </c>
      <c r="AC159" s="283">
        <v>0</v>
      </c>
      <c r="AD159" s="281">
        <v>0</v>
      </c>
      <c r="AE159" s="283">
        <v>479045</v>
      </c>
      <c r="AF159" s="283">
        <v>1948487</v>
      </c>
      <c r="AG159" s="283">
        <v>2122679</v>
      </c>
      <c r="AH159" s="283">
        <v>2255059</v>
      </c>
      <c r="AI159" s="283">
        <v>2266949</v>
      </c>
      <c r="AJ159" s="283">
        <v>2266949</v>
      </c>
      <c r="AK159" s="283">
        <v>2266949</v>
      </c>
      <c r="AL159" s="283">
        <v>2266949</v>
      </c>
      <c r="AM159" s="282">
        <v>2266949</v>
      </c>
    </row>
    <row r="160" spans="1:39" s="10" customFormat="1" ht="15.6">
      <c r="A160" s="6"/>
      <c r="B160" s="7"/>
      <c r="C160" s="7"/>
      <c r="D160" s="267">
        <v>7</v>
      </c>
      <c r="E160" s="281">
        <v>163616</v>
      </c>
      <c r="F160" s="282">
        <v>1749425</v>
      </c>
      <c r="G160" s="281">
        <v>0</v>
      </c>
      <c r="H160" s="283">
        <v>0</v>
      </c>
      <c r="I160" s="283">
        <v>2641193</v>
      </c>
      <c r="J160" s="281">
        <v>1487217</v>
      </c>
      <c r="K160" s="283">
        <v>973411</v>
      </c>
      <c r="L160" s="283">
        <v>122012</v>
      </c>
      <c r="M160" s="283">
        <v>52623</v>
      </c>
      <c r="N160" s="283">
        <v>4432</v>
      </c>
      <c r="O160" s="283">
        <v>1498</v>
      </c>
      <c r="P160" s="283">
        <v>0</v>
      </c>
      <c r="Q160" s="283">
        <v>0</v>
      </c>
      <c r="R160" s="283">
        <v>0</v>
      </c>
      <c r="S160" s="282">
        <v>0</v>
      </c>
      <c r="T160" s="281">
        <v>2641193</v>
      </c>
      <c r="U160" s="283">
        <v>2127387</v>
      </c>
      <c r="V160" s="283">
        <v>424589</v>
      </c>
      <c r="W160" s="283">
        <v>216422</v>
      </c>
      <c r="X160" s="283">
        <v>23658</v>
      </c>
      <c r="Y160" s="283">
        <v>8988</v>
      </c>
      <c r="Z160" s="283">
        <v>0</v>
      </c>
      <c r="AA160" s="283">
        <v>0</v>
      </c>
      <c r="AB160" s="283">
        <v>0</v>
      </c>
      <c r="AC160" s="283">
        <v>0</v>
      </c>
      <c r="AD160" s="281">
        <v>0</v>
      </c>
      <c r="AE160" s="283">
        <v>513806</v>
      </c>
      <c r="AF160" s="283">
        <v>2216604</v>
      </c>
      <c r="AG160" s="283">
        <v>2424771</v>
      </c>
      <c r="AH160" s="283">
        <v>2617535</v>
      </c>
      <c r="AI160" s="283">
        <v>2632205</v>
      </c>
      <c r="AJ160" s="283">
        <v>2641193</v>
      </c>
      <c r="AK160" s="283">
        <v>2641193</v>
      </c>
      <c r="AL160" s="283">
        <v>2641193</v>
      </c>
      <c r="AM160" s="282">
        <v>2641193</v>
      </c>
    </row>
    <row r="161" spans="1:39" s="10" customFormat="1" ht="15.6">
      <c r="A161" s="6"/>
      <c r="B161" s="7"/>
      <c r="C161" s="7"/>
      <c r="D161" s="267">
        <v>8</v>
      </c>
      <c r="E161" s="281">
        <v>131921</v>
      </c>
      <c r="F161" s="282">
        <v>1527560</v>
      </c>
      <c r="G161" s="281">
        <v>0</v>
      </c>
      <c r="H161" s="283">
        <v>0</v>
      </c>
      <c r="I161" s="283">
        <v>2863058</v>
      </c>
      <c r="J161" s="281">
        <v>1595811</v>
      </c>
      <c r="K161" s="283">
        <v>1050619</v>
      </c>
      <c r="L161" s="283">
        <v>146507</v>
      </c>
      <c r="M161" s="283">
        <v>61489</v>
      </c>
      <c r="N161" s="283">
        <v>6472</v>
      </c>
      <c r="O161" s="283">
        <v>1940</v>
      </c>
      <c r="P161" s="283">
        <v>220</v>
      </c>
      <c r="Q161" s="283">
        <v>0</v>
      </c>
      <c r="R161" s="283">
        <v>0</v>
      </c>
      <c r="S161" s="282">
        <v>0</v>
      </c>
      <c r="T161" s="281">
        <v>2863058</v>
      </c>
      <c r="U161" s="283">
        <v>2317866</v>
      </c>
      <c r="V161" s="283">
        <v>509642</v>
      </c>
      <c r="W161" s="283">
        <v>254588</v>
      </c>
      <c r="X161" s="283">
        <v>34520</v>
      </c>
      <c r="Y161" s="283">
        <v>11860</v>
      </c>
      <c r="Z161" s="283">
        <v>1540</v>
      </c>
      <c r="AA161" s="283">
        <v>0</v>
      </c>
      <c r="AB161" s="283">
        <v>0</v>
      </c>
      <c r="AC161" s="283">
        <v>0</v>
      </c>
      <c r="AD161" s="281">
        <v>0</v>
      </c>
      <c r="AE161" s="283">
        <v>545192</v>
      </c>
      <c r="AF161" s="283">
        <v>2353416</v>
      </c>
      <c r="AG161" s="283">
        <v>2608470</v>
      </c>
      <c r="AH161" s="283">
        <v>2828538</v>
      </c>
      <c r="AI161" s="283">
        <v>2851198</v>
      </c>
      <c r="AJ161" s="283">
        <v>2861518</v>
      </c>
      <c r="AK161" s="283">
        <v>2863058</v>
      </c>
      <c r="AL161" s="283">
        <v>2863058</v>
      </c>
      <c r="AM161" s="282">
        <v>2863058</v>
      </c>
    </row>
    <row r="162" spans="1:39" s="10" customFormat="1" ht="15.6">
      <c r="A162" s="6"/>
      <c r="B162" s="7"/>
      <c r="C162" s="7"/>
      <c r="D162" s="267">
        <v>9</v>
      </c>
      <c r="E162" s="281">
        <v>98788</v>
      </c>
      <c r="F162" s="282">
        <v>1262496</v>
      </c>
      <c r="G162" s="281">
        <v>0</v>
      </c>
      <c r="H162" s="283">
        <v>0</v>
      </c>
      <c r="I162" s="283">
        <v>3128122</v>
      </c>
      <c r="J162" s="281">
        <v>1713634</v>
      </c>
      <c r="K162" s="283">
        <v>1148527</v>
      </c>
      <c r="L162" s="283">
        <v>173956</v>
      </c>
      <c r="M162" s="283">
        <v>78895</v>
      </c>
      <c r="N162" s="283">
        <v>8609</v>
      </c>
      <c r="O162" s="283">
        <v>3189</v>
      </c>
      <c r="P162" s="283">
        <v>782</v>
      </c>
      <c r="Q162" s="283">
        <v>530</v>
      </c>
      <c r="R162" s="283">
        <v>0</v>
      </c>
      <c r="S162" s="282">
        <v>0</v>
      </c>
      <c r="T162" s="281">
        <v>3128122</v>
      </c>
      <c r="U162" s="283">
        <v>2563015</v>
      </c>
      <c r="V162" s="283">
        <v>613873</v>
      </c>
      <c r="W162" s="283">
        <v>328690</v>
      </c>
      <c r="X162" s="283">
        <v>47546</v>
      </c>
      <c r="Y162" s="283">
        <v>20446</v>
      </c>
      <c r="Z162" s="283">
        <v>6004</v>
      </c>
      <c r="AA162" s="283">
        <v>4240</v>
      </c>
      <c r="AB162" s="283">
        <v>0</v>
      </c>
      <c r="AC162" s="283">
        <v>0</v>
      </c>
      <c r="AD162" s="281">
        <v>0</v>
      </c>
      <c r="AE162" s="283">
        <v>565107</v>
      </c>
      <c r="AF162" s="283">
        <v>2514249</v>
      </c>
      <c r="AG162" s="283">
        <v>2799432</v>
      </c>
      <c r="AH162" s="283">
        <v>3080576</v>
      </c>
      <c r="AI162" s="283">
        <v>3107676</v>
      </c>
      <c r="AJ162" s="283">
        <v>3122118</v>
      </c>
      <c r="AK162" s="283">
        <v>3123882</v>
      </c>
      <c r="AL162" s="283">
        <v>3128122</v>
      </c>
      <c r="AM162" s="282">
        <v>3128122</v>
      </c>
    </row>
    <row r="163" spans="1:39" s="10" customFormat="1" ht="15.6">
      <c r="A163" s="6"/>
      <c r="B163" s="7"/>
      <c r="C163" s="7"/>
      <c r="D163" s="274">
        <v>10</v>
      </c>
      <c r="E163" s="278">
        <v>79705</v>
      </c>
      <c r="F163" s="280">
        <v>1090749</v>
      </c>
      <c r="G163" s="278">
        <v>0</v>
      </c>
      <c r="H163" s="279">
        <v>0</v>
      </c>
      <c r="I163" s="279">
        <v>3299869</v>
      </c>
      <c r="J163" s="278">
        <v>1792433</v>
      </c>
      <c r="K163" s="279">
        <v>1209466</v>
      </c>
      <c r="L163" s="279">
        <v>194374</v>
      </c>
      <c r="M163" s="279">
        <v>87603</v>
      </c>
      <c r="N163" s="279">
        <v>10735</v>
      </c>
      <c r="O163" s="279">
        <v>3712</v>
      </c>
      <c r="P163" s="279">
        <v>942</v>
      </c>
      <c r="Q163" s="279">
        <v>582</v>
      </c>
      <c r="R163" s="279">
        <v>22</v>
      </c>
      <c r="S163" s="280">
        <v>0</v>
      </c>
      <c r="T163" s="278">
        <v>3299869</v>
      </c>
      <c r="U163" s="279">
        <v>2716902</v>
      </c>
      <c r="V163" s="279">
        <v>686718</v>
      </c>
      <c r="W163" s="279">
        <v>366405</v>
      </c>
      <c r="X163" s="279">
        <v>58933</v>
      </c>
      <c r="Y163" s="279">
        <v>23818</v>
      </c>
      <c r="Z163" s="279">
        <v>7198</v>
      </c>
      <c r="AA163" s="279">
        <v>4678</v>
      </c>
      <c r="AB163" s="279">
        <v>198</v>
      </c>
      <c r="AC163" s="279">
        <v>0</v>
      </c>
      <c r="AD163" s="278">
        <v>0</v>
      </c>
      <c r="AE163" s="279">
        <v>582967</v>
      </c>
      <c r="AF163" s="279">
        <v>2613151</v>
      </c>
      <c r="AG163" s="279">
        <v>2933464</v>
      </c>
      <c r="AH163" s="279">
        <v>3240936</v>
      </c>
      <c r="AI163" s="279">
        <v>3276051</v>
      </c>
      <c r="AJ163" s="279">
        <v>3292671</v>
      </c>
      <c r="AK163" s="279">
        <v>3295191</v>
      </c>
      <c r="AL163" s="279">
        <v>3299671</v>
      </c>
      <c r="AM163" s="280">
        <v>3299869</v>
      </c>
    </row>
    <row r="164" spans="1:39" s="10" customFormat="1" ht="15.6">
      <c r="A164" s="6"/>
      <c r="B164" s="7"/>
      <c r="C164" s="7"/>
      <c r="D164" s="267">
        <v>11</v>
      </c>
      <c r="E164" s="281">
        <v>60961</v>
      </c>
      <c r="F164" s="282">
        <v>903309</v>
      </c>
      <c r="G164" s="281">
        <v>0</v>
      </c>
      <c r="H164" s="283">
        <v>0</v>
      </c>
      <c r="I164" s="283">
        <v>3487309</v>
      </c>
      <c r="J164" s="281">
        <v>1873744</v>
      </c>
      <c r="K164" s="283">
        <v>1278693</v>
      </c>
      <c r="L164" s="283">
        <v>215320</v>
      </c>
      <c r="M164" s="283">
        <v>99467</v>
      </c>
      <c r="N164" s="283">
        <v>13105</v>
      </c>
      <c r="O164" s="283">
        <v>4895</v>
      </c>
      <c r="P164" s="283">
        <v>1189</v>
      </c>
      <c r="Q164" s="283">
        <v>767</v>
      </c>
      <c r="R164" s="283">
        <v>80</v>
      </c>
      <c r="S164" s="282">
        <v>49</v>
      </c>
      <c r="T164" s="281">
        <v>3487309</v>
      </c>
      <c r="U164" s="283">
        <v>2892258</v>
      </c>
      <c r="V164" s="283">
        <v>765512</v>
      </c>
      <c r="W164" s="283">
        <v>417953</v>
      </c>
      <c r="X164" s="283">
        <v>72505</v>
      </c>
      <c r="Y164" s="283">
        <v>31455</v>
      </c>
      <c r="Z164" s="283">
        <v>9219</v>
      </c>
      <c r="AA164" s="283">
        <v>6265</v>
      </c>
      <c r="AB164" s="283">
        <v>769</v>
      </c>
      <c r="AC164" s="283">
        <v>490</v>
      </c>
      <c r="AD164" s="284">
        <v>0</v>
      </c>
      <c r="AE164" s="285">
        <v>595051</v>
      </c>
      <c r="AF164" s="285">
        <v>2721797</v>
      </c>
      <c r="AG164" s="285">
        <v>3069356</v>
      </c>
      <c r="AH164" s="285">
        <v>3414804</v>
      </c>
      <c r="AI164" s="285">
        <v>3455854</v>
      </c>
      <c r="AJ164" s="285">
        <v>3478090</v>
      </c>
      <c r="AK164" s="285">
        <v>3481044</v>
      </c>
      <c r="AL164" s="285">
        <v>3486540</v>
      </c>
      <c r="AM164" s="286">
        <v>3486819</v>
      </c>
    </row>
    <row r="165" spans="1:39" s="10" customFormat="1" ht="15.6">
      <c r="A165" s="6"/>
      <c r="B165" s="7"/>
      <c r="C165" s="7"/>
      <c r="D165" s="267">
        <v>12</v>
      </c>
      <c r="E165" s="281">
        <v>48836</v>
      </c>
      <c r="F165" s="282">
        <v>769934</v>
      </c>
      <c r="G165" s="281">
        <v>0</v>
      </c>
      <c r="H165" s="283">
        <v>0</v>
      </c>
      <c r="I165" s="283">
        <v>3620684</v>
      </c>
      <c r="J165" s="281">
        <v>1930697</v>
      </c>
      <c r="K165" s="283">
        <v>1325639</v>
      </c>
      <c r="L165" s="283">
        <v>233142</v>
      </c>
      <c r="M165" s="283">
        <v>107824</v>
      </c>
      <c r="N165" s="283">
        <v>15279</v>
      </c>
      <c r="O165" s="283">
        <v>5617</v>
      </c>
      <c r="P165" s="283">
        <v>1447</v>
      </c>
      <c r="Q165" s="283">
        <v>882</v>
      </c>
      <c r="R165" s="283">
        <v>97</v>
      </c>
      <c r="S165" s="282">
        <v>57</v>
      </c>
      <c r="T165" s="281">
        <v>3620684</v>
      </c>
      <c r="U165" s="283">
        <v>3015626</v>
      </c>
      <c r="V165" s="283">
        <v>830632</v>
      </c>
      <c r="W165" s="283">
        <v>454678</v>
      </c>
      <c r="X165" s="283">
        <v>84498</v>
      </c>
      <c r="Y165" s="283">
        <v>36188</v>
      </c>
      <c r="Z165" s="283">
        <v>11168</v>
      </c>
      <c r="AA165" s="283">
        <v>7213</v>
      </c>
      <c r="AB165" s="283">
        <v>933</v>
      </c>
      <c r="AC165" s="283">
        <v>573</v>
      </c>
      <c r="AD165" s="281">
        <v>0</v>
      </c>
      <c r="AE165" s="283">
        <v>605058</v>
      </c>
      <c r="AF165" s="283">
        <v>2790052</v>
      </c>
      <c r="AG165" s="283">
        <v>3166006</v>
      </c>
      <c r="AH165" s="283">
        <v>3536186</v>
      </c>
      <c r="AI165" s="283">
        <v>3584496</v>
      </c>
      <c r="AJ165" s="283">
        <v>3609516</v>
      </c>
      <c r="AK165" s="283">
        <v>3613471</v>
      </c>
      <c r="AL165" s="283">
        <v>3619751</v>
      </c>
      <c r="AM165" s="282">
        <v>3620111</v>
      </c>
    </row>
    <row r="166" spans="1:39" s="10" customFormat="1" ht="15.6">
      <c r="A166" s="6"/>
      <c r="B166" s="7"/>
      <c r="C166" s="7"/>
      <c r="D166" s="267">
        <v>13</v>
      </c>
      <c r="E166" s="281">
        <v>37202</v>
      </c>
      <c r="F166" s="282">
        <v>630326</v>
      </c>
      <c r="G166" s="281">
        <v>0</v>
      </c>
      <c r="H166" s="283">
        <v>0</v>
      </c>
      <c r="I166" s="283">
        <v>3760292</v>
      </c>
      <c r="J166" s="281">
        <v>1987087</v>
      </c>
      <c r="K166" s="283">
        <v>1375462</v>
      </c>
      <c r="L166" s="283">
        <v>251107</v>
      </c>
      <c r="M166" s="283">
        <v>118746</v>
      </c>
      <c r="N166" s="283">
        <v>17613</v>
      </c>
      <c r="O166" s="283">
        <v>6838</v>
      </c>
      <c r="P166" s="283">
        <v>1941</v>
      </c>
      <c r="Q166" s="283">
        <v>1279</v>
      </c>
      <c r="R166" s="283">
        <v>122</v>
      </c>
      <c r="S166" s="282">
        <v>79</v>
      </c>
      <c r="T166" s="281">
        <v>3760292</v>
      </c>
      <c r="U166" s="283">
        <v>3148667</v>
      </c>
      <c r="V166" s="283">
        <v>899957</v>
      </c>
      <c r="W166" s="283">
        <v>502874</v>
      </c>
      <c r="X166" s="283">
        <v>98342</v>
      </c>
      <c r="Y166" s="283">
        <v>44467</v>
      </c>
      <c r="Z166" s="283">
        <v>15085</v>
      </c>
      <c r="AA166" s="283">
        <v>10451</v>
      </c>
      <c r="AB166" s="283">
        <v>1195</v>
      </c>
      <c r="AC166" s="283">
        <v>808</v>
      </c>
      <c r="AD166" s="281">
        <v>0</v>
      </c>
      <c r="AE166" s="283">
        <v>611625</v>
      </c>
      <c r="AF166" s="283">
        <v>2860335</v>
      </c>
      <c r="AG166" s="283">
        <v>3257418</v>
      </c>
      <c r="AH166" s="283">
        <v>3661950</v>
      </c>
      <c r="AI166" s="283">
        <v>3715825</v>
      </c>
      <c r="AJ166" s="283">
        <v>3745207</v>
      </c>
      <c r="AK166" s="283">
        <v>3749841</v>
      </c>
      <c r="AL166" s="283">
        <v>3759097</v>
      </c>
      <c r="AM166" s="282">
        <v>3759484</v>
      </c>
    </row>
    <row r="167" spans="1:39" s="10" customFormat="1" ht="15.6">
      <c r="A167" s="6"/>
      <c r="B167" s="7"/>
      <c r="C167" s="7"/>
      <c r="D167" s="267">
        <v>14</v>
      </c>
      <c r="E167" s="281">
        <v>29794</v>
      </c>
      <c r="F167" s="282">
        <v>534022</v>
      </c>
      <c r="G167" s="281">
        <v>0</v>
      </c>
      <c r="H167" s="283">
        <v>0</v>
      </c>
      <c r="I167" s="283">
        <v>3856596</v>
      </c>
      <c r="J167" s="281">
        <v>2026011</v>
      </c>
      <c r="K167" s="283">
        <v>1409218</v>
      </c>
      <c r="L167" s="283">
        <v>264675</v>
      </c>
      <c r="M167" s="283">
        <v>125687</v>
      </c>
      <c r="N167" s="283">
        <v>19619</v>
      </c>
      <c r="O167" s="283">
        <v>7588</v>
      </c>
      <c r="P167" s="283">
        <v>2172</v>
      </c>
      <c r="Q167" s="283">
        <v>1374</v>
      </c>
      <c r="R167" s="283">
        <v>142</v>
      </c>
      <c r="S167" s="282">
        <v>87</v>
      </c>
      <c r="T167" s="281">
        <v>3856596</v>
      </c>
      <c r="U167" s="283">
        <v>3239803</v>
      </c>
      <c r="V167" s="283">
        <v>950717</v>
      </c>
      <c r="W167" s="283">
        <v>533753</v>
      </c>
      <c r="X167" s="283">
        <v>109481</v>
      </c>
      <c r="Y167" s="283">
        <v>49326</v>
      </c>
      <c r="Z167" s="283">
        <v>16830</v>
      </c>
      <c r="AA167" s="283">
        <v>11244</v>
      </c>
      <c r="AB167" s="283">
        <v>1388</v>
      </c>
      <c r="AC167" s="283">
        <v>893</v>
      </c>
      <c r="AD167" s="281">
        <v>0</v>
      </c>
      <c r="AE167" s="283">
        <v>616793</v>
      </c>
      <c r="AF167" s="283">
        <v>2905879</v>
      </c>
      <c r="AG167" s="283">
        <v>3322843</v>
      </c>
      <c r="AH167" s="283">
        <v>3747115</v>
      </c>
      <c r="AI167" s="283">
        <v>3807270</v>
      </c>
      <c r="AJ167" s="283">
        <v>3839766</v>
      </c>
      <c r="AK167" s="283">
        <v>3845352</v>
      </c>
      <c r="AL167" s="283">
        <v>3855208</v>
      </c>
      <c r="AM167" s="282">
        <v>3855703</v>
      </c>
    </row>
    <row r="168" spans="1:39" s="10" customFormat="1" ht="15.6">
      <c r="A168" s="6"/>
      <c r="B168" s="7"/>
      <c r="C168" s="7"/>
      <c r="D168" s="267">
        <v>15</v>
      </c>
      <c r="E168" s="281">
        <v>22884</v>
      </c>
      <c r="F168" s="282">
        <v>437282</v>
      </c>
      <c r="G168" s="281">
        <v>0</v>
      </c>
      <c r="H168" s="283">
        <v>0</v>
      </c>
      <c r="I168" s="283">
        <v>3953336</v>
      </c>
      <c r="J168" s="281">
        <v>2063345</v>
      </c>
      <c r="K168" s="283">
        <v>1443164</v>
      </c>
      <c r="L168" s="283">
        <v>278109</v>
      </c>
      <c r="M168" s="283">
        <v>133786</v>
      </c>
      <c r="N168" s="283">
        <v>21778</v>
      </c>
      <c r="O168" s="283">
        <v>8661</v>
      </c>
      <c r="P168" s="283">
        <v>2507</v>
      </c>
      <c r="Q168" s="283">
        <v>1620</v>
      </c>
      <c r="R168" s="283">
        <v>194</v>
      </c>
      <c r="S168" s="282">
        <v>133</v>
      </c>
      <c r="T168" s="281">
        <v>3953336</v>
      </c>
      <c r="U168" s="283">
        <v>3333155</v>
      </c>
      <c r="V168" s="283">
        <v>1003045</v>
      </c>
      <c r="W168" s="283">
        <v>570076</v>
      </c>
      <c r="X168" s="283">
        <v>122044</v>
      </c>
      <c r="Y168" s="283">
        <v>56459</v>
      </c>
      <c r="Z168" s="283">
        <v>19535</v>
      </c>
      <c r="AA168" s="283">
        <v>13326</v>
      </c>
      <c r="AB168" s="283">
        <v>1918</v>
      </c>
      <c r="AC168" s="283">
        <v>1369</v>
      </c>
      <c r="AD168" s="281">
        <v>0</v>
      </c>
      <c r="AE168" s="283">
        <v>620181</v>
      </c>
      <c r="AF168" s="283">
        <v>2950291</v>
      </c>
      <c r="AG168" s="283">
        <v>3383260</v>
      </c>
      <c r="AH168" s="283">
        <v>3831292</v>
      </c>
      <c r="AI168" s="283">
        <v>3896877</v>
      </c>
      <c r="AJ168" s="283">
        <v>3933801</v>
      </c>
      <c r="AK168" s="283">
        <v>3940010</v>
      </c>
      <c r="AL168" s="283">
        <v>3951418</v>
      </c>
      <c r="AM168" s="282">
        <v>3951967</v>
      </c>
    </row>
    <row r="169" spans="1:39" s="10" customFormat="1" ht="15.6">
      <c r="A169" s="6"/>
      <c r="B169" s="7"/>
      <c r="C169" s="7"/>
      <c r="D169" s="267">
        <v>16</v>
      </c>
      <c r="E169" s="281">
        <v>18515</v>
      </c>
      <c r="F169" s="282">
        <v>371747</v>
      </c>
      <c r="G169" s="281">
        <v>0</v>
      </c>
      <c r="H169" s="283">
        <v>0</v>
      </c>
      <c r="I169" s="283">
        <v>4018871</v>
      </c>
      <c r="J169" s="281">
        <v>2087323</v>
      </c>
      <c r="K169" s="283">
        <v>1464772</v>
      </c>
      <c r="L169" s="283">
        <v>288993</v>
      </c>
      <c r="M169" s="283">
        <v>139812</v>
      </c>
      <c r="N169" s="283">
        <v>23602</v>
      </c>
      <c r="O169" s="283">
        <v>9406</v>
      </c>
      <c r="P169" s="283">
        <v>2776</v>
      </c>
      <c r="Q169" s="283">
        <v>1754</v>
      </c>
      <c r="R169" s="283">
        <v>229</v>
      </c>
      <c r="S169" s="282">
        <v>152</v>
      </c>
      <c r="T169" s="281">
        <v>4018871</v>
      </c>
      <c r="U169" s="283">
        <v>3396320</v>
      </c>
      <c r="V169" s="283">
        <v>1044762</v>
      </c>
      <c r="W169" s="283">
        <v>597219</v>
      </c>
      <c r="X169" s="283">
        <v>132379</v>
      </c>
      <c r="Y169" s="283">
        <v>61399</v>
      </c>
      <c r="Z169" s="283">
        <v>21619</v>
      </c>
      <c r="AA169" s="283">
        <v>14465</v>
      </c>
      <c r="AB169" s="283">
        <v>2265</v>
      </c>
      <c r="AC169" s="283">
        <v>1572</v>
      </c>
      <c r="AD169" s="281">
        <v>0</v>
      </c>
      <c r="AE169" s="283">
        <v>622551</v>
      </c>
      <c r="AF169" s="283">
        <v>2974109</v>
      </c>
      <c r="AG169" s="283">
        <v>3421652</v>
      </c>
      <c r="AH169" s="283">
        <v>3886492</v>
      </c>
      <c r="AI169" s="283">
        <v>3957472</v>
      </c>
      <c r="AJ169" s="283">
        <v>3997252</v>
      </c>
      <c r="AK169" s="283">
        <v>4004406</v>
      </c>
      <c r="AL169" s="283">
        <v>4016606</v>
      </c>
      <c r="AM169" s="282">
        <v>4017299</v>
      </c>
    </row>
    <row r="170" spans="1:39" s="10" customFormat="1" ht="15.6">
      <c r="A170" s="6"/>
      <c r="B170" s="7"/>
      <c r="C170" s="7"/>
      <c r="D170" s="267">
        <v>17</v>
      </c>
      <c r="E170" s="281">
        <v>14574</v>
      </c>
      <c r="F170" s="282">
        <v>308691</v>
      </c>
      <c r="G170" s="281">
        <v>0</v>
      </c>
      <c r="H170" s="283">
        <v>0</v>
      </c>
      <c r="I170" s="283">
        <v>4081927</v>
      </c>
      <c r="J170" s="281">
        <v>2108614</v>
      </c>
      <c r="K170" s="283">
        <v>1484448</v>
      </c>
      <c r="L170" s="283">
        <v>299960</v>
      </c>
      <c r="M170" s="283">
        <v>146920</v>
      </c>
      <c r="N170" s="283">
        <v>25632</v>
      </c>
      <c r="O170" s="283">
        <v>10468</v>
      </c>
      <c r="P170" s="283">
        <v>3238</v>
      </c>
      <c r="Q170" s="283">
        <v>2109</v>
      </c>
      <c r="R170" s="283">
        <v>280</v>
      </c>
      <c r="S170" s="282">
        <v>184</v>
      </c>
      <c r="T170" s="281">
        <v>4081927</v>
      </c>
      <c r="U170" s="283">
        <v>3457761</v>
      </c>
      <c r="V170" s="283">
        <v>1088785</v>
      </c>
      <c r="W170" s="283">
        <v>629665</v>
      </c>
      <c r="X170" s="283">
        <v>144513</v>
      </c>
      <c r="Y170" s="283">
        <v>68693</v>
      </c>
      <c r="Z170" s="283">
        <v>25313</v>
      </c>
      <c r="AA170" s="283">
        <v>17410</v>
      </c>
      <c r="AB170" s="283">
        <v>2778</v>
      </c>
      <c r="AC170" s="283">
        <v>1914</v>
      </c>
      <c r="AD170" s="281">
        <v>0</v>
      </c>
      <c r="AE170" s="283">
        <v>624166</v>
      </c>
      <c r="AF170" s="283">
        <v>2993142</v>
      </c>
      <c r="AG170" s="283">
        <v>3452262</v>
      </c>
      <c r="AH170" s="283">
        <v>3937414</v>
      </c>
      <c r="AI170" s="283">
        <v>4013234</v>
      </c>
      <c r="AJ170" s="283">
        <v>4056614</v>
      </c>
      <c r="AK170" s="283">
        <v>4064517</v>
      </c>
      <c r="AL170" s="283">
        <v>4079149</v>
      </c>
      <c r="AM170" s="282">
        <v>4080013</v>
      </c>
    </row>
    <row r="171" spans="1:39" s="10" customFormat="1" ht="15.6">
      <c r="A171" s="6"/>
      <c r="B171" s="7"/>
      <c r="C171" s="7"/>
      <c r="D171" s="267">
        <v>18</v>
      </c>
      <c r="E171" s="281">
        <v>11760</v>
      </c>
      <c r="F171" s="282">
        <v>260853</v>
      </c>
      <c r="G171" s="281">
        <v>0</v>
      </c>
      <c r="H171" s="283">
        <v>0</v>
      </c>
      <c r="I171" s="283">
        <v>4129765</v>
      </c>
      <c r="J171" s="281">
        <v>2124632</v>
      </c>
      <c r="K171" s="283">
        <v>1499266</v>
      </c>
      <c r="L171" s="283">
        <v>308781</v>
      </c>
      <c r="M171" s="283">
        <v>152202</v>
      </c>
      <c r="N171" s="283">
        <v>27387</v>
      </c>
      <c r="O171" s="283">
        <v>11225</v>
      </c>
      <c r="P171" s="283">
        <v>3475</v>
      </c>
      <c r="Q171" s="283">
        <v>2214</v>
      </c>
      <c r="R171" s="283">
        <v>305</v>
      </c>
      <c r="S171" s="282">
        <v>196</v>
      </c>
      <c r="T171" s="281">
        <v>4129765</v>
      </c>
      <c r="U171" s="283">
        <v>3504399</v>
      </c>
      <c r="V171" s="283">
        <v>1123429</v>
      </c>
      <c r="W171" s="283">
        <v>653692</v>
      </c>
      <c r="X171" s="283">
        <v>154432</v>
      </c>
      <c r="Y171" s="283">
        <v>73622</v>
      </c>
      <c r="Z171" s="283">
        <v>27122</v>
      </c>
      <c r="AA171" s="283">
        <v>18295</v>
      </c>
      <c r="AB171" s="283">
        <v>3023</v>
      </c>
      <c r="AC171" s="283">
        <v>2042</v>
      </c>
      <c r="AD171" s="281">
        <v>0</v>
      </c>
      <c r="AE171" s="283">
        <v>625366</v>
      </c>
      <c r="AF171" s="283">
        <v>3006336</v>
      </c>
      <c r="AG171" s="283">
        <v>3476073</v>
      </c>
      <c r="AH171" s="283">
        <v>3975333</v>
      </c>
      <c r="AI171" s="283">
        <v>4056143</v>
      </c>
      <c r="AJ171" s="283">
        <v>4102643</v>
      </c>
      <c r="AK171" s="283">
        <v>4111470</v>
      </c>
      <c r="AL171" s="283">
        <v>4126742</v>
      </c>
      <c r="AM171" s="282">
        <v>4127723</v>
      </c>
    </row>
    <row r="172" spans="1:39" s="10" customFormat="1" ht="15.6">
      <c r="A172" s="6"/>
      <c r="B172" s="7"/>
      <c r="C172" s="7"/>
      <c r="D172" s="267">
        <v>19</v>
      </c>
      <c r="E172" s="281">
        <v>9477</v>
      </c>
      <c r="F172" s="282">
        <v>219759</v>
      </c>
      <c r="G172" s="281">
        <v>0</v>
      </c>
      <c r="H172" s="283">
        <v>0</v>
      </c>
      <c r="I172" s="283">
        <v>4170859</v>
      </c>
      <c r="J172" s="281">
        <v>2137533</v>
      </c>
      <c r="K172" s="283">
        <v>1511398</v>
      </c>
      <c r="L172" s="283">
        <v>316611</v>
      </c>
      <c r="M172" s="283">
        <v>157314</v>
      </c>
      <c r="N172" s="283">
        <v>29033</v>
      </c>
      <c r="O172" s="283">
        <v>12058</v>
      </c>
      <c r="P172" s="283">
        <v>3780</v>
      </c>
      <c r="Q172" s="283">
        <v>2406</v>
      </c>
      <c r="R172" s="283">
        <v>368</v>
      </c>
      <c r="S172" s="282">
        <v>243</v>
      </c>
      <c r="T172" s="281">
        <v>4170859</v>
      </c>
      <c r="U172" s="283">
        <v>3544724</v>
      </c>
      <c r="V172" s="283">
        <v>1155150</v>
      </c>
      <c r="W172" s="283">
        <v>677259</v>
      </c>
      <c r="X172" s="283">
        <v>164135</v>
      </c>
      <c r="Y172" s="283">
        <v>79260</v>
      </c>
      <c r="Z172" s="283">
        <v>29592</v>
      </c>
      <c r="AA172" s="283">
        <v>19974</v>
      </c>
      <c r="AB172" s="283">
        <v>3670</v>
      </c>
      <c r="AC172" s="283">
        <v>2545</v>
      </c>
      <c r="AD172" s="281">
        <v>0</v>
      </c>
      <c r="AE172" s="283">
        <v>626135</v>
      </c>
      <c r="AF172" s="283">
        <v>3015709</v>
      </c>
      <c r="AG172" s="283">
        <v>3493600</v>
      </c>
      <c r="AH172" s="283">
        <v>4006724</v>
      </c>
      <c r="AI172" s="283">
        <v>4091599</v>
      </c>
      <c r="AJ172" s="283">
        <v>4141267</v>
      </c>
      <c r="AK172" s="283">
        <v>4150885</v>
      </c>
      <c r="AL172" s="283">
        <v>4167189</v>
      </c>
      <c r="AM172" s="282">
        <v>4168314</v>
      </c>
    </row>
    <row r="173" spans="1:39" s="10" customFormat="1" ht="15.6">
      <c r="A173" s="6"/>
      <c r="B173" s="7"/>
      <c r="C173" s="7"/>
      <c r="D173" s="274">
        <v>20</v>
      </c>
      <c r="E173" s="278">
        <v>7735</v>
      </c>
      <c r="F173" s="280">
        <v>186661</v>
      </c>
      <c r="G173" s="278">
        <v>0</v>
      </c>
      <c r="H173" s="279">
        <v>0</v>
      </c>
      <c r="I173" s="279">
        <v>4203957</v>
      </c>
      <c r="J173" s="278">
        <v>2147737</v>
      </c>
      <c r="K173" s="279">
        <v>1520994</v>
      </c>
      <c r="L173" s="279">
        <v>323129</v>
      </c>
      <c r="M173" s="279">
        <v>161496</v>
      </c>
      <c r="N173" s="279">
        <v>30492</v>
      </c>
      <c r="O173" s="279">
        <v>12708</v>
      </c>
      <c r="P173" s="279">
        <v>4024</v>
      </c>
      <c r="Q173" s="279">
        <v>2541</v>
      </c>
      <c r="R173" s="279">
        <v>416</v>
      </c>
      <c r="S173" s="280">
        <v>268</v>
      </c>
      <c r="T173" s="278">
        <v>4203957</v>
      </c>
      <c r="U173" s="279">
        <v>3577214</v>
      </c>
      <c r="V173" s="279">
        <v>1181484</v>
      </c>
      <c r="W173" s="279">
        <v>696585</v>
      </c>
      <c r="X173" s="279">
        <v>172569</v>
      </c>
      <c r="Y173" s="279">
        <v>83649</v>
      </c>
      <c r="Z173" s="279">
        <v>31545</v>
      </c>
      <c r="AA173" s="279">
        <v>21164</v>
      </c>
      <c r="AB173" s="279">
        <v>4164</v>
      </c>
      <c r="AC173" s="279">
        <v>2832</v>
      </c>
      <c r="AD173" s="278">
        <v>0</v>
      </c>
      <c r="AE173" s="279">
        <v>626743</v>
      </c>
      <c r="AF173" s="279">
        <v>3022473</v>
      </c>
      <c r="AG173" s="279">
        <v>3507372</v>
      </c>
      <c r="AH173" s="279">
        <v>4031388</v>
      </c>
      <c r="AI173" s="279">
        <v>4120308</v>
      </c>
      <c r="AJ173" s="279">
        <v>4172412</v>
      </c>
      <c r="AK173" s="279">
        <v>4182793</v>
      </c>
      <c r="AL173" s="279">
        <v>4199793</v>
      </c>
      <c r="AM173" s="280">
        <v>4201125</v>
      </c>
    </row>
    <row r="174" spans="1:39" s="10" customFormat="1" ht="15.6">
      <c r="A174" s="6"/>
      <c r="B174" s="7"/>
      <c r="C174" s="7"/>
      <c r="D174" s="267">
        <v>21</v>
      </c>
      <c r="E174" s="281">
        <v>6182</v>
      </c>
      <c r="F174" s="282">
        <v>155601</v>
      </c>
      <c r="G174" s="281">
        <v>0</v>
      </c>
      <c r="H174" s="283">
        <v>0</v>
      </c>
      <c r="I174" s="283">
        <v>4235017</v>
      </c>
      <c r="J174" s="281">
        <v>2156606</v>
      </c>
      <c r="K174" s="283">
        <v>1529428</v>
      </c>
      <c r="L174" s="283">
        <v>329343</v>
      </c>
      <c r="M174" s="283">
        <v>165926</v>
      </c>
      <c r="N174" s="283">
        <v>31991</v>
      </c>
      <c r="O174" s="283">
        <v>13546</v>
      </c>
      <c r="P174" s="283">
        <v>4409</v>
      </c>
      <c r="Q174" s="283">
        <v>2809</v>
      </c>
      <c r="R174" s="283">
        <v>472</v>
      </c>
      <c r="S174" s="282">
        <v>306</v>
      </c>
      <c r="T174" s="281">
        <v>4235017</v>
      </c>
      <c r="U174" s="283">
        <v>3607839</v>
      </c>
      <c r="V174" s="283">
        <v>1207669</v>
      </c>
      <c r="W174" s="283">
        <v>717418</v>
      </c>
      <c r="X174" s="283">
        <v>181678</v>
      </c>
      <c r="Y174" s="283">
        <v>89453</v>
      </c>
      <c r="Z174" s="283">
        <v>34631</v>
      </c>
      <c r="AA174" s="283">
        <v>23431</v>
      </c>
      <c r="AB174" s="283">
        <v>4735</v>
      </c>
      <c r="AC174" s="283">
        <v>3241</v>
      </c>
      <c r="AD174" s="284">
        <v>0</v>
      </c>
      <c r="AE174" s="285">
        <v>627178</v>
      </c>
      <c r="AF174" s="285">
        <v>3027348</v>
      </c>
      <c r="AG174" s="285">
        <v>3517599</v>
      </c>
      <c r="AH174" s="285">
        <v>4053339</v>
      </c>
      <c r="AI174" s="285">
        <v>4145564</v>
      </c>
      <c r="AJ174" s="285">
        <v>4200386</v>
      </c>
      <c r="AK174" s="285">
        <v>4211586</v>
      </c>
      <c r="AL174" s="285">
        <v>4230282</v>
      </c>
      <c r="AM174" s="286">
        <v>4231776</v>
      </c>
    </row>
    <row r="175" spans="1:39" s="10" customFormat="1" ht="15.6">
      <c r="A175" s="6"/>
      <c r="B175" s="7"/>
      <c r="C175" s="7"/>
      <c r="D175" s="267">
        <v>22</v>
      </c>
      <c r="E175" s="281">
        <v>5029</v>
      </c>
      <c r="F175" s="282">
        <v>131388</v>
      </c>
      <c r="G175" s="281">
        <v>0</v>
      </c>
      <c r="H175" s="283">
        <v>0</v>
      </c>
      <c r="I175" s="283">
        <v>4259230</v>
      </c>
      <c r="J175" s="281">
        <v>2163561</v>
      </c>
      <c r="K175" s="283">
        <v>1536080</v>
      </c>
      <c r="L175" s="283">
        <v>334289</v>
      </c>
      <c r="M175" s="283">
        <v>169228</v>
      </c>
      <c r="N175" s="283">
        <v>33273</v>
      </c>
      <c r="O175" s="283">
        <v>14150</v>
      </c>
      <c r="P175" s="283">
        <v>4656</v>
      </c>
      <c r="Q175" s="283">
        <v>2948</v>
      </c>
      <c r="R175" s="283">
        <v>516</v>
      </c>
      <c r="S175" s="282">
        <v>331</v>
      </c>
      <c r="T175" s="281">
        <v>4259230</v>
      </c>
      <c r="U175" s="283">
        <v>3631749</v>
      </c>
      <c r="V175" s="283">
        <v>1228167</v>
      </c>
      <c r="W175" s="283">
        <v>732984</v>
      </c>
      <c r="X175" s="283">
        <v>189164</v>
      </c>
      <c r="Y175" s="283">
        <v>93549</v>
      </c>
      <c r="Z175" s="283">
        <v>36585</v>
      </c>
      <c r="AA175" s="283">
        <v>24629</v>
      </c>
      <c r="AB175" s="283">
        <v>5173</v>
      </c>
      <c r="AC175" s="283">
        <v>3508</v>
      </c>
      <c r="AD175" s="281">
        <v>0</v>
      </c>
      <c r="AE175" s="283">
        <v>627481</v>
      </c>
      <c r="AF175" s="283">
        <v>3031063</v>
      </c>
      <c r="AG175" s="283">
        <v>3526246</v>
      </c>
      <c r="AH175" s="283">
        <v>4070066</v>
      </c>
      <c r="AI175" s="283">
        <v>4165681</v>
      </c>
      <c r="AJ175" s="283">
        <v>4222645</v>
      </c>
      <c r="AK175" s="283">
        <v>4234601</v>
      </c>
      <c r="AL175" s="283">
        <v>4254057</v>
      </c>
      <c r="AM175" s="282">
        <v>4255722</v>
      </c>
    </row>
    <row r="176" spans="1:39" s="10" customFormat="1" ht="15.6">
      <c r="A176" s="6"/>
      <c r="B176" s="7"/>
      <c r="C176" s="7"/>
      <c r="D176" s="267">
        <v>23</v>
      </c>
      <c r="E176" s="281">
        <v>4044</v>
      </c>
      <c r="F176" s="282">
        <v>109718</v>
      </c>
      <c r="G176" s="281">
        <v>0</v>
      </c>
      <c r="H176" s="283">
        <v>0</v>
      </c>
      <c r="I176" s="283">
        <v>4280900</v>
      </c>
      <c r="J176" s="281">
        <v>2169449</v>
      </c>
      <c r="K176" s="283">
        <v>1541707</v>
      </c>
      <c r="L176" s="283">
        <v>338721</v>
      </c>
      <c r="M176" s="283">
        <v>172510</v>
      </c>
      <c r="N176" s="283">
        <v>34493</v>
      </c>
      <c r="O176" s="283">
        <v>14794</v>
      </c>
      <c r="P176" s="283">
        <v>4924</v>
      </c>
      <c r="Q176" s="283">
        <v>3118</v>
      </c>
      <c r="R176" s="283">
        <v>572</v>
      </c>
      <c r="S176" s="282">
        <v>367</v>
      </c>
      <c r="T176" s="281">
        <v>4280900</v>
      </c>
      <c r="U176" s="283">
        <v>3653158</v>
      </c>
      <c r="V176" s="283">
        <v>1247186</v>
      </c>
      <c r="W176" s="283">
        <v>748553</v>
      </c>
      <c r="X176" s="283">
        <v>196485</v>
      </c>
      <c r="Y176" s="283">
        <v>97990</v>
      </c>
      <c r="Z176" s="283">
        <v>38770</v>
      </c>
      <c r="AA176" s="283">
        <v>26128</v>
      </c>
      <c r="AB176" s="283">
        <v>5760</v>
      </c>
      <c r="AC176" s="283">
        <v>3915</v>
      </c>
      <c r="AD176" s="281">
        <v>0</v>
      </c>
      <c r="AE176" s="283">
        <v>627742</v>
      </c>
      <c r="AF176" s="283">
        <v>3033714</v>
      </c>
      <c r="AG176" s="283">
        <v>3532347</v>
      </c>
      <c r="AH176" s="283">
        <v>4084415</v>
      </c>
      <c r="AI176" s="283">
        <v>4182910</v>
      </c>
      <c r="AJ176" s="283">
        <v>4242130</v>
      </c>
      <c r="AK176" s="283">
        <v>4254772</v>
      </c>
      <c r="AL176" s="283">
        <v>4275140</v>
      </c>
      <c r="AM176" s="282">
        <v>4276985</v>
      </c>
    </row>
    <row r="177" spans="1:39" s="10" customFormat="1" ht="15.6">
      <c r="A177" s="6"/>
      <c r="B177" s="7"/>
      <c r="C177" s="7"/>
      <c r="D177" s="267">
        <v>24</v>
      </c>
      <c r="E177" s="281">
        <v>3347</v>
      </c>
      <c r="F177" s="282">
        <v>93687</v>
      </c>
      <c r="G177" s="281">
        <v>0</v>
      </c>
      <c r="H177" s="283">
        <v>0</v>
      </c>
      <c r="I177" s="283">
        <v>4296931</v>
      </c>
      <c r="J177" s="281">
        <v>2173744</v>
      </c>
      <c r="K177" s="283">
        <v>1545836</v>
      </c>
      <c r="L177" s="283">
        <v>341996</v>
      </c>
      <c r="M177" s="283">
        <v>174869</v>
      </c>
      <c r="N177" s="283">
        <v>35494</v>
      </c>
      <c r="O177" s="283">
        <v>15333</v>
      </c>
      <c r="P177" s="283">
        <v>5157</v>
      </c>
      <c r="Q177" s="283">
        <v>3240</v>
      </c>
      <c r="R177" s="283">
        <v>614</v>
      </c>
      <c r="S177" s="282">
        <v>389</v>
      </c>
      <c r="T177" s="281">
        <v>4296931</v>
      </c>
      <c r="U177" s="283">
        <v>3669023</v>
      </c>
      <c r="V177" s="283">
        <v>1261343</v>
      </c>
      <c r="W177" s="283">
        <v>759962</v>
      </c>
      <c r="X177" s="283">
        <v>202462</v>
      </c>
      <c r="Y177" s="283">
        <v>101657</v>
      </c>
      <c r="Z177" s="283">
        <v>40601</v>
      </c>
      <c r="AA177" s="283">
        <v>27182</v>
      </c>
      <c r="AB177" s="283">
        <v>6174</v>
      </c>
      <c r="AC177" s="283">
        <v>4149</v>
      </c>
      <c r="AD177" s="281">
        <v>0</v>
      </c>
      <c r="AE177" s="283">
        <v>627908</v>
      </c>
      <c r="AF177" s="283">
        <v>3035588</v>
      </c>
      <c r="AG177" s="283">
        <v>3536969</v>
      </c>
      <c r="AH177" s="283">
        <v>4094469</v>
      </c>
      <c r="AI177" s="283">
        <v>4195274</v>
      </c>
      <c r="AJ177" s="283">
        <v>4256330</v>
      </c>
      <c r="AK177" s="283">
        <v>4269749</v>
      </c>
      <c r="AL177" s="283">
        <v>4290757</v>
      </c>
      <c r="AM177" s="282">
        <v>4292782</v>
      </c>
    </row>
    <row r="178" spans="1:39" s="10" customFormat="1" ht="15.6">
      <c r="A178" s="6"/>
      <c r="B178" s="7"/>
      <c r="C178" s="7"/>
      <c r="D178" s="267">
        <v>25</v>
      </c>
      <c r="E178" s="281">
        <v>2621</v>
      </c>
      <c r="F178" s="282">
        <v>76263</v>
      </c>
      <c r="G178" s="281">
        <v>0</v>
      </c>
      <c r="H178" s="283">
        <v>0</v>
      </c>
      <c r="I178" s="283">
        <v>4314355</v>
      </c>
      <c r="J178" s="281">
        <v>2178106</v>
      </c>
      <c r="K178" s="283">
        <v>1550075</v>
      </c>
      <c r="L178" s="283">
        <v>345526</v>
      </c>
      <c r="M178" s="283">
        <v>177722</v>
      </c>
      <c r="N178" s="283">
        <v>36615</v>
      </c>
      <c r="O178" s="283">
        <v>15997</v>
      </c>
      <c r="P178" s="283">
        <v>5471</v>
      </c>
      <c r="Q178" s="283">
        <v>3458</v>
      </c>
      <c r="R178" s="283">
        <v>672</v>
      </c>
      <c r="S178" s="282">
        <v>431</v>
      </c>
      <c r="T178" s="281">
        <v>4314355</v>
      </c>
      <c r="U178" s="283">
        <v>3686324</v>
      </c>
      <c r="V178" s="283">
        <v>1277226</v>
      </c>
      <c r="W178" s="283">
        <v>773814</v>
      </c>
      <c r="X178" s="283">
        <v>209386</v>
      </c>
      <c r="Y178" s="283">
        <v>106296</v>
      </c>
      <c r="Z178" s="283">
        <v>43140</v>
      </c>
      <c r="AA178" s="283">
        <v>29049</v>
      </c>
      <c r="AB178" s="283">
        <v>6761</v>
      </c>
      <c r="AC178" s="283">
        <v>4592</v>
      </c>
      <c r="AD178" s="281">
        <v>0</v>
      </c>
      <c r="AE178" s="283">
        <v>628031</v>
      </c>
      <c r="AF178" s="283">
        <v>3037129</v>
      </c>
      <c r="AG178" s="283">
        <v>3540541</v>
      </c>
      <c r="AH178" s="283">
        <v>4104969</v>
      </c>
      <c r="AI178" s="283">
        <v>4208059</v>
      </c>
      <c r="AJ178" s="283">
        <v>4271215</v>
      </c>
      <c r="AK178" s="283">
        <v>4285306</v>
      </c>
      <c r="AL178" s="283">
        <v>4307594</v>
      </c>
      <c r="AM178" s="282">
        <v>4309763</v>
      </c>
    </row>
    <row r="179" spans="1:39" s="10" customFormat="1" ht="15.6">
      <c r="A179" s="6"/>
      <c r="B179" s="7"/>
      <c r="C179" s="7"/>
      <c r="D179" s="267">
        <v>26</v>
      </c>
      <c r="E179" s="281">
        <v>2155</v>
      </c>
      <c r="F179" s="282">
        <v>64613</v>
      </c>
      <c r="G179" s="281">
        <v>0</v>
      </c>
      <c r="H179" s="283">
        <v>0</v>
      </c>
      <c r="I179" s="283">
        <v>4326005</v>
      </c>
      <c r="J179" s="281">
        <v>2181019</v>
      </c>
      <c r="K179" s="283">
        <v>1552894</v>
      </c>
      <c r="L179" s="283">
        <v>347849</v>
      </c>
      <c r="M179" s="283">
        <v>179560</v>
      </c>
      <c r="N179" s="283">
        <v>37459</v>
      </c>
      <c r="O179" s="283">
        <v>16475</v>
      </c>
      <c r="P179" s="283">
        <v>5683</v>
      </c>
      <c r="Q179" s="283">
        <v>3581</v>
      </c>
      <c r="R179" s="283">
        <v>719</v>
      </c>
      <c r="S179" s="282">
        <v>458</v>
      </c>
      <c r="T179" s="281">
        <v>4326005</v>
      </c>
      <c r="U179" s="283">
        <v>3697880</v>
      </c>
      <c r="V179" s="283">
        <v>1287790</v>
      </c>
      <c r="W179" s="283">
        <v>782923</v>
      </c>
      <c r="X179" s="283">
        <v>214519</v>
      </c>
      <c r="Y179" s="283">
        <v>109599</v>
      </c>
      <c r="Z179" s="283">
        <v>44847</v>
      </c>
      <c r="AA179" s="283">
        <v>30133</v>
      </c>
      <c r="AB179" s="283">
        <v>7237</v>
      </c>
      <c r="AC179" s="283">
        <v>4888</v>
      </c>
      <c r="AD179" s="281">
        <v>0</v>
      </c>
      <c r="AE179" s="283">
        <v>628125</v>
      </c>
      <c r="AF179" s="283">
        <v>3038215</v>
      </c>
      <c r="AG179" s="283">
        <v>3543082</v>
      </c>
      <c r="AH179" s="283">
        <v>4111486</v>
      </c>
      <c r="AI179" s="283">
        <v>4216406</v>
      </c>
      <c r="AJ179" s="283">
        <v>4281158</v>
      </c>
      <c r="AK179" s="283">
        <v>4295872</v>
      </c>
      <c r="AL179" s="283">
        <v>4318768</v>
      </c>
      <c r="AM179" s="282">
        <v>4321117</v>
      </c>
    </row>
    <row r="180" spans="1:39" s="10" customFormat="1" ht="15.6">
      <c r="A180" s="6"/>
      <c r="B180" s="7"/>
      <c r="C180" s="7"/>
      <c r="D180" s="267">
        <v>27</v>
      </c>
      <c r="E180" s="281">
        <v>1692</v>
      </c>
      <c r="F180" s="282">
        <v>52575</v>
      </c>
      <c r="G180" s="281">
        <v>0</v>
      </c>
      <c r="H180" s="283">
        <v>0</v>
      </c>
      <c r="I180" s="283">
        <v>4338043</v>
      </c>
      <c r="J180" s="281">
        <v>2183895</v>
      </c>
      <c r="K180" s="283">
        <v>1555710</v>
      </c>
      <c r="L180" s="283">
        <v>350244</v>
      </c>
      <c r="M180" s="283">
        <v>181583</v>
      </c>
      <c r="N180" s="283">
        <v>38348</v>
      </c>
      <c r="O180" s="283">
        <v>17003</v>
      </c>
      <c r="P180" s="283">
        <v>5920</v>
      </c>
      <c r="Q180" s="283">
        <v>3738</v>
      </c>
      <c r="R180" s="283">
        <v>770</v>
      </c>
      <c r="S180" s="282">
        <v>491</v>
      </c>
      <c r="T180" s="281">
        <v>4338043</v>
      </c>
      <c r="U180" s="283">
        <v>3709858</v>
      </c>
      <c r="V180" s="283">
        <v>1298926</v>
      </c>
      <c r="W180" s="283">
        <v>792943</v>
      </c>
      <c r="X180" s="283">
        <v>220003</v>
      </c>
      <c r="Y180" s="283">
        <v>113278</v>
      </c>
      <c r="Z180" s="283">
        <v>46780</v>
      </c>
      <c r="AA180" s="283">
        <v>31506</v>
      </c>
      <c r="AB180" s="283">
        <v>7762</v>
      </c>
      <c r="AC180" s="283">
        <v>5251</v>
      </c>
      <c r="AD180" s="281">
        <v>0</v>
      </c>
      <c r="AE180" s="283">
        <v>628185</v>
      </c>
      <c r="AF180" s="283">
        <v>3039117</v>
      </c>
      <c r="AG180" s="283">
        <v>3545100</v>
      </c>
      <c r="AH180" s="283">
        <v>4118040</v>
      </c>
      <c r="AI180" s="283">
        <v>4224765</v>
      </c>
      <c r="AJ180" s="283">
        <v>4291263</v>
      </c>
      <c r="AK180" s="283">
        <v>4306537</v>
      </c>
      <c r="AL180" s="283">
        <v>4330281</v>
      </c>
      <c r="AM180" s="282">
        <v>4332792</v>
      </c>
    </row>
    <row r="181" spans="1:39" s="10" customFormat="1" ht="15.6">
      <c r="A181" s="6"/>
      <c r="B181" s="7"/>
      <c r="C181" s="7"/>
      <c r="D181" s="267">
        <v>28</v>
      </c>
      <c r="E181" s="281">
        <v>1378</v>
      </c>
      <c r="F181" s="282">
        <v>44097</v>
      </c>
      <c r="G181" s="281">
        <v>0</v>
      </c>
      <c r="H181" s="283">
        <v>0</v>
      </c>
      <c r="I181" s="283">
        <v>4346521</v>
      </c>
      <c r="J181" s="281">
        <v>2185895</v>
      </c>
      <c r="K181" s="283">
        <v>1557657</v>
      </c>
      <c r="L181" s="283">
        <v>351956</v>
      </c>
      <c r="M181" s="283">
        <v>182986</v>
      </c>
      <c r="N181" s="283">
        <v>39028</v>
      </c>
      <c r="O181" s="283">
        <v>17372</v>
      </c>
      <c r="P181" s="283">
        <v>6106</v>
      </c>
      <c r="Q181" s="283">
        <v>3835</v>
      </c>
      <c r="R181" s="283">
        <v>810</v>
      </c>
      <c r="S181" s="282">
        <v>516</v>
      </c>
      <c r="T181" s="281">
        <v>4346521</v>
      </c>
      <c r="U181" s="283">
        <v>3718283</v>
      </c>
      <c r="V181" s="283">
        <v>1306881</v>
      </c>
      <c r="W181" s="283">
        <v>799971</v>
      </c>
      <c r="X181" s="283">
        <v>224139</v>
      </c>
      <c r="Y181" s="283">
        <v>115859</v>
      </c>
      <c r="Z181" s="283">
        <v>48263</v>
      </c>
      <c r="AA181" s="283">
        <v>32366</v>
      </c>
      <c r="AB181" s="283">
        <v>8166</v>
      </c>
      <c r="AC181" s="283">
        <v>5520</v>
      </c>
      <c r="AD181" s="281">
        <v>0</v>
      </c>
      <c r="AE181" s="283">
        <v>628238</v>
      </c>
      <c r="AF181" s="283">
        <v>3039640</v>
      </c>
      <c r="AG181" s="283">
        <v>3546550</v>
      </c>
      <c r="AH181" s="283">
        <v>4122382</v>
      </c>
      <c r="AI181" s="283">
        <v>4230662</v>
      </c>
      <c r="AJ181" s="283">
        <v>4298258</v>
      </c>
      <c r="AK181" s="283">
        <v>4314155</v>
      </c>
      <c r="AL181" s="283">
        <v>4338355</v>
      </c>
      <c r="AM181" s="282">
        <v>4341001</v>
      </c>
    </row>
    <row r="182" spans="1:39" s="10" customFormat="1" ht="15.6">
      <c r="A182" s="6"/>
      <c r="B182" s="7"/>
      <c r="C182" s="7"/>
      <c r="D182" s="267">
        <v>29</v>
      </c>
      <c r="E182" s="281">
        <v>1090</v>
      </c>
      <c r="F182" s="282">
        <v>36033</v>
      </c>
      <c r="G182" s="281">
        <v>0</v>
      </c>
      <c r="H182" s="283">
        <v>0</v>
      </c>
      <c r="I182" s="283">
        <v>4354585</v>
      </c>
      <c r="J182" s="281">
        <v>2187690</v>
      </c>
      <c r="K182" s="283">
        <v>1559415</v>
      </c>
      <c r="L182" s="283">
        <v>353524</v>
      </c>
      <c r="M182" s="283">
        <v>184354</v>
      </c>
      <c r="N182" s="283">
        <v>39671</v>
      </c>
      <c r="O182" s="283">
        <v>17777</v>
      </c>
      <c r="P182" s="283">
        <v>6315</v>
      </c>
      <c r="Q182" s="283">
        <v>3987</v>
      </c>
      <c r="R182" s="283">
        <v>864</v>
      </c>
      <c r="S182" s="282">
        <v>554</v>
      </c>
      <c r="T182" s="281">
        <v>4354585</v>
      </c>
      <c r="U182" s="283">
        <v>3726310</v>
      </c>
      <c r="V182" s="283">
        <v>1314528</v>
      </c>
      <c r="W182" s="283">
        <v>807018</v>
      </c>
      <c r="X182" s="283">
        <v>228286</v>
      </c>
      <c r="Y182" s="283">
        <v>118816</v>
      </c>
      <c r="Z182" s="283">
        <v>50044</v>
      </c>
      <c r="AA182" s="283">
        <v>33748</v>
      </c>
      <c r="AB182" s="283">
        <v>8764</v>
      </c>
      <c r="AC182" s="283">
        <v>5974</v>
      </c>
      <c r="AD182" s="281">
        <v>0</v>
      </c>
      <c r="AE182" s="283">
        <v>628275</v>
      </c>
      <c r="AF182" s="283">
        <v>3040057</v>
      </c>
      <c r="AG182" s="283">
        <v>3547567</v>
      </c>
      <c r="AH182" s="283">
        <v>4126299</v>
      </c>
      <c r="AI182" s="283">
        <v>4235769</v>
      </c>
      <c r="AJ182" s="283">
        <v>4304541</v>
      </c>
      <c r="AK182" s="283">
        <v>4320837</v>
      </c>
      <c r="AL182" s="283">
        <v>4345821</v>
      </c>
      <c r="AM182" s="282">
        <v>4348611</v>
      </c>
    </row>
    <row r="183" spans="1:39" s="10" customFormat="1" ht="15.6">
      <c r="A183" s="6"/>
      <c r="B183" s="7"/>
      <c r="C183" s="7"/>
      <c r="D183" s="274">
        <v>30</v>
      </c>
      <c r="E183" s="278">
        <v>892</v>
      </c>
      <c r="F183" s="280">
        <v>30291</v>
      </c>
      <c r="G183" s="278">
        <v>0</v>
      </c>
      <c r="H183" s="279">
        <v>0</v>
      </c>
      <c r="I183" s="279">
        <v>4360327</v>
      </c>
      <c r="J183" s="278">
        <v>2188958</v>
      </c>
      <c r="K183" s="279">
        <v>1560657</v>
      </c>
      <c r="L183" s="279">
        <v>354646</v>
      </c>
      <c r="M183" s="279">
        <v>185303</v>
      </c>
      <c r="N183" s="279">
        <v>40216</v>
      </c>
      <c r="O183" s="279">
        <v>18086</v>
      </c>
      <c r="P183" s="279">
        <v>6466</v>
      </c>
      <c r="Q183" s="279">
        <v>4070</v>
      </c>
      <c r="R183" s="279">
        <v>897</v>
      </c>
      <c r="S183" s="280">
        <v>574</v>
      </c>
      <c r="T183" s="278">
        <v>4360327</v>
      </c>
      <c r="U183" s="279">
        <v>3732026</v>
      </c>
      <c r="V183" s="279">
        <v>1320004</v>
      </c>
      <c r="W183" s="279">
        <v>811975</v>
      </c>
      <c r="X183" s="279">
        <v>231627</v>
      </c>
      <c r="Y183" s="279">
        <v>120977</v>
      </c>
      <c r="Z183" s="279">
        <v>51257</v>
      </c>
      <c r="AA183" s="279">
        <v>34485</v>
      </c>
      <c r="AB183" s="279">
        <v>9101</v>
      </c>
      <c r="AC183" s="279">
        <v>6194</v>
      </c>
      <c r="AD183" s="278">
        <v>0</v>
      </c>
      <c r="AE183" s="279">
        <v>628301</v>
      </c>
      <c r="AF183" s="279">
        <v>3040323</v>
      </c>
      <c r="AG183" s="279">
        <v>3548352</v>
      </c>
      <c r="AH183" s="279">
        <v>4128700</v>
      </c>
      <c r="AI183" s="279">
        <v>4239350</v>
      </c>
      <c r="AJ183" s="279">
        <v>4309070</v>
      </c>
      <c r="AK183" s="279">
        <v>4325842</v>
      </c>
      <c r="AL183" s="279">
        <v>4351226</v>
      </c>
      <c r="AM183" s="280">
        <v>4354133</v>
      </c>
    </row>
    <row r="184" spans="1:39" s="10" customFormat="1" ht="15.6">
      <c r="A184" s="6"/>
      <c r="B184" s="7"/>
      <c r="C184" s="7"/>
      <c r="D184" s="267">
        <v>31</v>
      </c>
      <c r="E184" s="281">
        <v>689</v>
      </c>
      <c r="F184" s="282">
        <v>24201</v>
      </c>
      <c r="G184" s="281">
        <v>0</v>
      </c>
      <c r="H184" s="283">
        <v>0</v>
      </c>
      <c r="I184" s="283">
        <v>4366417</v>
      </c>
      <c r="J184" s="281">
        <v>2190245</v>
      </c>
      <c r="K184" s="283">
        <v>1561925</v>
      </c>
      <c r="L184" s="283">
        <v>355802</v>
      </c>
      <c r="M184" s="283">
        <v>186322</v>
      </c>
      <c r="N184" s="283">
        <v>40807</v>
      </c>
      <c r="O184" s="283">
        <v>18452</v>
      </c>
      <c r="P184" s="283">
        <v>6651</v>
      </c>
      <c r="Q184" s="283">
        <v>4188</v>
      </c>
      <c r="R184" s="283">
        <v>939</v>
      </c>
      <c r="S184" s="282">
        <v>606</v>
      </c>
      <c r="T184" s="281">
        <v>4366417</v>
      </c>
      <c r="U184" s="283">
        <v>3738097</v>
      </c>
      <c r="V184" s="283">
        <v>1325851</v>
      </c>
      <c r="W184" s="283">
        <v>817411</v>
      </c>
      <c r="X184" s="283">
        <v>235351</v>
      </c>
      <c r="Y184" s="283">
        <v>123576</v>
      </c>
      <c r="Z184" s="283">
        <v>52770</v>
      </c>
      <c r="AA184" s="283">
        <v>35529</v>
      </c>
      <c r="AB184" s="283">
        <v>9537</v>
      </c>
      <c r="AC184" s="283">
        <v>6540</v>
      </c>
      <c r="AD184" s="284">
        <v>0</v>
      </c>
      <c r="AE184" s="285">
        <v>628320</v>
      </c>
      <c r="AF184" s="285">
        <v>3040566</v>
      </c>
      <c r="AG184" s="285">
        <v>3549006</v>
      </c>
      <c r="AH184" s="285">
        <v>4131066</v>
      </c>
      <c r="AI184" s="285">
        <v>4242841</v>
      </c>
      <c r="AJ184" s="285">
        <v>4313647</v>
      </c>
      <c r="AK184" s="285">
        <v>4330888</v>
      </c>
      <c r="AL184" s="285">
        <v>4356880</v>
      </c>
      <c r="AM184" s="286">
        <v>4359877</v>
      </c>
    </row>
    <row r="185" spans="1:39" s="10" customFormat="1" ht="15.6">
      <c r="A185" s="6"/>
      <c r="B185" s="7"/>
      <c r="C185" s="7"/>
      <c r="D185" s="267">
        <v>32</v>
      </c>
      <c r="E185" s="281">
        <v>550</v>
      </c>
      <c r="F185" s="282">
        <v>19892</v>
      </c>
      <c r="G185" s="281">
        <v>0</v>
      </c>
      <c r="H185" s="283">
        <v>0</v>
      </c>
      <c r="I185" s="283">
        <v>4370726</v>
      </c>
      <c r="J185" s="281">
        <v>2191153</v>
      </c>
      <c r="K185" s="283">
        <v>1562814</v>
      </c>
      <c r="L185" s="283">
        <v>356594</v>
      </c>
      <c r="M185" s="283">
        <v>187021</v>
      </c>
      <c r="N185" s="283">
        <v>41263</v>
      </c>
      <c r="O185" s="283">
        <v>18730</v>
      </c>
      <c r="P185" s="283">
        <v>6787</v>
      </c>
      <c r="Q185" s="283">
        <v>4264</v>
      </c>
      <c r="R185" s="283">
        <v>975</v>
      </c>
      <c r="S185" s="282">
        <v>623</v>
      </c>
      <c r="T185" s="281">
        <v>4370726</v>
      </c>
      <c r="U185" s="283">
        <v>3742387</v>
      </c>
      <c r="V185" s="283">
        <v>1329947</v>
      </c>
      <c r="W185" s="283">
        <v>821228</v>
      </c>
      <c r="X185" s="283">
        <v>238196</v>
      </c>
      <c r="Y185" s="283">
        <v>125531</v>
      </c>
      <c r="Z185" s="283">
        <v>53873</v>
      </c>
      <c r="AA185" s="283">
        <v>36212</v>
      </c>
      <c r="AB185" s="283">
        <v>9900</v>
      </c>
      <c r="AC185" s="283">
        <v>6732</v>
      </c>
      <c r="AD185" s="281">
        <v>0</v>
      </c>
      <c r="AE185" s="283">
        <v>628339</v>
      </c>
      <c r="AF185" s="283">
        <v>3040779</v>
      </c>
      <c r="AG185" s="283">
        <v>3549498</v>
      </c>
      <c r="AH185" s="283">
        <v>4132530</v>
      </c>
      <c r="AI185" s="283">
        <v>4245195</v>
      </c>
      <c r="AJ185" s="283">
        <v>4316853</v>
      </c>
      <c r="AK185" s="283">
        <v>4334514</v>
      </c>
      <c r="AL185" s="283">
        <v>4360826</v>
      </c>
      <c r="AM185" s="282">
        <v>4363994</v>
      </c>
    </row>
    <row r="186" spans="1:39" s="10" customFormat="1" ht="15.6">
      <c r="A186" s="6"/>
      <c r="B186" s="7"/>
      <c r="C186" s="7"/>
      <c r="D186" s="267">
        <v>33</v>
      </c>
      <c r="E186" s="281">
        <v>433</v>
      </c>
      <c r="F186" s="282">
        <v>16148</v>
      </c>
      <c r="G186" s="281">
        <v>0</v>
      </c>
      <c r="H186" s="283">
        <v>0</v>
      </c>
      <c r="I186" s="283">
        <v>4374470</v>
      </c>
      <c r="J186" s="281">
        <v>2191892</v>
      </c>
      <c r="K186" s="283">
        <v>1563538</v>
      </c>
      <c r="L186" s="283">
        <v>357238</v>
      </c>
      <c r="M186" s="283">
        <v>187606</v>
      </c>
      <c r="N186" s="283">
        <v>41665</v>
      </c>
      <c r="O186" s="283">
        <v>18991</v>
      </c>
      <c r="P186" s="283">
        <v>6933</v>
      </c>
      <c r="Q186" s="283">
        <v>4361</v>
      </c>
      <c r="R186" s="283">
        <v>1028</v>
      </c>
      <c r="S186" s="282">
        <v>662</v>
      </c>
      <c r="T186" s="281">
        <v>4374470</v>
      </c>
      <c r="U186" s="283">
        <v>3746116</v>
      </c>
      <c r="V186" s="283">
        <v>1333516</v>
      </c>
      <c r="W186" s="283">
        <v>824620</v>
      </c>
      <c r="X186" s="283">
        <v>240856</v>
      </c>
      <c r="Y186" s="283">
        <v>127486</v>
      </c>
      <c r="Z186" s="283">
        <v>55138</v>
      </c>
      <c r="AA186" s="283">
        <v>37134</v>
      </c>
      <c r="AB186" s="283">
        <v>10470</v>
      </c>
      <c r="AC186" s="283">
        <v>7176</v>
      </c>
      <c r="AD186" s="281">
        <v>0</v>
      </c>
      <c r="AE186" s="283">
        <v>628354</v>
      </c>
      <c r="AF186" s="283">
        <v>3040954</v>
      </c>
      <c r="AG186" s="283">
        <v>3549850</v>
      </c>
      <c r="AH186" s="283">
        <v>4133614</v>
      </c>
      <c r="AI186" s="283">
        <v>4246984</v>
      </c>
      <c r="AJ186" s="283">
        <v>4319332</v>
      </c>
      <c r="AK186" s="283">
        <v>4337336</v>
      </c>
      <c r="AL186" s="283">
        <v>4364000</v>
      </c>
      <c r="AM186" s="282">
        <v>4367294</v>
      </c>
    </row>
    <row r="187" spans="1:39" s="10" customFormat="1" ht="15.6">
      <c r="A187" s="6"/>
      <c r="B187" s="7"/>
      <c r="C187" s="7"/>
      <c r="D187" s="267">
        <v>34</v>
      </c>
      <c r="E187" s="281">
        <v>360</v>
      </c>
      <c r="F187" s="282">
        <v>13739</v>
      </c>
      <c r="G187" s="281">
        <v>0</v>
      </c>
      <c r="H187" s="283">
        <v>0</v>
      </c>
      <c r="I187" s="283">
        <v>4376879</v>
      </c>
      <c r="J187" s="281">
        <v>2192367</v>
      </c>
      <c r="K187" s="283">
        <v>1564005</v>
      </c>
      <c r="L187" s="283">
        <v>357671</v>
      </c>
      <c r="M187" s="283">
        <v>187998</v>
      </c>
      <c r="N187" s="283">
        <v>41941</v>
      </c>
      <c r="O187" s="283">
        <v>19167</v>
      </c>
      <c r="P187" s="283">
        <v>7027</v>
      </c>
      <c r="Q187" s="283">
        <v>4419</v>
      </c>
      <c r="R187" s="283">
        <v>1047</v>
      </c>
      <c r="S187" s="282">
        <v>673</v>
      </c>
      <c r="T187" s="281">
        <v>4376879</v>
      </c>
      <c r="U187" s="283">
        <v>3748517</v>
      </c>
      <c r="V187" s="283">
        <v>1335849</v>
      </c>
      <c r="W187" s="283">
        <v>826830</v>
      </c>
      <c r="X187" s="283">
        <v>242602</v>
      </c>
      <c r="Y187" s="283">
        <v>128732</v>
      </c>
      <c r="Z187" s="283">
        <v>55892</v>
      </c>
      <c r="AA187" s="283">
        <v>37636</v>
      </c>
      <c r="AB187" s="283">
        <v>10660</v>
      </c>
      <c r="AC187" s="283">
        <v>7294</v>
      </c>
      <c r="AD187" s="281">
        <v>0</v>
      </c>
      <c r="AE187" s="283">
        <v>628362</v>
      </c>
      <c r="AF187" s="283">
        <v>3041030</v>
      </c>
      <c r="AG187" s="283">
        <v>3550049</v>
      </c>
      <c r="AH187" s="283">
        <v>4134277</v>
      </c>
      <c r="AI187" s="283">
        <v>4248147</v>
      </c>
      <c r="AJ187" s="283">
        <v>4320987</v>
      </c>
      <c r="AK187" s="283">
        <v>4339243</v>
      </c>
      <c r="AL187" s="283">
        <v>4366219</v>
      </c>
      <c r="AM187" s="282">
        <v>4369585</v>
      </c>
    </row>
    <row r="188" spans="1:39" s="10" customFormat="1" ht="15.6">
      <c r="A188" s="6"/>
      <c r="B188" s="7"/>
      <c r="C188" s="7"/>
      <c r="D188" s="267">
        <v>35</v>
      </c>
      <c r="E188" s="281">
        <v>294</v>
      </c>
      <c r="F188" s="282">
        <v>11495</v>
      </c>
      <c r="G188" s="281">
        <v>0</v>
      </c>
      <c r="H188" s="283">
        <v>0</v>
      </c>
      <c r="I188" s="283">
        <v>4379123</v>
      </c>
      <c r="J188" s="281">
        <v>2192792</v>
      </c>
      <c r="K188" s="283">
        <v>1564421</v>
      </c>
      <c r="L188" s="283">
        <v>358056</v>
      </c>
      <c r="M188" s="283">
        <v>188343</v>
      </c>
      <c r="N188" s="283">
        <v>42194</v>
      </c>
      <c r="O188" s="283">
        <v>19346</v>
      </c>
      <c r="P188" s="283">
        <v>7129</v>
      </c>
      <c r="Q188" s="283">
        <v>4477</v>
      </c>
      <c r="R188" s="283">
        <v>1080</v>
      </c>
      <c r="S188" s="282">
        <v>699</v>
      </c>
      <c r="T188" s="281">
        <v>4379123</v>
      </c>
      <c r="U188" s="283">
        <v>3750752</v>
      </c>
      <c r="V188" s="283">
        <v>1338022</v>
      </c>
      <c r="W188" s="283">
        <v>828883</v>
      </c>
      <c r="X188" s="283">
        <v>244287</v>
      </c>
      <c r="Y188" s="283">
        <v>130047</v>
      </c>
      <c r="Z188" s="283">
        <v>56745</v>
      </c>
      <c r="AA188" s="283">
        <v>38181</v>
      </c>
      <c r="AB188" s="283">
        <v>11005</v>
      </c>
      <c r="AC188" s="283">
        <v>7576</v>
      </c>
      <c r="AD188" s="281">
        <v>0</v>
      </c>
      <c r="AE188" s="283">
        <v>628371</v>
      </c>
      <c r="AF188" s="283">
        <v>3041101</v>
      </c>
      <c r="AG188" s="283">
        <v>3550240</v>
      </c>
      <c r="AH188" s="283">
        <v>4134836</v>
      </c>
      <c r="AI188" s="283">
        <v>4249076</v>
      </c>
      <c r="AJ188" s="283">
        <v>4322378</v>
      </c>
      <c r="AK188" s="283">
        <v>4340942</v>
      </c>
      <c r="AL188" s="283">
        <v>4368118</v>
      </c>
      <c r="AM188" s="282">
        <v>4371547</v>
      </c>
    </row>
    <row r="189" spans="1:39" s="10" customFormat="1" ht="15.6">
      <c r="A189" s="6"/>
      <c r="B189" s="7"/>
      <c r="C189" s="7"/>
      <c r="D189" s="267">
        <v>36</v>
      </c>
      <c r="E189" s="281">
        <v>248</v>
      </c>
      <c r="F189" s="282">
        <v>9885</v>
      </c>
      <c r="G189" s="281">
        <v>0</v>
      </c>
      <c r="H189" s="283">
        <v>0</v>
      </c>
      <c r="I189" s="283">
        <v>4380733</v>
      </c>
      <c r="J189" s="281">
        <v>2193089</v>
      </c>
      <c r="K189" s="283">
        <v>1564714</v>
      </c>
      <c r="L189" s="283">
        <v>358328</v>
      </c>
      <c r="M189" s="283">
        <v>188590</v>
      </c>
      <c r="N189" s="283">
        <v>42384</v>
      </c>
      <c r="O189" s="283">
        <v>19471</v>
      </c>
      <c r="P189" s="283">
        <v>7204</v>
      </c>
      <c r="Q189" s="283">
        <v>4527</v>
      </c>
      <c r="R189" s="283">
        <v>1106</v>
      </c>
      <c r="S189" s="282">
        <v>715</v>
      </c>
      <c r="T189" s="281">
        <v>4380733</v>
      </c>
      <c r="U189" s="283">
        <v>3752358</v>
      </c>
      <c r="V189" s="283">
        <v>1339586</v>
      </c>
      <c r="W189" s="283">
        <v>830372</v>
      </c>
      <c r="X189" s="283">
        <v>245548</v>
      </c>
      <c r="Y189" s="283">
        <v>130983</v>
      </c>
      <c r="Z189" s="283">
        <v>57381</v>
      </c>
      <c r="AA189" s="283">
        <v>38642</v>
      </c>
      <c r="AB189" s="283">
        <v>11274</v>
      </c>
      <c r="AC189" s="283">
        <v>7755</v>
      </c>
      <c r="AD189" s="281">
        <v>0</v>
      </c>
      <c r="AE189" s="283">
        <v>628375</v>
      </c>
      <c r="AF189" s="283">
        <v>3041147</v>
      </c>
      <c r="AG189" s="283">
        <v>3550361</v>
      </c>
      <c r="AH189" s="283">
        <v>4135185</v>
      </c>
      <c r="AI189" s="283">
        <v>4249750</v>
      </c>
      <c r="AJ189" s="283">
        <v>4323352</v>
      </c>
      <c r="AK189" s="283">
        <v>4342091</v>
      </c>
      <c r="AL189" s="283">
        <v>4369459</v>
      </c>
      <c r="AM189" s="282">
        <v>4372978</v>
      </c>
    </row>
    <row r="190" spans="1:39" s="10" customFormat="1" ht="15.6">
      <c r="A190" s="6"/>
      <c r="B190" s="7"/>
      <c r="C190" s="7"/>
      <c r="D190" s="267">
        <v>37</v>
      </c>
      <c r="E190" s="281">
        <v>193</v>
      </c>
      <c r="F190" s="282">
        <v>7905</v>
      </c>
      <c r="G190" s="281">
        <v>0</v>
      </c>
      <c r="H190" s="283">
        <v>0</v>
      </c>
      <c r="I190" s="283">
        <v>4382713</v>
      </c>
      <c r="J190" s="281">
        <v>2193448</v>
      </c>
      <c r="K190" s="283">
        <v>1565069</v>
      </c>
      <c r="L190" s="283">
        <v>358657</v>
      </c>
      <c r="M190" s="283">
        <v>188901</v>
      </c>
      <c r="N190" s="283">
        <v>42613</v>
      </c>
      <c r="O190" s="283">
        <v>19631</v>
      </c>
      <c r="P190" s="283">
        <v>7296</v>
      </c>
      <c r="Q190" s="283">
        <v>4598</v>
      </c>
      <c r="R190" s="283">
        <v>1135</v>
      </c>
      <c r="S190" s="282">
        <v>736</v>
      </c>
      <c r="T190" s="281">
        <v>4382713</v>
      </c>
      <c r="U190" s="283">
        <v>3754334</v>
      </c>
      <c r="V190" s="283">
        <v>1341510</v>
      </c>
      <c r="W190" s="283">
        <v>832242</v>
      </c>
      <c r="X190" s="283">
        <v>247090</v>
      </c>
      <c r="Y190" s="283">
        <v>132180</v>
      </c>
      <c r="Z190" s="283">
        <v>58170</v>
      </c>
      <c r="AA190" s="283">
        <v>39284</v>
      </c>
      <c r="AB190" s="283">
        <v>11580</v>
      </c>
      <c r="AC190" s="283">
        <v>7989</v>
      </c>
      <c r="AD190" s="281">
        <v>0</v>
      </c>
      <c r="AE190" s="283">
        <v>628379</v>
      </c>
      <c r="AF190" s="283">
        <v>3041203</v>
      </c>
      <c r="AG190" s="283">
        <v>3550471</v>
      </c>
      <c r="AH190" s="283">
        <v>4135623</v>
      </c>
      <c r="AI190" s="283">
        <v>4250533</v>
      </c>
      <c r="AJ190" s="283">
        <v>4324543</v>
      </c>
      <c r="AK190" s="283">
        <v>4343429</v>
      </c>
      <c r="AL190" s="283">
        <v>4371133</v>
      </c>
      <c r="AM190" s="282">
        <v>4374724</v>
      </c>
    </row>
    <row r="191" spans="1:39" s="10" customFormat="1" ht="15.6">
      <c r="A191" s="6"/>
      <c r="B191" s="7"/>
      <c r="C191" s="7"/>
      <c r="D191" s="267">
        <v>38</v>
      </c>
      <c r="E191" s="281">
        <v>158</v>
      </c>
      <c r="F191" s="282">
        <v>6610</v>
      </c>
      <c r="G191" s="281">
        <v>0</v>
      </c>
      <c r="H191" s="283">
        <v>0</v>
      </c>
      <c r="I191" s="283">
        <v>4384008</v>
      </c>
      <c r="J191" s="281">
        <v>2193678</v>
      </c>
      <c r="K191" s="283">
        <v>1565294</v>
      </c>
      <c r="L191" s="283">
        <v>358866</v>
      </c>
      <c r="M191" s="283">
        <v>189092</v>
      </c>
      <c r="N191" s="283">
        <v>42764</v>
      </c>
      <c r="O191" s="283">
        <v>19747</v>
      </c>
      <c r="P191" s="283">
        <v>7370</v>
      </c>
      <c r="Q191" s="283">
        <v>4641</v>
      </c>
      <c r="R191" s="283">
        <v>1158</v>
      </c>
      <c r="S191" s="282">
        <v>751</v>
      </c>
      <c r="T191" s="281">
        <v>4384008</v>
      </c>
      <c r="U191" s="283">
        <v>3755624</v>
      </c>
      <c r="V191" s="283">
        <v>1342768</v>
      </c>
      <c r="W191" s="283">
        <v>833446</v>
      </c>
      <c r="X191" s="283">
        <v>248134</v>
      </c>
      <c r="Y191" s="283">
        <v>133049</v>
      </c>
      <c r="Z191" s="283">
        <v>58787</v>
      </c>
      <c r="AA191" s="283">
        <v>39684</v>
      </c>
      <c r="AB191" s="283">
        <v>11820</v>
      </c>
      <c r="AC191" s="283">
        <v>8157</v>
      </c>
      <c r="AD191" s="281">
        <v>0</v>
      </c>
      <c r="AE191" s="283">
        <v>628384</v>
      </c>
      <c r="AF191" s="283">
        <v>3041240</v>
      </c>
      <c r="AG191" s="283">
        <v>3550562</v>
      </c>
      <c r="AH191" s="283">
        <v>4135874</v>
      </c>
      <c r="AI191" s="283">
        <v>4250959</v>
      </c>
      <c r="AJ191" s="283">
        <v>4325221</v>
      </c>
      <c r="AK191" s="283">
        <v>4344324</v>
      </c>
      <c r="AL191" s="283">
        <v>4372188</v>
      </c>
      <c r="AM191" s="282">
        <v>4375851</v>
      </c>
    </row>
    <row r="192" spans="1:39" s="10" customFormat="1" ht="15.6">
      <c r="A192" s="6"/>
      <c r="B192" s="7"/>
      <c r="C192" s="7"/>
      <c r="D192" s="267">
        <v>39</v>
      </c>
      <c r="E192" s="281">
        <v>125</v>
      </c>
      <c r="F192" s="282">
        <v>5356</v>
      </c>
      <c r="G192" s="281">
        <v>0</v>
      </c>
      <c r="H192" s="283">
        <v>0</v>
      </c>
      <c r="I192" s="283">
        <v>4385262</v>
      </c>
      <c r="J192" s="281">
        <v>2193888</v>
      </c>
      <c r="K192" s="283">
        <v>1565498</v>
      </c>
      <c r="L192" s="283">
        <v>359061</v>
      </c>
      <c r="M192" s="283">
        <v>189270</v>
      </c>
      <c r="N192" s="283">
        <v>42909</v>
      </c>
      <c r="O192" s="283">
        <v>19862</v>
      </c>
      <c r="P192" s="283">
        <v>7445</v>
      </c>
      <c r="Q192" s="283">
        <v>4696</v>
      </c>
      <c r="R192" s="283">
        <v>1184</v>
      </c>
      <c r="S192" s="282">
        <v>770</v>
      </c>
      <c r="T192" s="281">
        <v>4385262</v>
      </c>
      <c r="U192" s="283">
        <v>3756872</v>
      </c>
      <c r="V192" s="283">
        <v>1343998</v>
      </c>
      <c r="W192" s="283">
        <v>834625</v>
      </c>
      <c r="X192" s="283">
        <v>249181</v>
      </c>
      <c r="Y192" s="283">
        <v>133946</v>
      </c>
      <c r="Z192" s="283">
        <v>59444</v>
      </c>
      <c r="AA192" s="283">
        <v>40201</v>
      </c>
      <c r="AB192" s="283">
        <v>12105</v>
      </c>
      <c r="AC192" s="283">
        <v>8379</v>
      </c>
      <c r="AD192" s="281">
        <v>0</v>
      </c>
      <c r="AE192" s="283">
        <v>628390</v>
      </c>
      <c r="AF192" s="283">
        <v>3041264</v>
      </c>
      <c r="AG192" s="283">
        <v>3550637</v>
      </c>
      <c r="AH192" s="283">
        <v>4136081</v>
      </c>
      <c r="AI192" s="283">
        <v>4251316</v>
      </c>
      <c r="AJ192" s="283">
        <v>4325818</v>
      </c>
      <c r="AK192" s="283">
        <v>4345061</v>
      </c>
      <c r="AL192" s="283">
        <v>4373157</v>
      </c>
      <c r="AM192" s="282">
        <v>4376883</v>
      </c>
    </row>
    <row r="193" spans="1:39" s="10" customFormat="1" ht="15.6">
      <c r="A193" s="6"/>
      <c r="B193" s="7"/>
      <c r="C193" s="7"/>
      <c r="D193" s="274">
        <v>40</v>
      </c>
      <c r="E193" s="278">
        <v>97</v>
      </c>
      <c r="F193" s="280">
        <v>4264</v>
      </c>
      <c r="G193" s="278">
        <v>0</v>
      </c>
      <c r="H193" s="279">
        <v>0</v>
      </c>
      <c r="I193" s="279">
        <v>4386354</v>
      </c>
      <c r="J193" s="278">
        <v>2194075</v>
      </c>
      <c r="K193" s="279">
        <v>1565685</v>
      </c>
      <c r="L193" s="279">
        <v>359231</v>
      </c>
      <c r="M193" s="279">
        <v>189435</v>
      </c>
      <c r="N193" s="279">
        <v>43036</v>
      </c>
      <c r="O193" s="279">
        <v>19962</v>
      </c>
      <c r="P193" s="279">
        <v>7508</v>
      </c>
      <c r="Q193" s="279">
        <v>4734</v>
      </c>
      <c r="R193" s="279">
        <v>1206</v>
      </c>
      <c r="S193" s="280">
        <v>782</v>
      </c>
      <c r="T193" s="278">
        <v>4386354</v>
      </c>
      <c r="U193" s="279">
        <v>3757964</v>
      </c>
      <c r="V193" s="279">
        <v>1345056</v>
      </c>
      <c r="W193" s="279">
        <v>835668</v>
      </c>
      <c r="X193" s="279">
        <v>250072</v>
      </c>
      <c r="Y193" s="279">
        <v>134702</v>
      </c>
      <c r="Z193" s="279">
        <v>59978</v>
      </c>
      <c r="AA193" s="279">
        <v>40560</v>
      </c>
      <c r="AB193" s="279">
        <v>12336</v>
      </c>
      <c r="AC193" s="279">
        <v>8520</v>
      </c>
      <c r="AD193" s="278">
        <v>0</v>
      </c>
      <c r="AE193" s="279">
        <v>628390</v>
      </c>
      <c r="AF193" s="279">
        <v>3041298</v>
      </c>
      <c r="AG193" s="279">
        <v>3550686</v>
      </c>
      <c r="AH193" s="279">
        <v>4136282</v>
      </c>
      <c r="AI193" s="279">
        <v>4251652</v>
      </c>
      <c r="AJ193" s="279">
        <v>4326376</v>
      </c>
      <c r="AK193" s="279">
        <v>4345794</v>
      </c>
      <c r="AL193" s="279">
        <v>4374018</v>
      </c>
      <c r="AM193" s="280">
        <v>4377834</v>
      </c>
    </row>
    <row r="194" spans="1:39" s="10" customFormat="1" ht="15.6">
      <c r="A194" s="6"/>
      <c r="B194" s="7"/>
      <c r="C194" s="7"/>
      <c r="D194" s="274" t="s">
        <v>303</v>
      </c>
      <c r="E194" s="278">
        <v>72</v>
      </c>
      <c r="F194" s="280">
        <v>3264</v>
      </c>
      <c r="G194" s="278">
        <v>0</v>
      </c>
      <c r="H194" s="279">
        <v>0</v>
      </c>
      <c r="I194" s="279">
        <v>4387354</v>
      </c>
      <c r="J194" s="278">
        <v>2194238</v>
      </c>
      <c r="K194" s="279">
        <v>1565848</v>
      </c>
      <c r="L194" s="279">
        <v>359386</v>
      </c>
      <c r="M194" s="279">
        <v>189581</v>
      </c>
      <c r="N194" s="279">
        <v>43152</v>
      </c>
      <c r="O194" s="279">
        <v>20049</v>
      </c>
      <c r="P194" s="279">
        <v>7568</v>
      </c>
      <c r="Q194" s="279">
        <v>4773</v>
      </c>
      <c r="R194" s="279">
        <v>1231</v>
      </c>
      <c r="S194" s="280">
        <v>801</v>
      </c>
      <c r="T194" s="278">
        <v>4387354</v>
      </c>
      <c r="U194" s="279">
        <v>3758964</v>
      </c>
      <c r="V194" s="279">
        <v>1346040</v>
      </c>
      <c r="W194" s="279">
        <v>836625</v>
      </c>
      <c r="X194" s="279">
        <v>250909</v>
      </c>
      <c r="Y194" s="279">
        <v>135394</v>
      </c>
      <c r="Z194" s="279">
        <v>60508</v>
      </c>
      <c r="AA194" s="279">
        <v>40943</v>
      </c>
      <c r="AB194" s="279">
        <v>12607</v>
      </c>
      <c r="AC194" s="279">
        <v>8737</v>
      </c>
      <c r="AD194" s="275">
        <v>0</v>
      </c>
      <c r="AE194" s="277">
        <v>628390</v>
      </c>
      <c r="AF194" s="277">
        <v>3041314</v>
      </c>
      <c r="AG194" s="277">
        <v>3550729</v>
      </c>
      <c r="AH194" s="277">
        <v>4136445</v>
      </c>
      <c r="AI194" s="277">
        <v>4251960</v>
      </c>
      <c r="AJ194" s="277">
        <v>4326846</v>
      </c>
      <c r="AK194" s="277">
        <v>4346411</v>
      </c>
      <c r="AL194" s="277">
        <v>4374747</v>
      </c>
      <c r="AM194" s="276">
        <v>4378617</v>
      </c>
    </row>
    <row r="195" spans="1:39" s="10" customFormat="1" ht="15.6">
      <c r="A195" s="6"/>
      <c r="B195" s="7"/>
      <c r="C195" s="7"/>
      <c r="D195" s="8"/>
      <c r="E195" s="9"/>
    </row>
    <row r="196" spans="1:39" s="10" customFormat="1" ht="15.6">
      <c r="A196" s="49"/>
      <c r="B196" s="49"/>
      <c r="C196" s="49"/>
      <c r="D196" s="46" t="s">
        <v>214</v>
      </c>
      <c r="E196" s="48" t="s">
        <v>304</v>
      </c>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row>
    <row r="197" spans="1:39" s="10" customFormat="1" ht="15.6">
      <c r="A197" s="6"/>
      <c r="B197" s="7"/>
      <c r="C197" s="7"/>
      <c r="D197" s="8"/>
      <c r="E197" s="9"/>
    </row>
    <row r="198" spans="1:39" s="10" customFormat="1" ht="14.45" customHeight="1">
      <c r="A198" s="314" t="s">
        <v>79</v>
      </c>
      <c r="B198" s="7"/>
      <c r="C198" s="7"/>
      <c r="D198" s="352" t="s">
        <v>294</v>
      </c>
      <c r="E198" s="353" t="s">
        <v>295</v>
      </c>
      <c r="F198" s="353"/>
      <c r="G198" s="353" t="s">
        <v>296</v>
      </c>
      <c r="H198" s="353"/>
      <c r="I198" s="353"/>
      <c r="J198" s="354" t="s">
        <v>297</v>
      </c>
      <c r="K198" s="355"/>
      <c r="L198" s="355"/>
      <c r="M198" s="355"/>
      <c r="N198" s="355"/>
      <c r="O198" s="355"/>
      <c r="P198" s="355"/>
      <c r="Q198" s="355"/>
      <c r="R198" s="355"/>
      <c r="S198" s="355"/>
      <c r="T198" s="355"/>
      <c r="U198" s="355"/>
      <c r="V198" s="355"/>
      <c r="W198" s="355"/>
      <c r="X198" s="355"/>
      <c r="Y198" s="355"/>
      <c r="Z198" s="355"/>
      <c r="AA198" s="355"/>
      <c r="AB198" s="355"/>
      <c r="AC198" s="355"/>
      <c r="AD198" s="355"/>
      <c r="AE198" s="355"/>
      <c r="AF198" s="355"/>
      <c r="AG198" s="355"/>
      <c r="AH198" s="355"/>
      <c r="AI198" s="355"/>
      <c r="AJ198" s="355"/>
      <c r="AK198" s="355"/>
      <c r="AL198" s="355"/>
      <c r="AM198" s="355"/>
    </row>
    <row r="199" spans="1:39" s="10" customFormat="1" ht="15.6">
      <c r="A199" s="6"/>
      <c r="B199" s="7"/>
      <c r="C199" s="7"/>
      <c r="D199" s="352"/>
      <c r="E199" s="353"/>
      <c r="F199" s="353"/>
      <c r="G199" s="353"/>
      <c r="H199" s="353"/>
      <c r="I199" s="353"/>
      <c r="J199" s="356" t="s">
        <v>298</v>
      </c>
      <c r="K199" s="357"/>
      <c r="L199" s="357"/>
      <c r="M199" s="357"/>
      <c r="N199" s="357"/>
      <c r="O199" s="357"/>
      <c r="P199" s="357"/>
      <c r="Q199" s="357"/>
      <c r="R199" s="357"/>
      <c r="S199" s="358"/>
      <c r="T199" s="356" t="s">
        <v>299</v>
      </c>
      <c r="U199" s="357"/>
      <c r="V199" s="357"/>
      <c r="W199" s="357"/>
      <c r="X199" s="357"/>
      <c r="Y199" s="357"/>
      <c r="Z199" s="357"/>
      <c r="AA199" s="357"/>
      <c r="AB199" s="357"/>
      <c r="AC199" s="358"/>
      <c r="AD199" s="356" t="s">
        <v>300</v>
      </c>
      <c r="AE199" s="357"/>
      <c r="AF199" s="357"/>
      <c r="AG199" s="357"/>
      <c r="AH199" s="357"/>
      <c r="AI199" s="357"/>
      <c r="AJ199" s="357"/>
      <c r="AK199" s="357"/>
      <c r="AL199" s="357"/>
      <c r="AM199" s="358"/>
    </row>
    <row r="200" spans="1:39" s="10" customFormat="1" ht="15.6">
      <c r="A200" s="6"/>
      <c r="B200" s="7"/>
      <c r="C200" s="7"/>
      <c r="D200" s="352"/>
      <c r="E200" s="254" t="s">
        <v>295</v>
      </c>
      <c r="F200" s="254" t="s">
        <v>301</v>
      </c>
      <c r="G200" s="254" t="s">
        <v>298</v>
      </c>
      <c r="H200" s="255" t="s">
        <v>299</v>
      </c>
      <c r="I200" s="256" t="s">
        <v>302</v>
      </c>
      <c r="J200" s="257">
        <v>1</v>
      </c>
      <c r="K200" s="258">
        <v>2</v>
      </c>
      <c r="L200" s="258">
        <v>3</v>
      </c>
      <c r="M200" s="258">
        <v>4</v>
      </c>
      <c r="N200" s="258">
        <v>5</v>
      </c>
      <c r="O200" s="258">
        <v>6</v>
      </c>
      <c r="P200" s="258">
        <v>7</v>
      </c>
      <c r="Q200" s="258">
        <v>8</v>
      </c>
      <c r="R200" s="258">
        <v>9</v>
      </c>
      <c r="S200" s="259">
        <v>10</v>
      </c>
      <c r="T200" s="257">
        <v>1</v>
      </c>
      <c r="U200" s="258">
        <v>2</v>
      </c>
      <c r="V200" s="258">
        <v>3</v>
      </c>
      <c r="W200" s="258">
        <v>4</v>
      </c>
      <c r="X200" s="258">
        <v>5</v>
      </c>
      <c r="Y200" s="258">
        <v>6</v>
      </c>
      <c r="Z200" s="258">
        <v>7</v>
      </c>
      <c r="AA200" s="258">
        <v>8</v>
      </c>
      <c r="AB200" s="258">
        <v>9</v>
      </c>
      <c r="AC200" s="258">
        <v>10</v>
      </c>
      <c r="AD200" s="257">
        <v>1</v>
      </c>
      <c r="AE200" s="258">
        <v>2</v>
      </c>
      <c r="AF200" s="258">
        <v>3</v>
      </c>
      <c r="AG200" s="258">
        <v>4</v>
      </c>
      <c r="AH200" s="258">
        <v>5</v>
      </c>
      <c r="AI200" s="258">
        <v>6</v>
      </c>
      <c r="AJ200" s="258">
        <v>7</v>
      </c>
      <c r="AK200" s="258">
        <v>8</v>
      </c>
      <c r="AL200" s="258">
        <v>9</v>
      </c>
      <c r="AM200" s="259">
        <v>10</v>
      </c>
    </row>
    <row r="201" spans="1:39" s="10" customFormat="1" ht="15.6">
      <c r="A201" s="6"/>
      <c r="B201" s="7"/>
      <c r="C201" s="7"/>
      <c r="D201" s="260">
        <v>0</v>
      </c>
      <c r="E201" s="275"/>
      <c r="F201" s="276"/>
      <c r="G201" s="275"/>
      <c r="H201" s="277"/>
      <c r="I201" s="277"/>
      <c r="J201" s="278"/>
      <c r="K201" s="279"/>
      <c r="L201" s="279"/>
      <c r="M201" s="279"/>
      <c r="N201" s="279"/>
      <c r="O201" s="279"/>
      <c r="P201" s="279"/>
      <c r="Q201" s="279"/>
      <c r="R201" s="279"/>
      <c r="S201" s="280"/>
      <c r="T201" s="278"/>
      <c r="U201" s="279"/>
      <c r="V201" s="279"/>
      <c r="W201" s="279"/>
      <c r="X201" s="279"/>
      <c r="Y201" s="279"/>
      <c r="Z201" s="279"/>
      <c r="AA201" s="279"/>
      <c r="AB201" s="279"/>
      <c r="AC201" s="279"/>
      <c r="AD201" s="278"/>
      <c r="AE201" s="279"/>
      <c r="AF201" s="279"/>
      <c r="AG201" s="279"/>
      <c r="AH201" s="279"/>
      <c r="AI201" s="279"/>
      <c r="AJ201" s="279"/>
      <c r="AK201" s="279"/>
      <c r="AL201" s="279"/>
      <c r="AM201" s="280"/>
    </row>
    <row r="202" spans="1:39" s="10" customFormat="1" ht="15.6">
      <c r="A202" s="6"/>
      <c r="B202" s="7"/>
      <c r="C202" s="7"/>
      <c r="D202" s="267">
        <v>1</v>
      </c>
      <c r="E202" s="281"/>
      <c r="F202" s="282"/>
      <c r="G202" s="281"/>
      <c r="H202" s="283"/>
      <c r="I202" s="283"/>
      <c r="J202" s="281"/>
      <c r="K202" s="283"/>
      <c r="L202" s="283"/>
      <c r="M202" s="283"/>
      <c r="N202" s="283"/>
      <c r="O202" s="283"/>
      <c r="P202" s="283"/>
      <c r="Q202" s="283"/>
      <c r="R202" s="283"/>
      <c r="S202" s="282"/>
      <c r="T202" s="281"/>
      <c r="U202" s="283"/>
      <c r="V202" s="283"/>
      <c r="W202" s="283"/>
      <c r="X202" s="283"/>
      <c r="Y202" s="283"/>
      <c r="Z202" s="283"/>
      <c r="AA202" s="283"/>
      <c r="AB202" s="283"/>
      <c r="AC202" s="283"/>
      <c r="AD202" s="284"/>
      <c r="AE202" s="285"/>
      <c r="AF202" s="285"/>
      <c r="AG202" s="285"/>
      <c r="AH202" s="285"/>
      <c r="AI202" s="285"/>
      <c r="AJ202" s="285"/>
      <c r="AK202" s="285"/>
      <c r="AL202" s="285"/>
      <c r="AM202" s="286"/>
    </row>
    <row r="203" spans="1:39" s="10" customFormat="1" ht="15.6">
      <c r="A203" s="6"/>
      <c r="B203" s="7"/>
      <c r="C203" s="7"/>
      <c r="D203" s="267">
        <v>2</v>
      </c>
      <c r="E203" s="281"/>
      <c r="F203" s="282"/>
      <c r="G203" s="281"/>
      <c r="H203" s="283"/>
      <c r="I203" s="283"/>
      <c r="J203" s="281"/>
      <c r="K203" s="283"/>
      <c r="L203" s="283"/>
      <c r="M203" s="283"/>
      <c r="N203" s="283"/>
      <c r="O203" s="283"/>
      <c r="P203" s="283"/>
      <c r="Q203" s="283"/>
      <c r="R203" s="283"/>
      <c r="S203" s="282"/>
      <c r="T203" s="281"/>
      <c r="U203" s="283"/>
      <c r="V203" s="283"/>
      <c r="W203" s="283"/>
      <c r="X203" s="283"/>
      <c r="Y203" s="283"/>
      <c r="Z203" s="283"/>
      <c r="AA203" s="283"/>
      <c r="AB203" s="283"/>
      <c r="AC203" s="283"/>
      <c r="AD203" s="281"/>
      <c r="AE203" s="283"/>
      <c r="AF203" s="283"/>
      <c r="AG203" s="283"/>
      <c r="AH203" s="283"/>
      <c r="AI203" s="283"/>
      <c r="AJ203" s="283"/>
      <c r="AK203" s="283"/>
      <c r="AL203" s="283"/>
      <c r="AM203" s="282"/>
    </row>
    <row r="204" spans="1:39" s="10" customFormat="1" ht="15.6">
      <c r="A204" s="6"/>
      <c r="B204" s="7"/>
      <c r="C204" s="7"/>
      <c r="D204" s="267">
        <v>3</v>
      </c>
      <c r="E204" s="281"/>
      <c r="F204" s="282"/>
      <c r="G204" s="281"/>
      <c r="H204" s="283"/>
      <c r="I204" s="283"/>
      <c r="J204" s="281"/>
      <c r="K204" s="283"/>
      <c r="L204" s="283"/>
      <c r="M204" s="283"/>
      <c r="N204" s="283"/>
      <c r="O204" s="283"/>
      <c r="P204" s="283"/>
      <c r="Q204" s="283"/>
      <c r="R204" s="283"/>
      <c r="S204" s="282"/>
      <c r="T204" s="281"/>
      <c r="U204" s="283"/>
      <c r="V204" s="283"/>
      <c r="W204" s="283"/>
      <c r="X204" s="283"/>
      <c r="Y204" s="283"/>
      <c r="Z204" s="283"/>
      <c r="AA204" s="283"/>
      <c r="AB204" s="283"/>
      <c r="AC204" s="283"/>
      <c r="AD204" s="281"/>
      <c r="AE204" s="283"/>
      <c r="AF204" s="283"/>
      <c r="AG204" s="283"/>
      <c r="AH204" s="283"/>
      <c r="AI204" s="283"/>
      <c r="AJ204" s="283"/>
      <c r="AK204" s="283"/>
      <c r="AL204" s="283"/>
      <c r="AM204" s="282"/>
    </row>
    <row r="205" spans="1:39" s="10" customFormat="1" ht="15.6">
      <c r="A205" s="6"/>
      <c r="B205" s="7"/>
      <c r="C205" s="7"/>
      <c r="D205" s="267">
        <v>4</v>
      </c>
      <c r="E205" s="281"/>
      <c r="F205" s="282"/>
      <c r="G205" s="281"/>
      <c r="H205" s="283"/>
      <c r="I205" s="283"/>
      <c r="J205" s="281"/>
      <c r="K205" s="283"/>
      <c r="L205" s="283"/>
      <c r="M205" s="283"/>
      <c r="N205" s="283"/>
      <c r="O205" s="283"/>
      <c r="P205" s="283"/>
      <c r="Q205" s="283"/>
      <c r="R205" s="283"/>
      <c r="S205" s="282"/>
      <c r="T205" s="281"/>
      <c r="U205" s="283"/>
      <c r="V205" s="283"/>
      <c r="W205" s="283"/>
      <c r="X205" s="283"/>
      <c r="Y205" s="283"/>
      <c r="Z205" s="283"/>
      <c r="AA205" s="283"/>
      <c r="AB205" s="283"/>
      <c r="AC205" s="283"/>
      <c r="AD205" s="281"/>
      <c r="AE205" s="283"/>
      <c r="AF205" s="283"/>
      <c r="AG205" s="283"/>
      <c r="AH205" s="283"/>
      <c r="AI205" s="283"/>
      <c r="AJ205" s="283"/>
      <c r="AK205" s="283"/>
      <c r="AL205" s="283"/>
      <c r="AM205" s="282"/>
    </row>
    <row r="206" spans="1:39" s="10" customFormat="1" ht="15.6">
      <c r="A206" s="6"/>
      <c r="B206" s="7"/>
      <c r="C206" s="7"/>
      <c r="D206" s="267">
        <v>5</v>
      </c>
      <c r="E206" s="281"/>
      <c r="F206" s="282"/>
      <c r="G206" s="281"/>
      <c r="H206" s="283"/>
      <c r="I206" s="283"/>
      <c r="J206" s="281"/>
      <c r="K206" s="283"/>
      <c r="L206" s="283"/>
      <c r="M206" s="283"/>
      <c r="N206" s="283"/>
      <c r="O206" s="283"/>
      <c r="P206" s="283"/>
      <c r="Q206" s="283"/>
      <c r="R206" s="283"/>
      <c r="S206" s="282"/>
      <c r="T206" s="281"/>
      <c r="U206" s="283"/>
      <c r="V206" s="283"/>
      <c r="W206" s="283"/>
      <c r="X206" s="283"/>
      <c r="Y206" s="283"/>
      <c r="Z206" s="283"/>
      <c r="AA206" s="283"/>
      <c r="AB206" s="283"/>
      <c r="AC206" s="283"/>
      <c r="AD206" s="281"/>
      <c r="AE206" s="283"/>
      <c r="AF206" s="283"/>
      <c r="AG206" s="283"/>
      <c r="AH206" s="283"/>
      <c r="AI206" s="283"/>
      <c r="AJ206" s="283"/>
      <c r="AK206" s="283"/>
      <c r="AL206" s="283"/>
      <c r="AM206" s="282"/>
    </row>
    <row r="207" spans="1:39" s="10" customFormat="1" ht="15.6">
      <c r="A207" s="6"/>
      <c r="B207" s="7"/>
      <c r="C207" s="7"/>
      <c r="D207" s="267">
        <v>6</v>
      </c>
      <c r="E207" s="281"/>
      <c r="F207" s="282"/>
      <c r="G207" s="281"/>
      <c r="H207" s="283"/>
      <c r="I207" s="283"/>
      <c r="J207" s="281"/>
      <c r="K207" s="283"/>
      <c r="L207" s="283"/>
      <c r="M207" s="283"/>
      <c r="N207" s="283"/>
      <c r="O207" s="283"/>
      <c r="P207" s="283"/>
      <c r="Q207" s="283"/>
      <c r="R207" s="283"/>
      <c r="S207" s="282"/>
      <c r="T207" s="281"/>
      <c r="U207" s="283"/>
      <c r="V207" s="283"/>
      <c r="W207" s="283"/>
      <c r="X207" s="283"/>
      <c r="Y207" s="283"/>
      <c r="Z207" s="283"/>
      <c r="AA207" s="283"/>
      <c r="AB207" s="283"/>
      <c r="AC207" s="283"/>
      <c r="AD207" s="281"/>
      <c r="AE207" s="283"/>
      <c r="AF207" s="283"/>
      <c r="AG207" s="283"/>
      <c r="AH207" s="283"/>
      <c r="AI207" s="283"/>
      <c r="AJ207" s="283"/>
      <c r="AK207" s="283"/>
      <c r="AL207" s="283"/>
      <c r="AM207" s="282"/>
    </row>
    <row r="208" spans="1:39" s="10" customFormat="1" ht="15.6">
      <c r="A208" s="6"/>
      <c r="B208" s="7"/>
      <c r="C208" s="7"/>
      <c r="D208" s="267">
        <v>7</v>
      </c>
      <c r="E208" s="281"/>
      <c r="F208" s="282"/>
      <c r="G208" s="281"/>
      <c r="H208" s="283"/>
      <c r="I208" s="283"/>
      <c r="J208" s="281"/>
      <c r="K208" s="283"/>
      <c r="L208" s="283"/>
      <c r="M208" s="283"/>
      <c r="N208" s="283"/>
      <c r="O208" s="283"/>
      <c r="P208" s="283"/>
      <c r="Q208" s="283"/>
      <c r="R208" s="283"/>
      <c r="S208" s="282"/>
      <c r="T208" s="281"/>
      <c r="U208" s="283"/>
      <c r="V208" s="283"/>
      <c r="W208" s="283"/>
      <c r="X208" s="283"/>
      <c r="Y208" s="283"/>
      <c r="Z208" s="283"/>
      <c r="AA208" s="283"/>
      <c r="AB208" s="283"/>
      <c r="AC208" s="283"/>
      <c r="AD208" s="281"/>
      <c r="AE208" s="283"/>
      <c r="AF208" s="283"/>
      <c r="AG208" s="283"/>
      <c r="AH208" s="283"/>
      <c r="AI208" s="283"/>
      <c r="AJ208" s="283"/>
      <c r="AK208" s="283"/>
      <c r="AL208" s="283"/>
      <c r="AM208" s="282"/>
    </row>
    <row r="209" spans="1:39" s="10" customFormat="1" ht="15.6">
      <c r="A209" s="6"/>
      <c r="B209" s="7"/>
      <c r="C209" s="7"/>
      <c r="D209" s="267">
        <v>8</v>
      </c>
      <c r="E209" s="281"/>
      <c r="F209" s="282"/>
      <c r="G209" s="281"/>
      <c r="H209" s="283"/>
      <c r="I209" s="283"/>
      <c r="J209" s="281"/>
      <c r="K209" s="283"/>
      <c r="L209" s="283"/>
      <c r="M209" s="283"/>
      <c r="N209" s="283"/>
      <c r="O209" s="283"/>
      <c r="P209" s="283"/>
      <c r="Q209" s="283"/>
      <c r="R209" s="283"/>
      <c r="S209" s="282"/>
      <c r="T209" s="281"/>
      <c r="U209" s="283"/>
      <c r="V209" s="283"/>
      <c r="W209" s="283"/>
      <c r="X209" s="283"/>
      <c r="Y209" s="283"/>
      <c r="Z209" s="283"/>
      <c r="AA209" s="283"/>
      <c r="AB209" s="283"/>
      <c r="AC209" s="283"/>
      <c r="AD209" s="281"/>
      <c r="AE209" s="283"/>
      <c r="AF209" s="283"/>
      <c r="AG209" s="283"/>
      <c r="AH209" s="283"/>
      <c r="AI209" s="283"/>
      <c r="AJ209" s="283"/>
      <c r="AK209" s="283"/>
      <c r="AL209" s="283"/>
      <c r="AM209" s="282"/>
    </row>
    <row r="210" spans="1:39" s="10" customFormat="1" ht="15.6">
      <c r="A210" s="6"/>
      <c r="B210" s="7"/>
      <c r="C210" s="7"/>
      <c r="D210" s="267">
        <v>9</v>
      </c>
      <c r="E210" s="281"/>
      <c r="F210" s="282"/>
      <c r="G210" s="281"/>
      <c r="H210" s="283"/>
      <c r="I210" s="283"/>
      <c r="J210" s="281"/>
      <c r="K210" s="283"/>
      <c r="L210" s="283"/>
      <c r="M210" s="283"/>
      <c r="N210" s="283"/>
      <c r="O210" s="283"/>
      <c r="P210" s="283"/>
      <c r="Q210" s="283"/>
      <c r="R210" s="283"/>
      <c r="S210" s="282"/>
      <c r="T210" s="281"/>
      <c r="U210" s="283"/>
      <c r="V210" s="283"/>
      <c r="W210" s="283"/>
      <c r="X210" s="283"/>
      <c r="Y210" s="283"/>
      <c r="Z210" s="283"/>
      <c r="AA210" s="283"/>
      <c r="AB210" s="283"/>
      <c r="AC210" s="283"/>
      <c r="AD210" s="281"/>
      <c r="AE210" s="283"/>
      <c r="AF210" s="283"/>
      <c r="AG210" s="283"/>
      <c r="AH210" s="283"/>
      <c r="AI210" s="283"/>
      <c r="AJ210" s="283"/>
      <c r="AK210" s="283"/>
      <c r="AL210" s="283"/>
      <c r="AM210" s="282"/>
    </row>
    <row r="211" spans="1:39" s="10" customFormat="1" ht="15.6">
      <c r="A211" s="6"/>
      <c r="B211" s="7"/>
      <c r="C211" s="7"/>
      <c r="D211" s="274">
        <v>10</v>
      </c>
      <c r="E211" s="278"/>
      <c r="F211" s="280"/>
      <c r="G211" s="278"/>
      <c r="H211" s="279"/>
      <c r="I211" s="279"/>
      <c r="J211" s="278"/>
      <c r="K211" s="279"/>
      <c r="L211" s="279"/>
      <c r="M211" s="279"/>
      <c r="N211" s="279"/>
      <c r="O211" s="279"/>
      <c r="P211" s="279"/>
      <c r="Q211" s="279"/>
      <c r="R211" s="279"/>
      <c r="S211" s="280"/>
      <c r="T211" s="278"/>
      <c r="U211" s="279"/>
      <c r="V211" s="279"/>
      <c r="W211" s="279"/>
      <c r="X211" s="279"/>
      <c r="Y211" s="279"/>
      <c r="Z211" s="279"/>
      <c r="AA211" s="279"/>
      <c r="AB211" s="279"/>
      <c r="AC211" s="279"/>
      <c r="AD211" s="278"/>
      <c r="AE211" s="279"/>
      <c r="AF211" s="279"/>
      <c r="AG211" s="279"/>
      <c r="AH211" s="279"/>
      <c r="AI211" s="279"/>
      <c r="AJ211" s="279"/>
      <c r="AK211" s="279"/>
      <c r="AL211" s="279"/>
      <c r="AM211" s="280"/>
    </row>
    <row r="212" spans="1:39" s="10" customFormat="1" ht="15.6">
      <c r="A212" s="6"/>
      <c r="B212" s="7"/>
      <c r="C212" s="7"/>
      <c r="D212" s="267">
        <v>11</v>
      </c>
      <c r="E212" s="281"/>
      <c r="F212" s="282"/>
      <c r="G212" s="281"/>
      <c r="H212" s="283"/>
      <c r="I212" s="283"/>
      <c r="J212" s="281"/>
      <c r="K212" s="283"/>
      <c r="L212" s="283"/>
      <c r="M212" s="283"/>
      <c r="N212" s="283"/>
      <c r="O212" s="283"/>
      <c r="P212" s="283"/>
      <c r="Q212" s="283"/>
      <c r="R212" s="283"/>
      <c r="S212" s="282"/>
      <c r="T212" s="281"/>
      <c r="U212" s="283"/>
      <c r="V212" s="283"/>
      <c r="W212" s="283"/>
      <c r="X212" s="283"/>
      <c r="Y212" s="283"/>
      <c r="Z212" s="283"/>
      <c r="AA212" s="283"/>
      <c r="AB212" s="283"/>
      <c r="AC212" s="283"/>
      <c r="AD212" s="284"/>
      <c r="AE212" s="285"/>
      <c r="AF212" s="285"/>
      <c r="AG212" s="285"/>
      <c r="AH212" s="285"/>
      <c r="AI212" s="285"/>
      <c r="AJ212" s="285"/>
      <c r="AK212" s="285"/>
      <c r="AL212" s="285"/>
      <c r="AM212" s="286"/>
    </row>
    <row r="213" spans="1:39" s="10" customFormat="1" ht="15.6">
      <c r="A213" s="6"/>
      <c r="B213" s="7"/>
      <c r="C213" s="7"/>
      <c r="D213" s="267">
        <v>12</v>
      </c>
      <c r="E213" s="281"/>
      <c r="F213" s="282"/>
      <c r="G213" s="281"/>
      <c r="H213" s="283"/>
      <c r="I213" s="283"/>
      <c r="J213" s="281"/>
      <c r="K213" s="283"/>
      <c r="L213" s="283"/>
      <c r="M213" s="283"/>
      <c r="N213" s="283"/>
      <c r="O213" s="283"/>
      <c r="P213" s="283"/>
      <c r="Q213" s="283"/>
      <c r="R213" s="283"/>
      <c r="S213" s="282"/>
      <c r="T213" s="281"/>
      <c r="U213" s="283"/>
      <c r="V213" s="283"/>
      <c r="W213" s="283"/>
      <c r="X213" s="283"/>
      <c r="Y213" s="283"/>
      <c r="Z213" s="283"/>
      <c r="AA213" s="283"/>
      <c r="AB213" s="283"/>
      <c r="AC213" s="283"/>
      <c r="AD213" s="281"/>
      <c r="AE213" s="283"/>
      <c r="AF213" s="283"/>
      <c r="AG213" s="283"/>
      <c r="AH213" s="283"/>
      <c r="AI213" s="283"/>
      <c r="AJ213" s="283"/>
      <c r="AK213" s="283"/>
      <c r="AL213" s="283"/>
      <c r="AM213" s="282"/>
    </row>
    <row r="214" spans="1:39" s="10" customFormat="1" ht="15.6">
      <c r="A214" s="6"/>
      <c r="B214" s="7"/>
      <c r="C214" s="7"/>
      <c r="D214" s="267">
        <v>13</v>
      </c>
      <c r="E214" s="281"/>
      <c r="F214" s="282"/>
      <c r="G214" s="281"/>
      <c r="H214" s="283"/>
      <c r="I214" s="283"/>
      <c r="J214" s="281"/>
      <c r="K214" s="283"/>
      <c r="L214" s="283"/>
      <c r="M214" s="283"/>
      <c r="N214" s="283"/>
      <c r="O214" s="283"/>
      <c r="P214" s="283"/>
      <c r="Q214" s="283"/>
      <c r="R214" s="283"/>
      <c r="S214" s="282"/>
      <c r="T214" s="281"/>
      <c r="U214" s="283"/>
      <c r="V214" s="283"/>
      <c r="W214" s="283"/>
      <c r="X214" s="283"/>
      <c r="Y214" s="283"/>
      <c r="Z214" s="283"/>
      <c r="AA214" s="283"/>
      <c r="AB214" s="283"/>
      <c r="AC214" s="283"/>
      <c r="AD214" s="281"/>
      <c r="AE214" s="283"/>
      <c r="AF214" s="283"/>
      <c r="AG214" s="283"/>
      <c r="AH214" s="283"/>
      <c r="AI214" s="283"/>
      <c r="AJ214" s="283"/>
      <c r="AK214" s="283"/>
      <c r="AL214" s="283"/>
      <c r="AM214" s="282"/>
    </row>
    <row r="215" spans="1:39" s="10" customFormat="1" ht="15.6">
      <c r="A215" s="6"/>
      <c r="B215" s="7"/>
      <c r="C215" s="7"/>
      <c r="D215" s="267">
        <v>14</v>
      </c>
      <c r="E215" s="281"/>
      <c r="F215" s="282"/>
      <c r="G215" s="281"/>
      <c r="H215" s="283"/>
      <c r="I215" s="283"/>
      <c r="J215" s="281"/>
      <c r="K215" s="283"/>
      <c r="L215" s="283"/>
      <c r="M215" s="283"/>
      <c r="N215" s="283"/>
      <c r="O215" s="283"/>
      <c r="P215" s="283"/>
      <c r="Q215" s="283"/>
      <c r="R215" s="283"/>
      <c r="S215" s="282"/>
      <c r="T215" s="281"/>
      <c r="U215" s="283"/>
      <c r="V215" s="283"/>
      <c r="W215" s="283"/>
      <c r="X215" s="283"/>
      <c r="Y215" s="283"/>
      <c r="Z215" s="283"/>
      <c r="AA215" s="283"/>
      <c r="AB215" s="283"/>
      <c r="AC215" s="283"/>
      <c r="AD215" s="281"/>
      <c r="AE215" s="283"/>
      <c r="AF215" s="283"/>
      <c r="AG215" s="283"/>
      <c r="AH215" s="283"/>
      <c r="AI215" s="283"/>
      <c r="AJ215" s="283"/>
      <c r="AK215" s="283"/>
      <c r="AL215" s="283"/>
      <c r="AM215" s="282"/>
    </row>
    <row r="216" spans="1:39" s="10" customFormat="1" ht="15.6">
      <c r="A216" s="6"/>
      <c r="B216" s="7"/>
      <c r="C216" s="7"/>
      <c r="D216" s="267">
        <v>15</v>
      </c>
      <c r="E216" s="281"/>
      <c r="F216" s="282"/>
      <c r="G216" s="281"/>
      <c r="H216" s="283"/>
      <c r="I216" s="283"/>
      <c r="J216" s="281"/>
      <c r="K216" s="283"/>
      <c r="L216" s="283"/>
      <c r="M216" s="283"/>
      <c r="N216" s="283"/>
      <c r="O216" s="283"/>
      <c r="P216" s="283"/>
      <c r="Q216" s="283"/>
      <c r="R216" s="283"/>
      <c r="S216" s="282"/>
      <c r="T216" s="281"/>
      <c r="U216" s="283"/>
      <c r="V216" s="283"/>
      <c r="W216" s="283"/>
      <c r="X216" s="283"/>
      <c r="Y216" s="283"/>
      <c r="Z216" s="283"/>
      <c r="AA216" s="283"/>
      <c r="AB216" s="283"/>
      <c r="AC216" s="283"/>
      <c r="AD216" s="281"/>
      <c r="AE216" s="283"/>
      <c r="AF216" s="283"/>
      <c r="AG216" s="283"/>
      <c r="AH216" s="283"/>
      <c r="AI216" s="283"/>
      <c r="AJ216" s="283"/>
      <c r="AK216" s="283"/>
      <c r="AL216" s="283"/>
      <c r="AM216" s="282"/>
    </row>
    <row r="217" spans="1:39" s="10" customFormat="1" ht="15.6">
      <c r="A217" s="6"/>
      <c r="B217" s="7"/>
      <c r="C217" s="7"/>
      <c r="D217" s="267">
        <v>16</v>
      </c>
      <c r="E217" s="281"/>
      <c r="F217" s="282"/>
      <c r="G217" s="281"/>
      <c r="H217" s="283"/>
      <c r="I217" s="283"/>
      <c r="J217" s="281"/>
      <c r="K217" s="283"/>
      <c r="L217" s="283"/>
      <c r="M217" s="283"/>
      <c r="N217" s="283"/>
      <c r="O217" s="283"/>
      <c r="P217" s="283"/>
      <c r="Q217" s="283"/>
      <c r="R217" s="283"/>
      <c r="S217" s="282"/>
      <c r="T217" s="281"/>
      <c r="U217" s="283"/>
      <c r="V217" s="283"/>
      <c r="W217" s="283"/>
      <c r="X217" s="283"/>
      <c r="Y217" s="283"/>
      <c r="Z217" s="283"/>
      <c r="AA217" s="283"/>
      <c r="AB217" s="283"/>
      <c r="AC217" s="283"/>
      <c r="AD217" s="281"/>
      <c r="AE217" s="283"/>
      <c r="AF217" s="283"/>
      <c r="AG217" s="283"/>
      <c r="AH217" s="283"/>
      <c r="AI217" s="283"/>
      <c r="AJ217" s="283"/>
      <c r="AK217" s="283"/>
      <c r="AL217" s="283"/>
      <c r="AM217" s="282"/>
    </row>
    <row r="218" spans="1:39" s="10" customFormat="1" ht="15.6">
      <c r="A218" s="6"/>
      <c r="B218" s="7"/>
      <c r="C218" s="7"/>
      <c r="D218" s="267">
        <v>17</v>
      </c>
      <c r="E218" s="281"/>
      <c r="F218" s="282"/>
      <c r="G218" s="281"/>
      <c r="H218" s="283"/>
      <c r="I218" s="283"/>
      <c r="J218" s="281"/>
      <c r="K218" s="283"/>
      <c r="L218" s="283"/>
      <c r="M218" s="283"/>
      <c r="N218" s="283"/>
      <c r="O218" s="283"/>
      <c r="P218" s="283"/>
      <c r="Q218" s="283"/>
      <c r="R218" s="283"/>
      <c r="S218" s="282"/>
      <c r="T218" s="281"/>
      <c r="U218" s="283"/>
      <c r="V218" s="283"/>
      <c r="W218" s="283"/>
      <c r="X218" s="283"/>
      <c r="Y218" s="283"/>
      <c r="Z218" s="283"/>
      <c r="AA218" s="283"/>
      <c r="AB218" s="283"/>
      <c r="AC218" s="283"/>
      <c r="AD218" s="281"/>
      <c r="AE218" s="283"/>
      <c r="AF218" s="283"/>
      <c r="AG218" s="283"/>
      <c r="AH218" s="283"/>
      <c r="AI218" s="283"/>
      <c r="AJ218" s="283"/>
      <c r="AK218" s="283"/>
      <c r="AL218" s="283"/>
      <c r="AM218" s="282"/>
    </row>
    <row r="219" spans="1:39" s="10" customFormat="1" ht="15.6">
      <c r="A219" s="6"/>
      <c r="B219" s="7"/>
      <c r="C219" s="7"/>
      <c r="D219" s="267">
        <v>18</v>
      </c>
      <c r="E219" s="281"/>
      <c r="F219" s="282"/>
      <c r="G219" s="281"/>
      <c r="H219" s="283"/>
      <c r="I219" s="283"/>
      <c r="J219" s="281"/>
      <c r="K219" s="283"/>
      <c r="L219" s="283"/>
      <c r="M219" s="283"/>
      <c r="N219" s="283"/>
      <c r="O219" s="283"/>
      <c r="P219" s="283"/>
      <c r="Q219" s="283"/>
      <c r="R219" s="283"/>
      <c r="S219" s="282"/>
      <c r="T219" s="281"/>
      <c r="U219" s="283"/>
      <c r="V219" s="283"/>
      <c r="W219" s="283"/>
      <c r="X219" s="283"/>
      <c r="Y219" s="283"/>
      <c r="Z219" s="283"/>
      <c r="AA219" s="283"/>
      <c r="AB219" s="283"/>
      <c r="AC219" s="283"/>
      <c r="AD219" s="281"/>
      <c r="AE219" s="283"/>
      <c r="AF219" s="283"/>
      <c r="AG219" s="283"/>
      <c r="AH219" s="283"/>
      <c r="AI219" s="283"/>
      <c r="AJ219" s="283"/>
      <c r="AK219" s="283"/>
      <c r="AL219" s="283"/>
      <c r="AM219" s="282"/>
    </row>
    <row r="220" spans="1:39" s="10" customFormat="1" ht="15.6">
      <c r="A220" s="6"/>
      <c r="B220" s="7"/>
      <c r="C220" s="7"/>
      <c r="D220" s="267">
        <v>19</v>
      </c>
      <c r="E220" s="281"/>
      <c r="F220" s="282"/>
      <c r="G220" s="281"/>
      <c r="H220" s="283"/>
      <c r="I220" s="283"/>
      <c r="J220" s="281"/>
      <c r="K220" s="283"/>
      <c r="L220" s="283"/>
      <c r="M220" s="283"/>
      <c r="N220" s="283"/>
      <c r="O220" s="283"/>
      <c r="P220" s="283"/>
      <c r="Q220" s="283"/>
      <c r="R220" s="283"/>
      <c r="S220" s="282"/>
      <c r="T220" s="281"/>
      <c r="U220" s="283"/>
      <c r="V220" s="283"/>
      <c r="W220" s="283"/>
      <c r="X220" s="283"/>
      <c r="Y220" s="283"/>
      <c r="Z220" s="283"/>
      <c r="AA220" s="283"/>
      <c r="AB220" s="283"/>
      <c r="AC220" s="283"/>
      <c r="AD220" s="281"/>
      <c r="AE220" s="283"/>
      <c r="AF220" s="283"/>
      <c r="AG220" s="283"/>
      <c r="AH220" s="283"/>
      <c r="AI220" s="283"/>
      <c r="AJ220" s="283"/>
      <c r="AK220" s="283"/>
      <c r="AL220" s="283"/>
      <c r="AM220" s="282"/>
    </row>
    <row r="221" spans="1:39" s="10" customFormat="1" ht="15.6">
      <c r="A221" s="6"/>
      <c r="B221" s="7"/>
      <c r="C221" s="7"/>
      <c r="D221" s="274">
        <v>20</v>
      </c>
      <c r="E221" s="278"/>
      <c r="F221" s="280"/>
      <c r="G221" s="278"/>
      <c r="H221" s="279"/>
      <c r="I221" s="279"/>
      <c r="J221" s="278"/>
      <c r="K221" s="279"/>
      <c r="L221" s="279"/>
      <c r="M221" s="279"/>
      <c r="N221" s="279"/>
      <c r="O221" s="279"/>
      <c r="P221" s="279"/>
      <c r="Q221" s="279"/>
      <c r="R221" s="279"/>
      <c r="S221" s="280"/>
      <c r="T221" s="278"/>
      <c r="U221" s="279"/>
      <c r="V221" s="279"/>
      <c r="W221" s="279"/>
      <c r="X221" s="279"/>
      <c r="Y221" s="279"/>
      <c r="Z221" s="279"/>
      <c r="AA221" s="279"/>
      <c r="AB221" s="279"/>
      <c r="AC221" s="279"/>
      <c r="AD221" s="278"/>
      <c r="AE221" s="279"/>
      <c r="AF221" s="279"/>
      <c r="AG221" s="279"/>
      <c r="AH221" s="279"/>
      <c r="AI221" s="279"/>
      <c r="AJ221" s="279"/>
      <c r="AK221" s="279"/>
      <c r="AL221" s="279"/>
      <c r="AM221" s="280"/>
    </row>
    <row r="222" spans="1:39" s="10" customFormat="1" ht="15.6">
      <c r="A222" s="6"/>
      <c r="B222" s="7"/>
      <c r="C222" s="7"/>
      <c r="D222" s="267">
        <v>21</v>
      </c>
      <c r="E222" s="281"/>
      <c r="F222" s="282"/>
      <c r="G222" s="281"/>
      <c r="H222" s="283"/>
      <c r="I222" s="283"/>
      <c r="J222" s="281"/>
      <c r="K222" s="283"/>
      <c r="L222" s="283"/>
      <c r="M222" s="283"/>
      <c r="N222" s="283"/>
      <c r="O222" s="283"/>
      <c r="P222" s="283"/>
      <c r="Q222" s="283"/>
      <c r="R222" s="283"/>
      <c r="S222" s="282"/>
      <c r="T222" s="281"/>
      <c r="U222" s="283"/>
      <c r="V222" s="283"/>
      <c r="W222" s="283"/>
      <c r="X222" s="283"/>
      <c r="Y222" s="283"/>
      <c r="Z222" s="283"/>
      <c r="AA222" s="283"/>
      <c r="AB222" s="283"/>
      <c r="AC222" s="283"/>
      <c r="AD222" s="284"/>
      <c r="AE222" s="285"/>
      <c r="AF222" s="285"/>
      <c r="AG222" s="285"/>
      <c r="AH222" s="285"/>
      <c r="AI222" s="285"/>
      <c r="AJ222" s="285"/>
      <c r="AK222" s="285"/>
      <c r="AL222" s="285"/>
      <c r="AM222" s="286"/>
    </row>
    <row r="223" spans="1:39" s="10" customFormat="1" ht="15.6">
      <c r="A223" s="6"/>
      <c r="B223" s="7"/>
      <c r="C223" s="7"/>
      <c r="D223" s="267">
        <v>22</v>
      </c>
      <c r="E223" s="281"/>
      <c r="F223" s="282"/>
      <c r="G223" s="281"/>
      <c r="H223" s="283"/>
      <c r="I223" s="283"/>
      <c r="J223" s="281"/>
      <c r="K223" s="283"/>
      <c r="L223" s="283"/>
      <c r="M223" s="283"/>
      <c r="N223" s="283"/>
      <c r="O223" s="283"/>
      <c r="P223" s="283"/>
      <c r="Q223" s="283"/>
      <c r="R223" s="283"/>
      <c r="S223" s="282"/>
      <c r="T223" s="281"/>
      <c r="U223" s="283"/>
      <c r="V223" s="283"/>
      <c r="W223" s="283"/>
      <c r="X223" s="283"/>
      <c r="Y223" s="283"/>
      <c r="Z223" s="283"/>
      <c r="AA223" s="283"/>
      <c r="AB223" s="283"/>
      <c r="AC223" s="283"/>
      <c r="AD223" s="281"/>
      <c r="AE223" s="283"/>
      <c r="AF223" s="283"/>
      <c r="AG223" s="283"/>
      <c r="AH223" s="283"/>
      <c r="AI223" s="283"/>
      <c r="AJ223" s="283"/>
      <c r="AK223" s="283"/>
      <c r="AL223" s="283"/>
      <c r="AM223" s="282"/>
    </row>
    <row r="224" spans="1:39" s="10" customFormat="1" ht="15.6">
      <c r="A224" s="6"/>
      <c r="B224" s="7"/>
      <c r="C224" s="7"/>
      <c r="D224" s="267">
        <v>23</v>
      </c>
      <c r="E224" s="281"/>
      <c r="F224" s="282"/>
      <c r="G224" s="281"/>
      <c r="H224" s="283"/>
      <c r="I224" s="283"/>
      <c r="J224" s="281"/>
      <c r="K224" s="283"/>
      <c r="L224" s="283"/>
      <c r="M224" s="283"/>
      <c r="N224" s="283"/>
      <c r="O224" s="283"/>
      <c r="P224" s="283"/>
      <c r="Q224" s="283"/>
      <c r="R224" s="283"/>
      <c r="S224" s="282"/>
      <c r="T224" s="281"/>
      <c r="U224" s="283"/>
      <c r="V224" s="283"/>
      <c r="W224" s="283"/>
      <c r="X224" s="283"/>
      <c r="Y224" s="283"/>
      <c r="Z224" s="283"/>
      <c r="AA224" s="283"/>
      <c r="AB224" s="283"/>
      <c r="AC224" s="283"/>
      <c r="AD224" s="281"/>
      <c r="AE224" s="283"/>
      <c r="AF224" s="283"/>
      <c r="AG224" s="283"/>
      <c r="AH224" s="283"/>
      <c r="AI224" s="283"/>
      <c r="AJ224" s="283"/>
      <c r="AK224" s="283"/>
      <c r="AL224" s="283"/>
      <c r="AM224" s="282"/>
    </row>
    <row r="225" spans="1:39" s="10" customFormat="1" ht="15.6">
      <c r="A225" s="6"/>
      <c r="B225" s="7"/>
      <c r="C225" s="7"/>
      <c r="D225" s="267">
        <v>24</v>
      </c>
      <c r="E225" s="281"/>
      <c r="F225" s="282"/>
      <c r="G225" s="281"/>
      <c r="H225" s="283"/>
      <c r="I225" s="283"/>
      <c r="J225" s="281"/>
      <c r="K225" s="283"/>
      <c r="L225" s="283"/>
      <c r="M225" s="283"/>
      <c r="N225" s="283"/>
      <c r="O225" s="283"/>
      <c r="P225" s="283"/>
      <c r="Q225" s="283"/>
      <c r="R225" s="283"/>
      <c r="S225" s="282"/>
      <c r="T225" s="281"/>
      <c r="U225" s="283"/>
      <c r="V225" s="283"/>
      <c r="W225" s="283"/>
      <c r="X225" s="283"/>
      <c r="Y225" s="283"/>
      <c r="Z225" s="283"/>
      <c r="AA225" s="283"/>
      <c r="AB225" s="283"/>
      <c r="AC225" s="283"/>
      <c r="AD225" s="281"/>
      <c r="AE225" s="283"/>
      <c r="AF225" s="283"/>
      <c r="AG225" s="283"/>
      <c r="AH225" s="283"/>
      <c r="AI225" s="283"/>
      <c r="AJ225" s="283"/>
      <c r="AK225" s="283"/>
      <c r="AL225" s="283"/>
      <c r="AM225" s="282"/>
    </row>
    <row r="226" spans="1:39" s="10" customFormat="1" ht="15.6">
      <c r="A226" s="6"/>
      <c r="B226" s="7"/>
      <c r="C226" s="7"/>
      <c r="D226" s="267">
        <v>25</v>
      </c>
      <c r="E226" s="281"/>
      <c r="F226" s="282"/>
      <c r="G226" s="281"/>
      <c r="H226" s="283"/>
      <c r="I226" s="283"/>
      <c r="J226" s="281"/>
      <c r="K226" s="283"/>
      <c r="L226" s="283"/>
      <c r="M226" s="283"/>
      <c r="N226" s="283"/>
      <c r="O226" s="283"/>
      <c r="P226" s="283"/>
      <c r="Q226" s="283"/>
      <c r="R226" s="283"/>
      <c r="S226" s="282"/>
      <c r="T226" s="281"/>
      <c r="U226" s="283"/>
      <c r="V226" s="283"/>
      <c r="W226" s="283"/>
      <c r="X226" s="283"/>
      <c r="Y226" s="283"/>
      <c r="Z226" s="283"/>
      <c r="AA226" s="283"/>
      <c r="AB226" s="283"/>
      <c r="AC226" s="283"/>
      <c r="AD226" s="281"/>
      <c r="AE226" s="283"/>
      <c r="AF226" s="283"/>
      <c r="AG226" s="283"/>
      <c r="AH226" s="283"/>
      <c r="AI226" s="283"/>
      <c r="AJ226" s="283"/>
      <c r="AK226" s="283"/>
      <c r="AL226" s="283"/>
      <c r="AM226" s="282"/>
    </row>
    <row r="227" spans="1:39" s="10" customFormat="1" ht="15.6">
      <c r="A227" s="6"/>
      <c r="B227" s="7"/>
      <c r="C227" s="7"/>
      <c r="D227" s="267">
        <v>26</v>
      </c>
      <c r="E227" s="281"/>
      <c r="F227" s="282"/>
      <c r="G227" s="281"/>
      <c r="H227" s="283"/>
      <c r="I227" s="283"/>
      <c r="J227" s="281"/>
      <c r="K227" s="283"/>
      <c r="L227" s="283"/>
      <c r="M227" s="283"/>
      <c r="N227" s="283"/>
      <c r="O227" s="283"/>
      <c r="P227" s="283"/>
      <c r="Q227" s="283"/>
      <c r="R227" s="283"/>
      <c r="S227" s="282"/>
      <c r="T227" s="281"/>
      <c r="U227" s="283"/>
      <c r="V227" s="283"/>
      <c r="W227" s="283"/>
      <c r="X227" s="283"/>
      <c r="Y227" s="283"/>
      <c r="Z227" s="283"/>
      <c r="AA227" s="283"/>
      <c r="AB227" s="283"/>
      <c r="AC227" s="283"/>
      <c r="AD227" s="281"/>
      <c r="AE227" s="283"/>
      <c r="AF227" s="283"/>
      <c r="AG227" s="283"/>
      <c r="AH227" s="283"/>
      <c r="AI227" s="283"/>
      <c r="AJ227" s="283"/>
      <c r="AK227" s="283"/>
      <c r="AL227" s="283"/>
      <c r="AM227" s="282"/>
    </row>
    <row r="228" spans="1:39" s="10" customFormat="1" ht="15.6">
      <c r="A228" s="6"/>
      <c r="B228" s="7"/>
      <c r="C228" s="7"/>
      <c r="D228" s="267">
        <v>27</v>
      </c>
      <c r="E228" s="281"/>
      <c r="F228" s="282"/>
      <c r="G228" s="281"/>
      <c r="H228" s="283"/>
      <c r="I228" s="283"/>
      <c r="J228" s="281"/>
      <c r="K228" s="283"/>
      <c r="L228" s="283"/>
      <c r="M228" s="283"/>
      <c r="N228" s="283"/>
      <c r="O228" s="283"/>
      <c r="P228" s="283"/>
      <c r="Q228" s="283"/>
      <c r="R228" s="283"/>
      <c r="S228" s="282"/>
      <c r="T228" s="281"/>
      <c r="U228" s="283"/>
      <c r="V228" s="283"/>
      <c r="W228" s="283"/>
      <c r="X228" s="283"/>
      <c r="Y228" s="283"/>
      <c r="Z228" s="283"/>
      <c r="AA228" s="283"/>
      <c r="AB228" s="283"/>
      <c r="AC228" s="283"/>
      <c r="AD228" s="281"/>
      <c r="AE228" s="283"/>
      <c r="AF228" s="283"/>
      <c r="AG228" s="283"/>
      <c r="AH228" s="283"/>
      <c r="AI228" s="283"/>
      <c r="AJ228" s="283"/>
      <c r="AK228" s="283"/>
      <c r="AL228" s="283"/>
      <c r="AM228" s="282"/>
    </row>
    <row r="229" spans="1:39" s="10" customFormat="1" ht="15.6">
      <c r="A229" s="6"/>
      <c r="B229" s="7"/>
      <c r="C229" s="7"/>
      <c r="D229" s="267">
        <v>28</v>
      </c>
      <c r="E229" s="281"/>
      <c r="F229" s="282"/>
      <c r="G229" s="281"/>
      <c r="H229" s="283"/>
      <c r="I229" s="283"/>
      <c r="J229" s="281"/>
      <c r="K229" s="283"/>
      <c r="L229" s="283"/>
      <c r="M229" s="283"/>
      <c r="N229" s="283"/>
      <c r="O229" s="283"/>
      <c r="P229" s="283"/>
      <c r="Q229" s="283"/>
      <c r="R229" s="283"/>
      <c r="S229" s="282"/>
      <c r="T229" s="281"/>
      <c r="U229" s="283"/>
      <c r="V229" s="283"/>
      <c r="W229" s="283"/>
      <c r="X229" s="283"/>
      <c r="Y229" s="283"/>
      <c r="Z229" s="283"/>
      <c r="AA229" s="283"/>
      <c r="AB229" s="283"/>
      <c r="AC229" s="283"/>
      <c r="AD229" s="281"/>
      <c r="AE229" s="283"/>
      <c r="AF229" s="283"/>
      <c r="AG229" s="283"/>
      <c r="AH229" s="283"/>
      <c r="AI229" s="283"/>
      <c r="AJ229" s="283"/>
      <c r="AK229" s="283"/>
      <c r="AL229" s="283"/>
      <c r="AM229" s="282"/>
    </row>
    <row r="230" spans="1:39" s="10" customFormat="1" ht="15.6">
      <c r="A230" s="6"/>
      <c r="B230" s="7"/>
      <c r="C230" s="7"/>
      <c r="D230" s="267">
        <v>29</v>
      </c>
      <c r="E230" s="281"/>
      <c r="F230" s="282"/>
      <c r="G230" s="281"/>
      <c r="H230" s="283"/>
      <c r="I230" s="283"/>
      <c r="J230" s="281"/>
      <c r="K230" s="283"/>
      <c r="L230" s="283"/>
      <c r="M230" s="283"/>
      <c r="N230" s="283"/>
      <c r="O230" s="283"/>
      <c r="P230" s="283"/>
      <c r="Q230" s="283"/>
      <c r="R230" s="283"/>
      <c r="S230" s="282"/>
      <c r="T230" s="281"/>
      <c r="U230" s="283"/>
      <c r="V230" s="283"/>
      <c r="W230" s="283"/>
      <c r="X230" s="283"/>
      <c r="Y230" s="283"/>
      <c r="Z230" s="283"/>
      <c r="AA230" s="283"/>
      <c r="AB230" s="283"/>
      <c r="AC230" s="283"/>
      <c r="AD230" s="281"/>
      <c r="AE230" s="283"/>
      <c r="AF230" s="283"/>
      <c r="AG230" s="283"/>
      <c r="AH230" s="283"/>
      <c r="AI230" s="283"/>
      <c r="AJ230" s="283"/>
      <c r="AK230" s="283"/>
      <c r="AL230" s="283"/>
      <c r="AM230" s="282"/>
    </row>
    <row r="231" spans="1:39" s="10" customFormat="1" ht="15.6">
      <c r="A231" s="6"/>
      <c r="B231" s="7"/>
      <c r="C231" s="7"/>
      <c r="D231" s="274">
        <v>30</v>
      </c>
      <c r="E231" s="278"/>
      <c r="F231" s="280"/>
      <c r="G231" s="278"/>
      <c r="H231" s="279"/>
      <c r="I231" s="279"/>
      <c r="J231" s="278"/>
      <c r="K231" s="279"/>
      <c r="L231" s="279"/>
      <c r="M231" s="279"/>
      <c r="N231" s="279"/>
      <c r="O231" s="279"/>
      <c r="P231" s="279"/>
      <c r="Q231" s="279"/>
      <c r="R231" s="279"/>
      <c r="S231" s="280"/>
      <c r="T231" s="278"/>
      <c r="U231" s="279"/>
      <c r="V231" s="279"/>
      <c r="W231" s="279"/>
      <c r="X231" s="279"/>
      <c r="Y231" s="279"/>
      <c r="Z231" s="279"/>
      <c r="AA231" s="279"/>
      <c r="AB231" s="279"/>
      <c r="AC231" s="279"/>
      <c r="AD231" s="278"/>
      <c r="AE231" s="279"/>
      <c r="AF231" s="279"/>
      <c r="AG231" s="279"/>
      <c r="AH231" s="279"/>
      <c r="AI231" s="279"/>
      <c r="AJ231" s="279"/>
      <c r="AK231" s="279"/>
      <c r="AL231" s="279"/>
      <c r="AM231" s="280"/>
    </row>
    <row r="232" spans="1:39" s="10" customFormat="1" ht="15.6">
      <c r="A232" s="6"/>
      <c r="B232" s="7"/>
      <c r="C232" s="7"/>
      <c r="D232" s="267">
        <v>31</v>
      </c>
      <c r="E232" s="281"/>
      <c r="F232" s="282"/>
      <c r="G232" s="281"/>
      <c r="H232" s="283"/>
      <c r="I232" s="283"/>
      <c r="J232" s="281"/>
      <c r="K232" s="283"/>
      <c r="L232" s="283"/>
      <c r="M232" s="283"/>
      <c r="N232" s="283"/>
      <c r="O232" s="283"/>
      <c r="P232" s="283"/>
      <c r="Q232" s="283"/>
      <c r="R232" s="283"/>
      <c r="S232" s="282"/>
      <c r="T232" s="281"/>
      <c r="U232" s="283"/>
      <c r="V232" s="283"/>
      <c r="W232" s="283"/>
      <c r="X232" s="283"/>
      <c r="Y232" s="283"/>
      <c r="Z232" s="283"/>
      <c r="AA232" s="283"/>
      <c r="AB232" s="283"/>
      <c r="AC232" s="283"/>
      <c r="AD232" s="284"/>
      <c r="AE232" s="285"/>
      <c r="AF232" s="285"/>
      <c r="AG232" s="285"/>
      <c r="AH232" s="285"/>
      <c r="AI232" s="285"/>
      <c r="AJ232" s="285"/>
      <c r="AK232" s="285"/>
      <c r="AL232" s="285"/>
      <c r="AM232" s="286"/>
    </row>
    <row r="233" spans="1:39" s="10" customFormat="1" ht="15.6">
      <c r="A233" s="6"/>
      <c r="B233" s="7"/>
      <c r="C233" s="7"/>
      <c r="D233" s="267">
        <v>32</v>
      </c>
      <c r="E233" s="281"/>
      <c r="F233" s="282"/>
      <c r="G233" s="281"/>
      <c r="H233" s="283"/>
      <c r="I233" s="283"/>
      <c r="J233" s="281"/>
      <c r="K233" s="283"/>
      <c r="L233" s="283"/>
      <c r="M233" s="283"/>
      <c r="N233" s="283"/>
      <c r="O233" s="283"/>
      <c r="P233" s="283"/>
      <c r="Q233" s="283"/>
      <c r="R233" s="283"/>
      <c r="S233" s="282"/>
      <c r="T233" s="281"/>
      <c r="U233" s="283"/>
      <c r="V233" s="283"/>
      <c r="W233" s="283"/>
      <c r="X233" s="283"/>
      <c r="Y233" s="283"/>
      <c r="Z233" s="283"/>
      <c r="AA233" s="283"/>
      <c r="AB233" s="283"/>
      <c r="AC233" s="283"/>
      <c r="AD233" s="281"/>
      <c r="AE233" s="283"/>
      <c r="AF233" s="283"/>
      <c r="AG233" s="283"/>
      <c r="AH233" s="283"/>
      <c r="AI233" s="283"/>
      <c r="AJ233" s="283"/>
      <c r="AK233" s="283"/>
      <c r="AL233" s="283"/>
      <c r="AM233" s="282"/>
    </row>
    <row r="234" spans="1:39" s="10" customFormat="1" ht="15.6">
      <c r="A234" s="6"/>
      <c r="B234" s="7"/>
      <c r="C234" s="7"/>
      <c r="D234" s="267">
        <v>33</v>
      </c>
      <c r="E234" s="281"/>
      <c r="F234" s="282"/>
      <c r="G234" s="281"/>
      <c r="H234" s="283"/>
      <c r="I234" s="283"/>
      <c r="J234" s="281"/>
      <c r="K234" s="283"/>
      <c r="L234" s="283"/>
      <c r="M234" s="283"/>
      <c r="N234" s="283"/>
      <c r="O234" s="283"/>
      <c r="P234" s="283"/>
      <c r="Q234" s="283"/>
      <c r="R234" s="283"/>
      <c r="S234" s="282"/>
      <c r="T234" s="281"/>
      <c r="U234" s="283"/>
      <c r="V234" s="283"/>
      <c r="W234" s="283"/>
      <c r="X234" s="283"/>
      <c r="Y234" s="283"/>
      <c r="Z234" s="283"/>
      <c r="AA234" s="283"/>
      <c r="AB234" s="283"/>
      <c r="AC234" s="283"/>
      <c r="AD234" s="281"/>
      <c r="AE234" s="283"/>
      <c r="AF234" s="283"/>
      <c r="AG234" s="283"/>
      <c r="AH234" s="283"/>
      <c r="AI234" s="283"/>
      <c r="AJ234" s="283"/>
      <c r="AK234" s="283"/>
      <c r="AL234" s="283"/>
      <c r="AM234" s="282"/>
    </row>
    <row r="235" spans="1:39" s="10" customFormat="1" ht="15.6">
      <c r="A235" s="6"/>
      <c r="B235" s="7"/>
      <c r="C235" s="7"/>
      <c r="D235" s="267">
        <v>34</v>
      </c>
      <c r="E235" s="281"/>
      <c r="F235" s="282"/>
      <c r="G235" s="281"/>
      <c r="H235" s="283"/>
      <c r="I235" s="283"/>
      <c r="J235" s="281"/>
      <c r="K235" s="283"/>
      <c r="L235" s="283"/>
      <c r="M235" s="283"/>
      <c r="N235" s="283"/>
      <c r="O235" s="283"/>
      <c r="P235" s="283"/>
      <c r="Q235" s="283"/>
      <c r="R235" s="283"/>
      <c r="S235" s="282"/>
      <c r="T235" s="281"/>
      <c r="U235" s="283"/>
      <c r="V235" s="283"/>
      <c r="W235" s="283"/>
      <c r="X235" s="283"/>
      <c r="Y235" s="283"/>
      <c r="Z235" s="283"/>
      <c r="AA235" s="283"/>
      <c r="AB235" s="283"/>
      <c r="AC235" s="283"/>
      <c r="AD235" s="281"/>
      <c r="AE235" s="283"/>
      <c r="AF235" s="283"/>
      <c r="AG235" s="283"/>
      <c r="AH235" s="283"/>
      <c r="AI235" s="283"/>
      <c r="AJ235" s="283"/>
      <c r="AK235" s="283"/>
      <c r="AL235" s="283"/>
      <c r="AM235" s="282"/>
    </row>
    <row r="236" spans="1:39" s="10" customFormat="1" ht="15.6">
      <c r="A236" s="6"/>
      <c r="B236" s="7"/>
      <c r="C236" s="7"/>
      <c r="D236" s="267">
        <v>35</v>
      </c>
      <c r="E236" s="281"/>
      <c r="F236" s="282"/>
      <c r="G236" s="281"/>
      <c r="H236" s="283"/>
      <c r="I236" s="283"/>
      <c r="J236" s="281"/>
      <c r="K236" s="283"/>
      <c r="L236" s="283"/>
      <c r="M236" s="283"/>
      <c r="N236" s="283"/>
      <c r="O236" s="283"/>
      <c r="P236" s="283"/>
      <c r="Q236" s="283"/>
      <c r="R236" s="283"/>
      <c r="S236" s="282"/>
      <c r="T236" s="281"/>
      <c r="U236" s="283"/>
      <c r="V236" s="283"/>
      <c r="W236" s="283"/>
      <c r="X236" s="283"/>
      <c r="Y236" s="283"/>
      <c r="Z236" s="283"/>
      <c r="AA236" s="283"/>
      <c r="AB236" s="283"/>
      <c r="AC236" s="283"/>
      <c r="AD236" s="281"/>
      <c r="AE236" s="283"/>
      <c r="AF236" s="283"/>
      <c r="AG236" s="283"/>
      <c r="AH236" s="283"/>
      <c r="AI236" s="283"/>
      <c r="AJ236" s="283"/>
      <c r="AK236" s="283"/>
      <c r="AL236" s="283"/>
      <c r="AM236" s="282"/>
    </row>
    <row r="237" spans="1:39" s="10" customFormat="1" ht="15.6">
      <c r="A237" s="6"/>
      <c r="B237" s="7"/>
      <c r="C237" s="7"/>
      <c r="D237" s="267">
        <v>36</v>
      </c>
      <c r="E237" s="281"/>
      <c r="F237" s="282"/>
      <c r="G237" s="281"/>
      <c r="H237" s="283"/>
      <c r="I237" s="283"/>
      <c r="J237" s="281"/>
      <c r="K237" s="283"/>
      <c r="L237" s="283"/>
      <c r="M237" s="283"/>
      <c r="N237" s="283"/>
      <c r="O237" s="283"/>
      <c r="P237" s="283"/>
      <c r="Q237" s="283"/>
      <c r="R237" s="283"/>
      <c r="S237" s="282"/>
      <c r="T237" s="281"/>
      <c r="U237" s="283"/>
      <c r="V237" s="283"/>
      <c r="W237" s="283"/>
      <c r="X237" s="283"/>
      <c r="Y237" s="283"/>
      <c r="Z237" s="283"/>
      <c r="AA237" s="283"/>
      <c r="AB237" s="283"/>
      <c r="AC237" s="283"/>
      <c r="AD237" s="281"/>
      <c r="AE237" s="283"/>
      <c r="AF237" s="283"/>
      <c r="AG237" s="283"/>
      <c r="AH237" s="283"/>
      <c r="AI237" s="283"/>
      <c r="AJ237" s="283"/>
      <c r="AK237" s="283"/>
      <c r="AL237" s="283"/>
      <c r="AM237" s="282"/>
    </row>
    <row r="238" spans="1:39" s="10" customFormat="1" ht="15.6">
      <c r="A238" s="6"/>
      <c r="B238" s="7"/>
      <c r="C238" s="7"/>
      <c r="D238" s="267">
        <v>37</v>
      </c>
      <c r="E238" s="281"/>
      <c r="F238" s="282"/>
      <c r="G238" s="281"/>
      <c r="H238" s="283"/>
      <c r="I238" s="283"/>
      <c r="J238" s="281"/>
      <c r="K238" s="283"/>
      <c r="L238" s="283"/>
      <c r="M238" s="283"/>
      <c r="N238" s="283"/>
      <c r="O238" s="283"/>
      <c r="P238" s="283"/>
      <c r="Q238" s="283"/>
      <c r="R238" s="283"/>
      <c r="S238" s="282"/>
      <c r="T238" s="281"/>
      <c r="U238" s="283"/>
      <c r="V238" s="283"/>
      <c r="W238" s="283"/>
      <c r="X238" s="283"/>
      <c r="Y238" s="283"/>
      <c r="Z238" s="283"/>
      <c r="AA238" s="283"/>
      <c r="AB238" s="283"/>
      <c r="AC238" s="283"/>
      <c r="AD238" s="281"/>
      <c r="AE238" s="283"/>
      <c r="AF238" s="283"/>
      <c r="AG238" s="283"/>
      <c r="AH238" s="283"/>
      <c r="AI238" s="283"/>
      <c r="AJ238" s="283"/>
      <c r="AK238" s="283"/>
      <c r="AL238" s="283"/>
      <c r="AM238" s="282"/>
    </row>
    <row r="239" spans="1:39" s="10" customFormat="1" ht="15.6">
      <c r="A239" s="6"/>
      <c r="B239" s="7"/>
      <c r="C239" s="7"/>
      <c r="D239" s="267">
        <v>38</v>
      </c>
      <c r="E239" s="281"/>
      <c r="F239" s="282"/>
      <c r="G239" s="281"/>
      <c r="H239" s="283"/>
      <c r="I239" s="283"/>
      <c r="J239" s="281"/>
      <c r="K239" s="283"/>
      <c r="L239" s="283"/>
      <c r="M239" s="283"/>
      <c r="N239" s="283"/>
      <c r="O239" s="283"/>
      <c r="P239" s="283"/>
      <c r="Q239" s="283"/>
      <c r="R239" s="283"/>
      <c r="S239" s="282"/>
      <c r="T239" s="281"/>
      <c r="U239" s="283"/>
      <c r="V239" s="283"/>
      <c r="W239" s="283"/>
      <c r="X239" s="283"/>
      <c r="Y239" s="283"/>
      <c r="Z239" s="283"/>
      <c r="AA239" s="283"/>
      <c r="AB239" s="283"/>
      <c r="AC239" s="283"/>
      <c r="AD239" s="281"/>
      <c r="AE239" s="283"/>
      <c r="AF239" s="283"/>
      <c r="AG239" s="283"/>
      <c r="AH239" s="283"/>
      <c r="AI239" s="283"/>
      <c r="AJ239" s="283"/>
      <c r="AK239" s="283"/>
      <c r="AL239" s="283"/>
      <c r="AM239" s="282"/>
    </row>
    <row r="240" spans="1:39" s="10" customFormat="1" ht="15.6">
      <c r="A240" s="6"/>
      <c r="B240" s="7"/>
      <c r="C240" s="7"/>
      <c r="D240" s="267">
        <v>39</v>
      </c>
      <c r="E240" s="281"/>
      <c r="F240" s="282"/>
      <c r="G240" s="281"/>
      <c r="H240" s="283"/>
      <c r="I240" s="283"/>
      <c r="J240" s="281"/>
      <c r="K240" s="283"/>
      <c r="L240" s="283"/>
      <c r="M240" s="283"/>
      <c r="N240" s="283"/>
      <c r="O240" s="283"/>
      <c r="P240" s="283"/>
      <c r="Q240" s="283"/>
      <c r="R240" s="283"/>
      <c r="S240" s="282"/>
      <c r="T240" s="281"/>
      <c r="U240" s="283"/>
      <c r="V240" s="283"/>
      <c r="W240" s="283"/>
      <c r="X240" s="283"/>
      <c r="Y240" s="283"/>
      <c r="Z240" s="283"/>
      <c r="AA240" s="283"/>
      <c r="AB240" s="283"/>
      <c r="AC240" s="283"/>
      <c r="AD240" s="281"/>
      <c r="AE240" s="283"/>
      <c r="AF240" s="283"/>
      <c r="AG240" s="283"/>
      <c r="AH240" s="283"/>
      <c r="AI240" s="283"/>
      <c r="AJ240" s="283"/>
      <c r="AK240" s="283"/>
      <c r="AL240" s="283"/>
      <c r="AM240" s="282"/>
    </row>
    <row r="241" spans="1:39" s="10" customFormat="1" ht="15.6">
      <c r="A241" s="6"/>
      <c r="B241" s="7"/>
      <c r="C241" s="7"/>
      <c r="D241" s="274">
        <v>40</v>
      </c>
      <c r="E241" s="278"/>
      <c r="F241" s="280"/>
      <c r="G241" s="278"/>
      <c r="H241" s="279"/>
      <c r="I241" s="279"/>
      <c r="J241" s="278"/>
      <c r="K241" s="279"/>
      <c r="L241" s="279"/>
      <c r="M241" s="279"/>
      <c r="N241" s="279"/>
      <c r="O241" s="279"/>
      <c r="P241" s="279"/>
      <c r="Q241" s="279"/>
      <c r="R241" s="279"/>
      <c r="S241" s="280"/>
      <c r="T241" s="278"/>
      <c r="U241" s="279"/>
      <c r="V241" s="279"/>
      <c r="W241" s="279"/>
      <c r="X241" s="279"/>
      <c r="Y241" s="279"/>
      <c r="Z241" s="279"/>
      <c r="AA241" s="279"/>
      <c r="AB241" s="279"/>
      <c r="AC241" s="279"/>
      <c r="AD241" s="278"/>
      <c r="AE241" s="279"/>
      <c r="AF241" s="279"/>
      <c r="AG241" s="279"/>
      <c r="AH241" s="279"/>
      <c r="AI241" s="279"/>
      <c r="AJ241" s="279"/>
      <c r="AK241" s="279"/>
      <c r="AL241" s="279"/>
      <c r="AM241" s="280"/>
    </row>
    <row r="242" spans="1:39" s="10" customFormat="1" ht="15.6">
      <c r="A242" s="6"/>
      <c r="B242" s="7"/>
      <c r="C242" s="7"/>
      <c r="D242" s="274" t="s">
        <v>303</v>
      </c>
      <c r="E242" s="278"/>
      <c r="F242" s="280"/>
      <c r="G242" s="278"/>
      <c r="H242" s="279"/>
      <c r="I242" s="279"/>
      <c r="J242" s="278"/>
      <c r="K242" s="279"/>
      <c r="L242" s="279"/>
      <c r="M242" s="279"/>
      <c r="N242" s="279"/>
      <c r="O242" s="279"/>
      <c r="P242" s="279"/>
      <c r="Q242" s="279"/>
      <c r="R242" s="279"/>
      <c r="S242" s="280"/>
      <c r="T242" s="278"/>
      <c r="U242" s="279"/>
      <c r="V242" s="279"/>
      <c r="W242" s="279"/>
      <c r="X242" s="279"/>
      <c r="Y242" s="279"/>
      <c r="Z242" s="279"/>
      <c r="AA242" s="279"/>
      <c r="AB242" s="279"/>
      <c r="AC242" s="279"/>
      <c r="AD242" s="275"/>
      <c r="AE242" s="277"/>
      <c r="AF242" s="277"/>
      <c r="AG242" s="277"/>
      <c r="AH242" s="277"/>
      <c r="AI242" s="277"/>
      <c r="AJ242" s="277"/>
      <c r="AK242" s="277"/>
      <c r="AL242" s="277"/>
      <c r="AM242" s="276"/>
    </row>
    <row r="243" spans="1:39" s="10" customFormat="1" ht="15.6">
      <c r="A243" s="6"/>
      <c r="B243" s="7"/>
      <c r="C243" s="7"/>
      <c r="D243" s="8"/>
      <c r="E243" s="9"/>
    </row>
    <row r="244" spans="1:39" s="10" customFormat="1" ht="15.6">
      <c r="A244" s="49"/>
      <c r="B244" s="49"/>
      <c r="C244" s="49"/>
      <c r="D244" s="46" t="s">
        <v>23</v>
      </c>
      <c r="E244" s="45"/>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c r="AM244" s="51"/>
    </row>
  </sheetData>
  <sheetProtection sheet="1" objects="1" scenarios="1"/>
  <mergeCells count="35">
    <mergeCell ref="D198:D200"/>
    <mergeCell ref="E198:F199"/>
    <mergeCell ref="G198:I199"/>
    <mergeCell ref="J198:AM198"/>
    <mergeCell ref="J199:S199"/>
    <mergeCell ref="T199:AC199"/>
    <mergeCell ref="AD199:AM199"/>
    <mergeCell ref="D150:D152"/>
    <mergeCell ref="E150:F151"/>
    <mergeCell ref="G150:I151"/>
    <mergeCell ref="J150:AM150"/>
    <mergeCell ref="J151:S151"/>
    <mergeCell ref="T151:AC151"/>
    <mergeCell ref="AD151:AM151"/>
    <mergeCell ref="D102:D104"/>
    <mergeCell ref="E102:F103"/>
    <mergeCell ref="G102:I103"/>
    <mergeCell ref="J102:AM102"/>
    <mergeCell ref="J103:S103"/>
    <mergeCell ref="T103:AC103"/>
    <mergeCell ref="AD103:AM103"/>
    <mergeCell ref="D54:D56"/>
    <mergeCell ref="E54:F55"/>
    <mergeCell ref="G54:I55"/>
    <mergeCell ref="J54:AM54"/>
    <mergeCell ref="J55:S55"/>
    <mergeCell ref="T55:AC55"/>
    <mergeCell ref="AD55:AM55"/>
    <mergeCell ref="D6:D8"/>
    <mergeCell ref="E6:F7"/>
    <mergeCell ref="G6:I7"/>
    <mergeCell ref="J6:AM6"/>
    <mergeCell ref="J7:S7"/>
    <mergeCell ref="T7:AC7"/>
    <mergeCell ref="AD7:AM7"/>
  </mergeCells>
  <hyperlinks>
    <hyperlink ref="A198" location="Instructions!B44" display="2c" xr:uid="{A1947CB2-5D81-4010-922A-A75309D6546C}"/>
  </hyperlinks>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CEDA2-F84A-4E96-86C9-5AC8DEA7363E}">
  <sheetPr>
    <tabColor theme="9" tint="0.39997558519241921"/>
  </sheetPr>
  <dimension ref="A1:T40"/>
  <sheetViews>
    <sheetView showGridLines="0" topLeftCell="A24" workbookViewId="0">
      <selection activeCell="F8" sqref="F8"/>
    </sheetView>
  </sheetViews>
  <sheetFormatPr defaultColWidth="8.7109375" defaultRowHeight="15.6"/>
  <cols>
    <col min="1" max="1" width="6.85546875" style="6" customWidth="1"/>
    <col min="2" max="2" width="1.5703125" style="7" customWidth="1"/>
    <col min="3" max="3" width="1.28515625" style="7" customWidth="1"/>
    <col min="4" max="4" width="57.85546875" style="8" bestFit="1" customWidth="1"/>
    <col min="5" max="5" width="23.85546875" style="9" customWidth="1"/>
    <col min="6" max="7" width="20.5703125" style="10" customWidth="1"/>
    <col min="8" max="8" width="12.5703125" style="10" customWidth="1"/>
    <col min="9" max="9" width="26.85546875" style="10" customWidth="1"/>
    <col min="10" max="11" width="17.42578125" style="10" customWidth="1"/>
    <col min="12" max="12" width="20.5703125" style="10" customWidth="1"/>
    <col min="13" max="14" width="17.42578125" style="10" customWidth="1"/>
    <col min="15" max="18" width="8.7109375" style="10"/>
    <col min="19" max="19" width="9" style="10" customWidth="1"/>
    <col min="20" max="20" width="4" style="7" customWidth="1"/>
    <col min="21" max="16384" width="8.7109375" style="10"/>
  </cols>
  <sheetData>
    <row r="1" spans="1:19" ht="26.1">
      <c r="A1" s="47" t="s">
        <v>13</v>
      </c>
      <c r="B1" s="35"/>
      <c r="C1" s="35"/>
      <c r="D1" s="36"/>
      <c r="E1" s="38"/>
    </row>
    <row r="2" spans="1:19" ht="18.95" customHeight="1">
      <c r="A2" s="48" t="s">
        <v>305</v>
      </c>
      <c r="B2" s="35"/>
      <c r="C2" s="35"/>
      <c r="D2" s="36"/>
      <c r="E2" s="38"/>
    </row>
    <row r="3" spans="1:19" ht="17.45" customHeight="1"/>
    <row r="4" spans="1:19" ht="15.6" customHeight="1">
      <c r="A4" s="49"/>
      <c r="B4" s="50"/>
      <c r="C4" s="50"/>
      <c r="D4" s="46" t="s">
        <v>306</v>
      </c>
      <c r="E4" s="45"/>
      <c r="F4" s="51"/>
      <c r="G4" s="51"/>
      <c r="H4" s="51"/>
      <c r="I4" s="51"/>
      <c r="J4" s="51"/>
      <c r="K4" s="51"/>
      <c r="L4" s="51"/>
      <c r="M4" s="51"/>
      <c r="N4" s="51"/>
      <c r="O4" s="51"/>
      <c r="P4" s="51"/>
      <c r="Q4" s="51"/>
      <c r="R4" s="51"/>
      <c r="S4" s="51"/>
    </row>
    <row r="5" spans="1:19" customFormat="1" ht="14.45"/>
    <row r="6" spans="1:19" customFormat="1" ht="14.45"/>
    <row r="7" spans="1:19" customFormat="1">
      <c r="D7" s="145" t="s">
        <v>307</v>
      </c>
      <c r="E7" s="145" t="s">
        <v>194</v>
      </c>
      <c r="F7" s="145" t="s">
        <v>195</v>
      </c>
    </row>
    <row r="8" spans="1:19" customFormat="1">
      <c r="D8" s="242" t="s">
        <v>308</v>
      </c>
      <c r="E8" s="231">
        <v>1.1200000000000001</v>
      </c>
      <c r="F8" s="231">
        <v>1.2</v>
      </c>
    </row>
    <row r="9" spans="1:19" customFormat="1">
      <c r="D9" s="242" t="s">
        <v>309</v>
      </c>
      <c r="E9" s="231">
        <v>1</v>
      </c>
      <c r="F9" s="231">
        <v>1</v>
      </c>
    </row>
    <row r="10" spans="1:19" customFormat="1" ht="14.45"/>
    <row r="11" spans="1:19" customFormat="1" ht="14.45"/>
    <row r="12" spans="1:19" customFormat="1">
      <c r="E12" s="10"/>
      <c r="F12" s="10"/>
    </row>
    <row r="13" spans="1:19" customFormat="1">
      <c r="D13" s="145" t="s">
        <v>310</v>
      </c>
      <c r="E13" s="142" t="s">
        <v>194</v>
      </c>
      <c r="F13" s="142" t="s">
        <v>195</v>
      </c>
    </row>
    <row r="14" spans="1:19" customFormat="1">
      <c r="D14" s="76" t="s">
        <v>311</v>
      </c>
      <c r="E14" s="231">
        <v>0.7</v>
      </c>
      <c r="F14" s="231">
        <v>0.9</v>
      </c>
    </row>
    <row r="15" spans="1:19" customFormat="1">
      <c r="D15" s="76" t="s">
        <v>312</v>
      </c>
      <c r="E15" s="231">
        <v>-0.59630000000000005</v>
      </c>
      <c r="F15" s="231">
        <v>-0.72260000000000002</v>
      </c>
    </row>
    <row r="16" spans="1:19" customFormat="1" ht="14.45"/>
    <row r="17" spans="4:14" customFormat="1">
      <c r="D17" s="8"/>
      <c r="E17" s="9"/>
    </row>
    <row r="18" spans="4:14" customFormat="1">
      <c r="D18" s="8"/>
      <c r="E18" s="9"/>
    </row>
    <row r="19" spans="4:14" customFormat="1">
      <c r="D19" s="145" t="s">
        <v>313</v>
      </c>
      <c r="E19" s="145" t="s">
        <v>314</v>
      </c>
    </row>
    <row r="20" spans="4:14" customFormat="1">
      <c r="D20" s="76" t="s">
        <v>315</v>
      </c>
      <c r="E20" s="232">
        <v>5.5E-2</v>
      </c>
    </row>
    <row r="21" spans="4:14" customFormat="1">
      <c r="D21" s="76" t="s">
        <v>316</v>
      </c>
      <c r="E21" s="232">
        <v>3.9</v>
      </c>
    </row>
    <row r="22" spans="4:14" customFormat="1">
      <c r="D22" s="76" t="s">
        <v>317</v>
      </c>
      <c r="E22" s="233">
        <v>6.0000000000000001E-3</v>
      </c>
    </row>
    <row r="23" spans="4:14" customFormat="1" ht="14.45">
      <c r="E23" s="351"/>
    </row>
    <row r="24" spans="4:14" customFormat="1" ht="14.45"/>
    <row r="25" spans="4:14" customFormat="1" ht="15.6" customHeight="1">
      <c r="D25" s="56"/>
    </row>
    <row r="26" spans="4:14" customFormat="1" ht="46.5">
      <c r="D26" s="145" t="s">
        <v>318</v>
      </c>
      <c r="E26" s="154" t="s">
        <v>319</v>
      </c>
      <c r="F26" s="155" t="s">
        <v>320</v>
      </c>
      <c r="G26" s="155" t="s">
        <v>321</v>
      </c>
      <c r="H26" s="155" t="s">
        <v>256</v>
      </c>
      <c r="I26" s="155" t="s">
        <v>257</v>
      </c>
      <c r="J26" s="155" t="s">
        <v>258</v>
      </c>
      <c r="K26" s="155" t="s">
        <v>259</v>
      </c>
      <c r="L26" s="155" t="s">
        <v>261</v>
      </c>
      <c r="M26" s="155" t="s">
        <v>322</v>
      </c>
      <c r="N26" s="156" t="s">
        <v>323</v>
      </c>
    </row>
    <row r="27" spans="4:14" customFormat="1">
      <c r="D27" s="167" t="s">
        <v>194</v>
      </c>
      <c r="E27" s="157">
        <v>0.6</v>
      </c>
      <c r="F27" s="158">
        <v>13.3</v>
      </c>
      <c r="G27" s="159">
        <v>0.7</v>
      </c>
      <c r="H27" s="160">
        <v>8.7899999999999991</v>
      </c>
      <c r="I27" s="160">
        <v>10</v>
      </c>
      <c r="J27" s="160">
        <v>3.11</v>
      </c>
      <c r="K27" s="160">
        <v>6.2</v>
      </c>
      <c r="L27" s="330">
        <v>0.65</v>
      </c>
      <c r="M27" s="160">
        <v>6</v>
      </c>
      <c r="N27" s="161">
        <v>0.71</v>
      </c>
    </row>
    <row r="28" spans="4:14" customFormat="1">
      <c r="D28" s="168" t="s">
        <v>195</v>
      </c>
      <c r="E28" s="162">
        <v>0.6</v>
      </c>
      <c r="F28" s="163">
        <v>13.3</v>
      </c>
      <c r="G28" s="164">
        <v>0.7</v>
      </c>
      <c r="H28" s="165">
        <v>10.029999999999999</v>
      </c>
      <c r="I28" s="165">
        <v>10</v>
      </c>
      <c r="J28" s="165">
        <v>3.57</v>
      </c>
      <c r="K28" s="165">
        <v>7.1459999999999999</v>
      </c>
      <c r="L28" s="331">
        <v>0.65</v>
      </c>
      <c r="M28" s="165">
        <v>6</v>
      </c>
      <c r="N28" s="166">
        <v>0.71</v>
      </c>
    </row>
    <row r="29" spans="4:14" customFormat="1" ht="14.45"/>
    <row r="30" spans="4:14" customFormat="1" ht="14.45"/>
    <row r="31" spans="4:14" customFormat="1">
      <c r="D31" s="145" t="s">
        <v>324</v>
      </c>
      <c r="E31" s="145" t="s">
        <v>314</v>
      </c>
    </row>
    <row r="32" spans="4:14" customFormat="1">
      <c r="D32" s="151" t="s">
        <v>325</v>
      </c>
      <c r="E32" s="231">
        <v>1.4750000000000001</v>
      </c>
    </row>
    <row r="33" spans="1:19" customFormat="1">
      <c r="D33" s="151" t="s">
        <v>326</v>
      </c>
      <c r="E33" s="231">
        <v>1.49</v>
      </c>
    </row>
    <row r="34" spans="1:19" customFormat="1">
      <c r="D34" s="151" t="s">
        <v>327</v>
      </c>
      <c r="E34" s="231">
        <v>1.2330000000000001</v>
      </c>
    </row>
    <row r="35" spans="1:19" customFormat="1" ht="14.45"/>
    <row r="36" spans="1:19" customFormat="1" ht="14.45"/>
    <row r="37" spans="1:19" customFormat="1" ht="14.45"/>
    <row r="38" spans="1:19" customFormat="1" ht="14.45"/>
    <row r="39" spans="1:19" customFormat="1" ht="14.45"/>
    <row r="40" spans="1:19" s="7" customFormat="1" ht="15.6" customHeight="1">
      <c r="A40" s="49"/>
      <c r="B40" s="50"/>
      <c r="C40" s="50"/>
      <c r="D40" s="46" t="s">
        <v>23</v>
      </c>
      <c r="E40" s="45"/>
      <c r="F40" s="51"/>
      <c r="G40" s="51"/>
      <c r="H40" s="51"/>
      <c r="I40" s="51"/>
      <c r="J40" s="51"/>
      <c r="K40" s="51"/>
      <c r="L40" s="51"/>
      <c r="M40" s="51"/>
      <c r="N40" s="51"/>
      <c r="O40" s="51"/>
      <c r="P40" s="51"/>
      <c r="Q40" s="51"/>
      <c r="R40" s="51"/>
      <c r="S40" s="51"/>
    </row>
  </sheetData>
  <sheetProtection sheet="1" objects="1" scenarios="1"/>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8D2CA-802C-46A9-891D-2016F80840B1}">
  <sheetPr codeName="Sheet12">
    <tabColor theme="8" tint="-0.249977111117893"/>
  </sheetPr>
  <dimension ref="A1"/>
  <sheetViews>
    <sheetView showGridLines="0"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15473-2D4F-45C0-A8E2-DFA4864C0A07}">
  <sheetPr codeName="Sheet14">
    <tabColor theme="8" tint="0.59999389629810485"/>
  </sheetPr>
  <dimension ref="A1:T25"/>
  <sheetViews>
    <sheetView showGridLines="0" workbookViewId="0"/>
  </sheetViews>
  <sheetFormatPr defaultColWidth="8.7109375" defaultRowHeight="15.6"/>
  <cols>
    <col min="1" max="1" width="6.85546875" style="6" customWidth="1"/>
    <col min="2" max="2" width="1.5703125" style="7" customWidth="1"/>
    <col min="3" max="3" width="1.28515625" style="7" customWidth="1"/>
    <col min="4" max="4" width="42.7109375" style="8" customWidth="1"/>
    <col min="5" max="5" width="46.85546875" style="9" customWidth="1"/>
    <col min="6" max="7" width="20.5703125" style="10" customWidth="1"/>
    <col min="8" max="8" width="26.140625" style="10" bestFit="1" customWidth="1"/>
    <col min="9" max="9" width="19.85546875" style="10" customWidth="1"/>
    <col min="10" max="18" width="8.7109375" style="10"/>
    <col min="19" max="19" width="9" style="10" customWidth="1"/>
    <col min="20" max="20" width="4" style="7" customWidth="1"/>
    <col min="21" max="16384" width="8.7109375" style="10"/>
  </cols>
  <sheetData>
    <row r="1" spans="1:20" ht="26.1">
      <c r="A1" s="47" t="s">
        <v>328</v>
      </c>
      <c r="B1" s="35"/>
      <c r="C1" s="35"/>
      <c r="D1" s="36"/>
      <c r="E1" s="38"/>
    </row>
    <row r="2" spans="1:20" ht="18.95" customHeight="1">
      <c r="A2" s="48" t="s">
        <v>329</v>
      </c>
      <c r="B2" s="35"/>
      <c r="C2" s="35"/>
      <c r="D2" s="36"/>
      <c r="E2" s="38"/>
    </row>
    <row r="3" spans="1:20" ht="17.45" customHeight="1"/>
    <row r="4" spans="1:20" ht="15.6" customHeight="1">
      <c r="A4" s="49"/>
      <c r="B4" s="50"/>
      <c r="C4" s="50"/>
      <c r="D4" s="46" t="s">
        <v>11</v>
      </c>
      <c r="E4" s="45"/>
      <c r="F4" s="51"/>
      <c r="G4" s="51"/>
      <c r="H4" s="51"/>
      <c r="I4" s="51"/>
      <c r="J4" s="51"/>
      <c r="K4" s="51"/>
      <c r="L4" s="51"/>
      <c r="M4" s="51"/>
      <c r="N4" s="51"/>
      <c r="O4" s="51"/>
      <c r="P4" s="51"/>
      <c r="Q4" s="51"/>
      <c r="R4" s="51"/>
      <c r="S4" s="51"/>
    </row>
    <row r="5" spans="1:20">
      <c r="A5" s="12"/>
      <c r="B5" s="13"/>
      <c r="C5" s="13"/>
      <c r="D5" s="14"/>
      <c r="T5" s="13"/>
    </row>
    <row r="6" spans="1:20">
      <c r="A6" s="12"/>
      <c r="D6" s="76" t="s">
        <v>330</v>
      </c>
      <c r="E6" s="144">
        <f>I23</f>
        <v>0</v>
      </c>
    </row>
    <row r="7" spans="1:20">
      <c r="A7" s="12"/>
    </row>
    <row r="8" spans="1:20" ht="15.6" customHeight="1">
      <c r="A8" s="49"/>
      <c r="B8" s="50"/>
      <c r="C8" s="50"/>
      <c r="D8" s="46" t="s">
        <v>230</v>
      </c>
      <c r="E8" s="45"/>
      <c r="F8" s="51"/>
      <c r="G8" s="51"/>
      <c r="H8" s="51"/>
      <c r="I8" s="51"/>
      <c r="J8" s="51"/>
      <c r="K8" s="51"/>
      <c r="L8" s="51"/>
      <c r="M8" s="51"/>
      <c r="N8" s="51"/>
      <c r="O8" s="51"/>
      <c r="P8" s="51"/>
      <c r="Q8" s="51"/>
      <c r="R8" s="51"/>
      <c r="S8" s="51"/>
    </row>
    <row r="10" spans="1:20" s="20" customFormat="1" ht="30.95">
      <c r="A10" s="19"/>
      <c r="D10" s="145" t="s">
        <v>231</v>
      </c>
      <c r="E10" s="145" t="s">
        <v>232</v>
      </c>
      <c r="F10" s="145" t="s">
        <v>233</v>
      </c>
      <c r="G10" s="145" t="s">
        <v>331</v>
      </c>
      <c r="H10" s="145" t="s">
        <v>234</v>
      </c>
      <c r="I10" s="145" t="s">
        <v>332</v>
      </c>
      <c r="J10" s="10"/>
    </row>
    <row r="11" spans="1:20">
      <c r="A11" s="12"/>
      <c r="D11" s="29">
        <f>'AF - Basket of Fares'!D18</f>
        <v>0</v>
      </c>
      <c r="E11" s="29">
        <f>'AF - Basket of Fares'!E18</f>
        <v>0</v>
      </c>
      <c r="F11" s="29">
        <f>'AF - Basket of Fares'!F18</f>
        <v>0</v>
      </c>
      <c r="G11" s="30" t="str">
        <f>IF(F11=0,"",E11/F11)</f>
        <v/>
      </c>
      <c r="H11" s="146">
        <f>'AF - Basket of Fares'!G18</f>
        <v>0</v>
      </c>
      <c r="I11" s="30" t="str">
        <f>IF(OR(E11=0,F11=0,H11=0),"",H11*G11)</f>
        <v/>
      </c>
    </row>
    <row r="12" spans="1:20">
      <c r="A12" s="12"/>
      <c r="D12" s="29">
        <f>'AF - Basket of Fares'!D19</f>
        <v>0</v>
      </c>
      <c r="E12" s="29">
        <f>'AF - Basket of Fares'!E19</f>
        <v>0</v>
      </c>
      <c r="F12" s="29">
        <f>'AF - Basket of Fares'!F19</f>
        <v>0</v>
      </c>
      <c r="G12" s="30" t="str">
        <f>IF(F12=0,"",E12/F12)</f>
        <v/>
      </c>
      <c r="H12" s="146">
        <f>'AF - Basket of Fares'!G19</f>
        <v>0</v>
      </c>
      <c r="I12" s="30" t="str">
        <f t="shared" ref="I12:I21" si="0">IF(OR(E12=0,F12=0,H12=0),"",H12*G12)</f>
        <v/>
      </c>
    </row>
    <row r="13" spans="1:20">
      <c r="A13" s="12"/>
      <c r="D13" s="29">
        <f>'AF - Basket of Fares'!D20</f>
        <v>0</v>
      </c>
      <c r="E13" s="29">
        <f>'AF - Basket of Fares'!E20</f>
        <v>0</v>
      </c>
      <c r="F13" s="29">
        <f>'AF - Basket of Fares'!F20</f>
        <v>0</v>
      </c>
      <c r="G13" s="30" t="str">
        <f>IF(F13=0,"",E13/F13)</f>
        <v/>
      </c>
      <c r="H13" s="146">
        <f>'AF - Basket of Fares'!G20</f>
        <v>0</v>
      </c>
      <c r="I13" s="30" t="str">
        <f t="shared" si="0"/>
        <v/>
      </c>
    </row>
    <row r="14" spans="1:20">
      <c r="A14" s="12"/>
      <c r="D14" s="29">
        <f>'AF - Basket of Fares'!D21</f>
        <v>0</v>
      </c>
      <c r="E14" s="29">
        <f>'AF - Basket of Fares'!E21</f>
        <v>0</v>
      </c>
      <c r="F14" s="29">
        <f>'AF - Basket of Fares'!F21</f>
        <v>0</v>
      </c>
      <c r="G14" s="30" t="str">
        <f t="shared" ref="G14:G21" si="1">IF(F14=0,"",E14/F14)</f>
        <v/>
      </c>
      <c r="H14" s="146">
        <f>'AF - Basket of Fares'!G21</f>
        <v>0</v>
      </c>
      <c r="I14" s="30" t="str">
        <f t="shared" si="0"/>
        <v/>
      </c>
    </row>
    <row r="15" spans="1:20">
      <c r="A15" s="12"/>
      <c r="D15" s="29">
        <f>'AF - Basket of Fares'!D22</f>
        <v>0</v>
      </c>
      <c r="E15" s="29">
        <f>'AF - Basket of Fares'!E22</f>
        <v>0</v>
      </c>
      <c r="F15" s="29">
        <f>'AF - Basket of Fares'!F22</f>
        <v>0</v>
      </c>
      <c r="G15" s="30" t="str">
        <f t="shared" si="1"/>
        <v/>
      </c>
      <c r="H15" s="146">
        <f>'AF - Basket of Fares'!G22</f>
        <v>0</v>
      </c>
      <c r="I15" s="30" t="str">
        <f t="shared" si="0"/>
        <v/>
      </c>
    </row>
    <row r="16" spans="1:20">
      <c r="A16" s="12"/>
      <c r="D16" s="29">
        <f>'AF - Basket of Fares'!D23</f>
        <v>0</v>
      </c>
      <c r="E16" s="29">
        <f>'AF - Basket of Fares'!E23</f>
        <v>0</v>
      </c>
      <c r="F16" s="29">
        <f>'AF - Basket of Fares'!F23</f>
        <v>0</v>
      </c>
      <c r="G16" s="30" t="str">
        <f>IF(F16=0,"",E16/F16)</f>
        <v/>
      </c>
      <c r="H16" s="146">
        <f>'AF - Basket of Fares'!G23</f>
        <v>0</v>
      </c>
      <c r="I16" s="30" t="str">
        <f t="shared" si="0"/>
        <v/>
      </c>
    </row>
    <row r="17" spans="1:19">
      <c r="A17" s="12"/>
      <c r="D17" s="29">
        <f>'AF - Basket of Fares'!D24</f>
        <v>0</v>
      </c>
      <c r="E17" s="29">
        <f>'AF - Basket of Fares'!E24</f>
        <v>0</v>
      </c>
      <c r="F17" s="29">
        <f>'AF - Basket of Fares'!F24</f>
        <v>0</v>
      </c>
      <c r="G17" s="30" t="str">
        <f t="shared" si="1"/>
        <v/>
      </c>
      <c r="H17" s="146">
        <f>'AF - Basket of Fares'!G24</f>
        <v>0</v>
      </c>
      <c r="I17" s="30" t="str">
        <f t="shared" si="0"/>
        <v/>
      </c>
    </row>
    <row r="18" spans="1:19">
      <c r="A18" s="12"/>
      <c r="D18" s="29">
        <f>'AF - Basket of Fares'!D25</f>
        <v>0</v>
      </c>
      <c r="E18" s="29">
        <f>'AF - Basket of Fares'!E25</f>
        <v>0</v>
      </c>
      <c r="F18" s="29">
        <f>'AF - Basket of Fares'!F25</f>
        <v>0</v>
      </c>
      <c r="G18" s="30" t="str">
        <f t="shared" si="1"/>
        <v/>
      </c>
      <c r="H18" s="146">
        <f>'AF - Basket of Fares'!G25</f>
        <v>0</v>
      </c>
      <c r="I18" s="30" t="str">
        <f t="shared" si="0"/>
        <v/>
      </c>
    </row>
    <row r="19" spans="1:19">
      <c r="A19" s="12"/>
      <c r="D19" s="29">
        <f>'AF - Basket of Fares'!D26</f>
        <v>0</v>
      </c>
      <c r="E19" s="29">
        <f>'AF - Basket of Fares'!E26</f>
        <v>0</v>
      </c>
      <c r="F19" s="29">
        <f>'AF - Basket of Fares'!F26</f>
        <v>0</v>
      </c>
      <c r="G19" s="30" t="str">
        <f t="shared" si="1"/>
        <v/>
      </c>
      <c r="H19" s="146">
        <f>'AF - Basket of Fares'!G26</f>
        <v>0</v>
      </c>
      <c r="I19" s="30" t="str">
        <f t="shared" si="0"/>
        <v/>
      </c>
    </row>
    <row r="20" spans="1:19">
      <c r="A20" s="12"/>
      <c r="D20" s="29">
        <f>'AF - Basket of Fares'!D27</f>
        <v>0</v>
      </c>
      <c r="E20" s="29">
        <f>'AF - Basket of Fares'!E27</f>
        <v>0</v>
      </c>
      <c r="F20" s="29">
        <f>'AF - Basket of Fares'!F27</f>
        <v>0</v>
      </c>
      <c r="G20" s="30" t="str">
        <f t="shared" si="1"/>
        <v/>
      </c>
      <c r="H20" s="146">
        <f>'AF - Basket of Fares'!G27</f>
        <v>0</v>
      </c>
      <c r="I20" s="30" t="str">
        <f t="shared" si="0"/>
        <v/>
      </c>
    </row>
    <row r="21" spans="1:19">
      <c r="A21" s="12"/>
      <c r="D21" s="29">
        <f>'AF - Basket of Fares'!D28</f>
        <v>0</v>
      </c>
      <c r="E21" s="29">
        <f>'AF - Basket of Fares'!E28</f>
        <v>0</v>
      </c>
      <c r="F21" s="29">
        <f>'AF - Basket of Fares'!F28</f>
        <v>0</v>
      </c>
      <c r="G21" s="30" t="str">
        <f t="shared" si="1"/>
        <v/>
      </c>
      <c r="H21" s="146">
        <f>'AF - Basket of Fares'!G28</f>
        <v>0</v>
      </c>
      <c r="I21" s="30" t="str">
        <f t="shared" si="0"/>
        <v/>
      </c>
    </row>
    <row r="22" spans="1:19">
      <c r="A22" s="12"/>
      <c r="D22" s="147" t="s">
        <v>333</v>
      </c>
      <c r="E22" s="10"/>
      <c r="H22" s="148">
        <f>SUM(H11:H21)</f>
        <v>0</v>
      </c>
    </row>
    <row r="23" spans="1:19">
      <c r="A23" s="12"/>
      <c r="D23" s="147" t="s">
        <v>334</v>
      </c>
      <c r="E23" s="10"/>
      <c r="H23" s="223" t="str">
        <f>IF(AND(AF_Method="Basket of Fares Method",'Basket of Fares - Calculations'!H22&lt;&gt;1),"Total does not add to 100%","")</f>
        <v/>
      </c>
      <c r="I23" s="149">
        <f>SUM(I11:I21)</f>
        <v>0</v>
      </c>
    </row>
    <row r="25" spans="1:19" ht="15.6" customHeight="1">
      <c r="A25" s="49"/>
      <c r="B25" s="50"/>
      <c r="C25" s="50"/>
      <c r="D25" s="46" t="s">
        <v>23</v>
      </c>
      <c r="E25" s="45"/>
      <c r="F25" s="51"/>
      <c r="G25" s="51"/>
      <c r="H25" s="51"/>
      <c r="I25" s="51"/>
      <c r="J25" s="51"/>
      <c r="K25" s="51"/>
      <c r="L25" s="51"/>
      <c r="M25" s="51"/>
      <c r="N25" s="51"/>
      <c r="O25" s="51"/>
      <c r="P25" s="51"/>
      <c r="Q25" s="51"/>
      <c r="R25" s="51"/>
      <c r="S25" s="51"/>
    </row>
  </sheetData>
  <sheetProtection sheet="1" objects="1" scenarios="1"/>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3319F-751A-4B4E-B2C5-0456DBBEF5FE}">
  <sheetPr codeName="Sheet13">
    <tabColor theme="8" tint="0.59999389629810485"/>
  </sheetPr>
  <dimension ref="A1:T108"/>
  <sheetViews>
    <sheetView showGridLines="0" workbookViewId="0"/>
  </sheetViews>
  <sheetFormatPr defaultColWidth="8.7109375" defaultRowHeight="15.6"/>
  <cols>
    <col min="1" max="1" width="6.85546875" style="6" customWidth="1"/>
    <col min="2" max="2" width="1.5703125" style="7" customWidth="1"/>
    <col min="3" max="3" width="1.28515625" style="7" customWidth="1"/>
    <col min="4" max="4" width="39.42578125" style="8" customWidth="1"/>
    <col min="5" max="5" width="30.140625" style="9" customWidth="1"/>
    <col min="6" max="6" width="14.42578125" style="10" bestFit="1" customWidth="1"/>
    <col min="7" max="7" width="24.5703125" style="10" bestFit="1" customWidth="1"/>
    <col min="8" max="8" width="8.5703125" style="10" bestFit="1" customWidth="1"/>
    <col min="9" max="9" width="17.85546875" style="10" bestFit="1" customWidth="1"/>
    <col min="10" max="10" width="5" style="10" bestFit="1" customWidth="1"/>
    <col min="11" max="19" width="8.7109375" style="10"/>
    <col min="20" max="20" width="2.140625" style="7" customWidth="1"/>
    <col min="21" max="16384" width="8.7109375" style="10"/>
  </cols>
  <sheetData>
    <row r="1" spans="1:20" ht="26.1">
      <c r="A1" s="47" t="s">
        <v>335</v>
      </c>
      <c r="B1" s="35"/>
      <c r="C1" s="35"/>
      <c r="D1" s="36"/>
      <c r="E1" s="38"/>
      <c r="F1" s="39"/>
    </row>
    <row r="2" spans="1:20" ht="18.95" customHeight="1">
      <c r="A2" s="48" t="s">
        <v>336</v>
      </c>
      <c r="B2" s="35"/>
      <c r="C2" s="35"/>
      <c r="D2" s="36"/>
      <c r="E2" s="38"/>
      <c r="F2" s="39"/>
    </row>
    <row r="3" spans="1:20" ht="17.45" customHeight="1"/>
    <row r="4" spans="1:20" ht="15.6" customHeight="1">
      <c r="A4" s="43"/>
      <c r="B4" s="31"/>
      <c r="C4" s="31"/>
      <c r="D4" s="46" t="s">
        <v>11</v>
      </c>
      <c r="E4" s="38"/>
      <c r="F4" s="39"/>
      <c r="G4" s="39"/>
      <c r="H4" s="39"/>
      <c r="I4" s="39"/>
      <c r="J4" s="39"/>
      <c r="K4" s="39"/>
      <c r="L4" s="39"/>
      <c r="M4" s="39"/>
      <c r="N4" s="39"/>
      <c r="O4" s="39"/>
      <c r="P4" s="39"/>
      <c r="Q4" s="39"/>
      <c r="R4" s="39"/>
      <c r="S4" s="39"/>
    </row>
    <row r="5" spans="1:20">
      <c r="A5" s="12"/>
      <c r="B5" s="13"/>
      <c r="C5" s="13"/>
      <c r="D5" s="14"/>
      <c r="T5" s="13"/>
    </row>
    <row r="6" spans="1:20">
      <c r="A6" s="12"/>
      <c r="D6" s="76" t="s">
        <v>337</v>
      </c>
      <c r="E6" s="77" t="str">
        <f>IF(OR($E$22=0,$E$46=0),"",E46-(E46*E51))</f>
        <v/>
      </c>
    </row>
    <row r="7" spans="1:20">
      <c r="A7" s="12"/>
    </row>
    <row r="8" spans="1:20">
      <c r="A8" s="12"/>
      <c r="D8" s="306" t="s">
        <v>338</v>
      </c>
      <c r="E8" s="307"/>
      <c r="F8" s="307"/>
    </row>
    <row r="9" spans="1:20">
      <c r="A9" s="12"/>
      <c r="D9" s="308" t="s">
        <v>339</v>
      </c>
      <c r="E9" s="309" t="s">
        <v>340</v>
      </c>
      <c r="F9" s="310" t="str">
        <f>IF(OR($E$22=0,$E$46=0),"",E106/SUM($E$106:$G$106))</f>
        <v/>
      </c>
    </row>
    <row r="10" spans="1:20">
      <c r="A10" s="12"/>
      <c r="D10" s="311"/>
      <c r="E10" s="309" t="s">
        <v>341</v>
      </c>
      <c r="F10" s="310" t="str">
        <f>IF(OR($E$22=0,$E$46=0),"",F106/SUM($E$106:$G$106))</f>
        <v/>
      </c>
    </row>
    <row r="11" spans="1:20">
      <c r="A11" s="12"/>
      <c r="D11" s="312"/>
      <c r="E11" s="309" t="s">
        <v>342</v>
      </c>
      <c r="F11" s="310" t="str">
        <f>IF(OR($E$22=0,$E$46=0),"",G106/SUM($E$106:$G$106))</f>
        <v/>
      </c>
    </row>
    <row r="12" spans="1:20">
      <c r="A12" s="314" t="s">
        <v>97</v>
      </c>
      <c r="D12" s="308" t="s">
        <v>343</v>
      </c>
      <c r="E12" s="309" t="s">
        <v>340</v>
      </c>
      <c r="F12" s="310" t="str">
        <f>IF(OR($E$22=0,$E$46=0),"",E105/SUM($E$105:$G$105))</f>
        <v/>
      </c>
    </row>
    <row r="13" spans="1:20">
      <c r="A13" s="12"/>
      <c r="D13" s="311"/>
      <c r="E13" s="309" t="s">
        <v>341</v>
      </c>
      <c r="F13" s="310" t="str">
        <f>IF(OR($E$22=0,$E$46=0),"",F105/SUM($E$105:$G$105))</f>
        <v/>
      </c>
    </row>
    <row r="14" spans="1:20">
      <c r="A14" s="12"/>
      <c r="D14" s="312"/>
      <c r="E14" s="309" t="s">
        <v>342</v>
      </c>
      <c r="F14" s="310" t="str">
        <f>IF(OR($E$22=0,$E$46=0),"",G105/SUM($E$105:$G$105))</f>
        <v/>
      </c>
    </row>
    <row r="15" spans="1:20">
      <c r="A15" s="12"/>
    </row>
    <row r="16" spans="1:20">
      <c r="A16" s="12"/>
      <c r="D16" s="76" t="s">
        <v>344</v>
      </c>
      <c r="E16" s="77" t="str">
        <f>IF(OR($E$22=0,$E$46=0),"",E108)</f>
        <v/>
      </c>
    </row>
    <row r="17" spans="1:19">
      <c r="A17" s="12"/>
    </row>
    <row r="18" spans="1:19" ht="15.6" customHeight="1">
      <c r="A18" s="43"/>
      <c r="B18" s="31"/>
      <c r="C18" s="31"/>
      <c r="D18" s="46" t="s">
        <v>345</v>
      </c>
      <c r="E18" s="38"/>
      <c r="F18" s="39"/>
      <c r="G18" s="39"/>
      <c r="H18" s="39"/>
      <c r="I18" s="39"/>
      <c r="J18" s="39"/>
      <c r="K18" s="39"/>
      <c r="L18" s="39"/>
      <c r="M18" s="39"/>
      <c r="N18" s="39"/>
      <c r="O18" s="39"/>
      <c r="P18" s="39"/>
      <c r="Q18" s="39"/>
      <c r="R18" s="39"/>
      <c r="S18" s="39"/>
    </row>
    <row r="19" spans="1:19">
      <c r="A19" s="12"/>
    </row>
    <row r="20" spans="1:19" ht="38.1" customHeight="1">
      <c r="A20" s="12"/>
      <c r="D20" s="78" t="s">
        <v>346</v>
      </c>
      <c r="E20" s="77">
        <f>'General Inputs'!F14</f>
        <v>0</v>
      </c>
    </row>
    <row r="21" spans="1:19">
      <c r="A21" s="12"/>
      <c r="D21" s="78" t="s">
        <v>237</v>
      </c>
      <c r="E21" s="77" t="str">
        <f>IF(AF_Method=Lists!D30,'AF - Discount Factor'!E17,IF(AF_Method=Lists!D31,'AF - Discount Factor'!E28,""))</f>
        <v/>
      </c>
    </row>
    <row r="22" spans="1:19">
      <c r="A22" s="12"/>
      <c r="D22" s="78" t="s">
        <v>347</v>
      </c>
      <c r="E22" s="207">
        <f>IF(OR(E20=Lists!D30,E20=Lists!D31),1,0)</f>
        <v>0</v>
      </c>
    </row>
    <row r="23" spans="1:19">
      <c r="A23" s="12"/>
    </row>
    <row r="24" spans="1:19" ht="15.6" customHeight="1">
      <c r="A24" s="43"/>
      <c r="B24" s="31"/>
      <c r="C24" s="31"/>
      <c r="D24" s="46" t="str">
        <f>Lists!D31</f>
        <v>Discount Factor Method (use template to calculate fares changes)</v>
      </c>
      <c r="E24" s="38"/>
      <c r="F24" s="39"/>
      <c r="G24" s="39"/>
      <c r="H24" s="39"/>
      <c r="I24" s="39"/>
      <c r="J24" s="39"/>
      <c r="K24" s="39"/>
      <c r="L24" s="39"/>
      <c r="M24" s="39"/>
      <c r="N24" s="39"/>
      <c r="O24" s="39"/>
      <c r="P24" s="39"/>
      <c r="Q24" s="39"/>
      <c r="R24" s="39"/>
      <c r="S24" s="39"/>
    </row>
    <row r="25" spans="1:19">
      <c r="A25" s="12"/>
    </row>
    <row r="26" spans="1:19">
      <c r="A26" s="12"/>
      <c r="D26" s="78" t="s">
        <v>347</v>
      </c>
      <c r="E26" s="207">
        <f>IF(E20=D24,1,0)</f>
        <v>0</v>
      </c>
    </row>
    <row r="27" spans="1:19">
      <c r="A27" s="12"/>
    </row>
    <row r="28" spans="1:19">
      <c r="A28" s="12"/>
      <c r="D28" s="76" t="s">
        <v>348</v>
      </c>
      <c r="E28" s="17"/>
      <c r="F28" s="17"/>
    </row>
    <row r="29" spans="1:19">
      <c r="A29" s="12"/>
      <c r="D29" s="79" t="str">
        <f>IF($E$26=0,"",'AF - Discount Factor'!E32*'AF - Discount Factor'!F32)</f>
        <v/>
      </c>
    </row>
    <row r="30" spans="1:19">
      <c r="A30" s="12"/>
      <c r="D30" s="80" t="str">
        <f>IF($E$26=0,"",'AF - Discount Factor'!E33*'AF - Discount Factor'!F33)</f>
        <v/>
      </c>
    </row>
    <row r="31" spans="1:19">
      <c r="A31" s="12"/>
      <c r="D31" s="80" t="str">
        <f>IF($E$26=0,"",'AF - Discount Factor'!E34*'AF - Discount Factor'!F34)</f>
        <v/>
      </c>
    </row>
    <row r="32" spans="1:19">
      <c r="A32" s="12"/>
      <c r="D32" s="80" t="str">
        <f>IF($E$26=0,"",'AF - Discount Factor'!E35*'AF - Discount Factor'!F35)</f>
        <v/>
      </c>
    </row>
    <row r="33" spans="1:19">
      <c r="A33" s="12"/>
      <c r="D33" s="80" t="str">
        <f>IF($E$26=0,"",'AF - Discount Factor'!E36*'AF - Discount Factor'!F36)</f>
        <v/>
      </c>
    </row>
    <row r="34" spans="1:19">
      <c r="A34" s="12"/>
      <c r="D34" s="80" t="str">
        <f>IF($E$26=0,"",'AF - Discount Factor'!E37*'AF - Discount Factor'!F37)</f>
        <v/>
      </c>
    </row>
    <row r="35" spans="1:19">
      <c r="A35" s="12"/>
      <c r="D35" s="80" t="str">
        <f>IF($E$26=0,"",'AF - Discount Factor'!E38*'AF - Discount Factor'!F38)</f>
        <v/>
      </c>
    </row>
    <row r="36" spans="1:19">
      <c r="A36" s="12"/>
      <c r="D36" s="81" t="str">
        <f>IF($E$26=0,"",'AF - Discount Factor'!E39*'AF - Discount Factor'!F39)</f>
        <v/>
      </c>
    </row>
    <row r="37" spans="1:19">
      <c r="A37" s="12"/>
    </row>
    <row r="38" spans="1:19">
      <c r="A38" s="12"/>
      <c r="E38" s="125" t="s">
        <v>349</v>
      </c>
      <c r="F38" s="126" t="s">
        <v>350</v>
      </c>
      <c r="G38" s="127" t="s">
        <v>351</v>
      </c>
    </row>
    <row r="39" spans="1:19">
      <c r="A39" s="12"/>
      <c r="D39" s="90" t="s">
        <v>300</v>
      </c>
      <c r="E39" s="82" t="str">
        <f>IF(E26=0,"",SUM(D29:D36))</f>
        <v/>
      </c>
      <c r="F39" s="83" t="str">
        <f>IF(E26=0,"",SUM('AF - Discount Factor'!G32:G39))</f>
        <v/>
      </c>
      <c r="G39" s="84" t="str">
        <f>IF(E26=0,"",IF(E39=0,"",F39/E39))</f>
        <v/>
      </c>
    </row>
    <row r="40" spans="1:19">
      <c r="A40" s="12"/>
      <c r="D40" s="91" t="s">
        <v>352</v>
      </c>
      <c r="E40" s="85" t="str">
        <f>IF(E26=0,"",SUM('AF - Discount Factor'!E43:E50))</f>
        <v/>
      </c>
      <c r="F40" s="25" t="str">
        <f>IF(E26=0,"",SUM('AF - Discount Factor'!F43:F50))</f>
        <v/>
      </c>
      <c r="G40" s="86" t="str">
        <f>IF(E26=0,"",IF(E40=0,0,F40/E40))</f>
        <v/>
      </c>
    </row>
    <row r="41" spans="1:19">
      <c r="A41" s="12"/>
      <c r="D41" s="92" t="s">
        <v>295</v>
      </c>
      <c r="E41" s="87" t="str">
        <f>IF(E26=0,"",SUM('AF - Discount Factor'!E54:E61))</f>
        <v/>
      </c>
      <c r="F41" s="88" t="str">
        <f>IF(E26=0,"",SUM('AF - Discount Factor'!F54:F61))</f>
        <v/>
      </c>
      <c r="G41" s="89" t="str">
        <f>IF(E26=0,"",IF(E41=0,0,F41/E41))</f>
        <v/>
      </c>
    </row>
    <row r="42" spans="1:19">
      <c r="A42" s="12"/>
    </row>
    <row r="43" spans="1:19">
      <c r="A43" s="12"/>
    </row>
    <row r="44" spans="1:19" ht="15.6" customHeight="1">
      <c r="A44" s="43"/>
      <c r="B44" s="31"/>
      <c r="C44" s="31"/>
      <c r="D44" s="46" t="s">
        <v>353</v>
      </c>
      <c r="E44" s="38"/>
      <c r="F44" s="39"/>
      <c r="G44" s="39"/>
      <c r="H44" s="39"/>
      <c r="I44" s="39"/>
      <c r="J44" s="39"/>
      <c r="K44" s="39"/>
      <c r="L44" s="39"/>
      <c r="M44" s="39"/>
      <c r="N44" s="39"/>
      <c r="O44" s="39"/>
      <c r="P44" s="39"/>
      <c r="Q44" s="39"/>
      <c r="R44" s="39"/>
      <c r="S44" s="39"/>
    </row>
    <row r="46" spans="1:19">
      <c r="A46" s="12"/>
      <c r="D46" s="90" t="s">
        <v>238</v>
      </c>
      <c r="E46" s="93">
        <f>IF($E$26=0,'AF - Discount Factor'!E19,G39)</f>
        <v>0</v>
      </c>
    </row>
    <row r="47" spans="1:19">
      <c r="A47" s="12"/>
      <c r="D47" s="91" t="s">
        <v>239</v>
      </c>
      <c r="E47" s="94">
        <f>IF($E$26=0,'AF - Discount Factor'!E20,G40)</f>
        <v>0</v>
      </c>
    </row>
    <row r="48" spans="1:19">
      <c r="A48" s="12"/>
      <c r="D48" s="92" t="s">
        <v>240</v>
      </c>
      <c r="E48" s="95">
        <f>IF($E$26=0,'AF - Discount Factor'!E21,G41)</f>
        <v>0</v>
      </c>
    </row>
    <row r="49" spans="1:19">
      <c r="A49" s="12"/>
      <c r="E49" s="10"/>
    </row>
    <row r="50" spans="1:19">
      <c r="A50" s="12"/>
      <c r="D50" s="90" t="s">
        <v>354</v>
      </c>
      <c r="E50" s="96" t="str">
        <f>IF(OR($E$22=0,$E$46=0),"",I66)</f>
        <v/>
      </c>
    </row>
    <row r="51" spans="1:19">
      <c r="A51" s="12"/>
      <c r="D51" s="92" t="s">
        <v>355</v>
      </c>
      <c r="E51" s="97" t="str">
        <f>IF(OR($E$22=0,$E$46=0),"",E108)</f>
        <v/>
      </c>
    </row>
    <row r="52" spans="1:19">
      <c r="A52" s="12"/>
      <c r="D52" s="16"/>
      <c r="E52" s="10"/>
    </row>
    <row r="53" spans="1:19" ht="15.6" customHeight="1">
      <c r="A53" s="43"/>
      <c r="B53" s="31"/>
      <c r="C53" s="31"/>
      <c r="D53" s="46" t="s">
        <v>356</v>
      </c>
      <c r="E53" s="38"/>
      <c r="F53" s="39"/>
      <c r="G53" s="39"/>
      <c r="H53" s="39"/>
      <c r="I53" s="39"/>
      <c r="J53" s="39"/>
      <c r="K53" s="39"/>
      <c r="L53" s="39"/>
      <c r="M53" s="39"/>
      <c r="N53" s="39"/>
      <c r="O53" s="39"/>
      <c r="P53" s="39"/>
      <c r="Q53" s="39"/>
      <c r="R53" s="39"/>
      <c r="S53" s="39"/>
    </row>
    <row r="54" spans="1:19">
      <c r="A54" s="12"/>
      <c r="D54" s="206"/>
      <c r="E54" s="10"/>
    </row>
    <row r="55" spans="1:19">
      <c r="A55" s="12"/>
      <c r="D55" s="16"/>
      <c r="E55" s="98" t="s">
        <v>357</v>
      </c>
      <c r="F55" s="99" t="s">
        <v>358</v>
      </c>
      <c r="G55" s="99" t="s">
        <v>359</v>
      </c>
      <c r="H55" s="100" t="s">
        <v>308</v>
      </c>
    </row>
    <row r="56" spans="1:19">
      <c r="A56" s="12"/>
      <c r="D56" s="90" t="s">
        <v>360</v>
      </c>
      <c r="E56" s="101" t="str">
        <f>IF(OR($E$22=0,$E$46=0),"",E47/E$46)</f>
        <v/>
      </c>
      <c r="F56" s="102" t="str">
        <f>IF(OR($E$22=0,$E$46=0),"",ROUNDDOWN(E56,0))</f>
        <v/>
      </c>
      <c r="G56" s="102" t="str">
        <f>IF(OR($E$22=0,$E$46=0),"",ROUNDUP(E56,0))</f>
        <v/>
      </c>
      <c r="H56" s="103" t="str">
        <f>IF(OR($E$22=0,$E$46=0),"",E56-F56)</f>
        <v/>
      </c>
    </row>
    <row r="57" spans="1:19" ht="14.45" customHeight="1">
      <c r="A57" s="12"/>
      <c r="D57" s="92" t="s">
        <v>361</v>
      </c>
      <c r="E57" s="104" t="str">
        <f>IF(OR($E$22=0,$E$46=0),"",E48/E$46)</f>
        <v/>
      </c>
      <c r="F57" s="105" t="str">
        <f>IF(OR($E$22=0,$E$46=0),"",ROUNDDOWN(E57,0))</f>
        <v/>
      </c>
      <c r="G57" s="105" t="str">
        <f>IF(OR($E$22=0,$E$46=0),"",ROUNDUP(E57,0))</f>
        <v/>
      </c>
      <c r="H57" s="106" t="str">
        <f>IF(OR($E$22=0,$E$46=0),"",E57-F57)</f>
        <v/>
      </c>
    </row>
    <row r="58" spans="1:19">
      <c r="A58" s="12"/>
      <c r="D58" s="16"/>
      <c r="E58" s="10"/>
      <c r="I58" s="76" t="s">
        <v>362</v>
      </c>
    </row>
    <row r="59" spans="1:19">
      <c r="A59" s="12"/>
      <c r="D59" s="90" t="s">
        <v>302</v>
      </c>
      <c r="E59" s="10"/>
      <c r="F59" s="111" t="str">
        <f>IF(OR($E$22=0,$E$46=0),"",IF($E$47=0,INDEX('Lookup Table'!$I$13:$I$54,MATCH(F$57,'Lookup Table'!$D$13:$D$54,0)),INDEX('Lookup Table'!$AD$13:$AM$54,MATCH($F$57,'Lookup Table'!$D$13:$D$54,0),MATCH(F$56,'Lookup Table'!$AD$12:$AM$12,0))
+$H57
*(INDEX('Lookup Table'!$AD$13:$AM$54,MATCH($G$57,'Lookup Table'!$D$13:$D$54,0),MATCH(F$56,'Lookup Table'!$AD$12:$AM$12,0))-
INDEX('Lookup Table'!$AD$13:$AM$54,MATCH($F$57,'Lookup Table'!$D$13:$D$54,0),MATCH(F$56,'Lookup Table'!$AD$12:$AM$12,0)))))</f>
        <v/>
      </c>
      <c r="G59" s="112" t="str">
        <f>IF(OR($E$22=0,$E$46=0),"",IF($E$47=0,INDEX('Lookup Table'!$I$13:$I$54,MATCH(G$57,'Lookup Table'!$D$13:$D$54,0)),INDEX('Lookup Table'!$AD$13:$AM$54,MATCH($F$57,'Lookup Table'!$D$13:$D$54,0),MATCH(G$56,'Lookup Table'!$AD$12:$AM$12,0))
+$H57
*(INDEX('Lookup Table'!$AD$13:$AM$54,MATCH($G$57,'Lookup Table'!$D$13:$D$54,0),MATCH(G$56,'Lookup Table'!$AD$12:$AM$12,0))-
INDEX('Lookup Table'!$AD$13:$AM$54,MATCH($F$57,'Lookup Table'!$D$13:$D$54,0),MATCH(G$56,'Lookup Table'!$AD$12:$AM$12,0)))))</f>
        <v/>
      </c>
      <c r="H59" s="113" t="str">
        <f>IF(H56=0,H57,H56)</f>
        <v/>
      </c>
      <c r="I59" s="121" t="str">
        <f>IF(OR($E$22=0,$E$46=0),"",F59+H59*(G59-F59))</f>
        <v/>
      </c>
    </row>
    <row r="60" spans="1:19">
      <c r="A60" s="12"/>
      <c r="D60" s="91" t="s">
        <v>298</v>
      </c>
      <c r="E60" s="10"/>
      <c r="F60" s="114" t="str">
        <f>IF(OR($E$22=0,$E$46=0),"",IF($E$47=0,0,INDEX('Lookup Table'!$J$13:$S$54,MATCH($F$57,'Lookup Table'!$D$13:$D$54,0),MATCH(F$56,'Lookup Table'!$J$12:$S$12,0))
+$H57*(INDEX('Lookup Table'!$J$13:$S$54,MATCH($G$57,'Lookup Table'!$D$13:$D$54,0),MATCH(F$56,'Lookup Table'!$J$12:$S$12,0))-
INDEX('Lookup Table'!$J$13:$S$54,MATCH($F$57,'Lookup Table'!$D$13:$D$54,0),MATCH(F$56,'Lookup Table'!$J$12:$S$12,0)))))</f>
        <v/>
      </c>
      <c r="G60" s="26" t="str">
        <f>IF(OR($E$22=0,$E$46=0),"",IF($E$47=0,0,INDEX('Lookup Table'!$J$13:$S$54,MATCH($F$57,'Lookup Table'!$D$13:$D$54,0),MATCH(G$56,'Lookup Table'!$J$12:$S$12,0))
+$H57
*(INDEX('Lookup Table'!$J$13:$S$54,MATCH($G$57,'Lookup Table'!$D$13:$D$54,0),MATCH(G$56,'Lookup Table'!$J$12:$S$12,0))-
INDEX('Lookup Table'!$J$13:$S$54,MATCH($F$57,'Lookup Table'!$D$13:$D$54,0),MATCH(G$56,'Lookup Table'!$J$12:$S$12,0)))))</f>
        <v/>
      </c>
      <c r="H60" s="115" t="str">
        <f>H59</f>
        <v/>
      </c>
      <c r="I60" s="122" t="str">
        <f>IF(OR($E$22=0,$E$46=0),"",F60+H60*(G60-F60))</f>
        <v/>
      </c>
    </row>
    <row r="61" spans="1:19">
      <c r="A61" s="12"/>
      <c r="D61" s="91" t="s">
        <v>299</v>
      </c>
      <c r="E61" s="10"/>
      <c r="F61" s="114" t="str">
        <f>IF(OR($E$22=0,$E$46=0),"",IF($E$47=0,0,INDEX('Lookup Table'!$T$13:$AC$54,MATCH($F$57,'Lookup Table'!$D$13:$D$54,0),MATCH(F$56,'Lookup Table'!$T$12:$AC$12,0))
+$H57
*(INDEX('Lookup Table'!$T$13:$AC$54,MATCH($G$57,'Lookup Table'!$D$13:$D$54,0),MATCH(F$56,'Lookup Table'!$T$12:$AC$12,0))-
INDEX('Lookup Table'!$T$13:$AC$54,MATCH($F$57,'Lookup Table'!$D$13:$D$54,0),MATCH(F$56,'Lookup Table'!$T$12:$AC$12,0)))))</f>
        <v/>
      </c>
      <c r="G61" s="26" t="str">
        <f>IF(OR($E$22=0,$E$46=0),"",IF($E$47=0,0,INDEX('Lookup Table'!$T$13:$AC$54,MATCH($F$57,'Lookup Table'!$D$13:$D$54,0),MATCH(G$56,'Lookup Table'!$T$12:$AC$12,0))
+$H57
*(INDEX('Lookup Table'!$T$13:$AC$54,MATCH($G$57,'Lookup Table'!$D$13:$D$54,0),MATCH(G$56,'Lookup Table'!$T$12:$AC$12,0))-
INDEX('Lookup Table'!$T$13:$AC$54,MATCH($F$57,'Lookup Table'!$D$13:$D$54,0),MATCH(G$56,'Lookup Table'!$T$12:$AC$12,0)))))</f>
        <v/>
      </c>
      <c r="H61" s="115" t="str">
        <f>H60</f>
        <v/>
      </c>
      <c r="I61" s="122" t="str">
        <f>IF(OR($E$22=0,$E$46=0),"",F61+H61*(G61-F61))</f>
        <v/>
      </c>
    </row>
    <row r="62" spans="1:19">
      <c r="A62" s="12"/>
      <c r="D62" s="91" t="s">
        <v>295</v>
      </c>
      <c r="E62" s="10"/>
      <c r="F62" s="114" t="str">
        <f>IF(OR($E$22=0,$E$46=0),"",INDEX('Lookup Table'!$E$13:$E$54,MATCH(F$57,'Lookup Table'!$D$13:$D$54,0)))</f>
        <v/>
      </c>
      <c r="G62" s="26" t="str">
        <f>IF(OR($E$22=0,$E$46=0),"",INDEX('Lookup Table'!$E$13:$E$54,MATCH(G$57,'Lookup Table'!$D$13:$D$54,0)))</f>
        <v/>
      </c>
      <c r="H62" s="115" t="str">
        <f>$H$57</f>
        <v/>
      </c>
      <c r="I62" s="122" t="str">
        <f>IF(OR($E$22=0,$E$46=0),"",F62+H62*(G62-F62))</f>
        <v/>
      </c>
    </row>
    <row r="63" spans="1:19">
      <c r="A63" s="12"/>
      <c r="D63" s="92" t="s">
        <v>301</v>
      </c>
      <c r="E63" s="10"/>
      <c r="F63" s="116" t="str">
        <f>IF(OR($E$22=0,$E$46=0),"",INDEX('Lookup Table'!$F$13:$F$54,MATCH(F$57,'Lookup Table'!$D$13:$D$54,0)))</f>
        <v/>
      </c>
      <c r="G63" s="117" t="str">
        <f>IF(OR($E$22=0,$E$46=0),"",INDEX('Lookup Table'!$F$13:$F$54,MATCH(G$57,'Lookup Table'!$D$13:$D$54,0)))</f>
        <v/>
      </c>
      <c r="H63" s="118" t="str">
        <f>$H$57</f>
        <v/>
      </c>
      <c r="I63" s="123" t="str">
        <f>IF(OR($E$22=0,$E$46=0),"",F63+H63*(G63-F63))</f>
        <v/>
      </c>
    </row>
    <row r="64" spans="1:19">
      <c r="D64" s="76" t="s">
        <v>363</v>
      </c>
      <c r="F64" s="119" t="str">
        <f>IF(OR($E$22=0,$E$46=0),"",SUM(F59,F61,F63))</f>
        <v/>
      </c>
      <c r="G64" s="120" t="str">
        <f>IF(OR($E$22=0,$E$46=0),"",SUM(G59,G61,G63))</f>
        <v/>
      </c>
      <c r="H64" s="21"/>
      <c r="I64" s="124" t="str">
        <f>IF(OR($E$22=0,$E$46=0),"",SUM(I59,I61,I63))</f>
        <v/>
      </c>
    </row>
    <row r="66" spans="1:19">
      <c r="D66" s="76" t="s">
        <v>344</v>
      </c>
      <c r="F66" s="108" t="str">
        <f>IF(OR($E$22=0,$E$46=0),"",1-(F56*F60+F57*F62+F59)/F64)</f>
        <v/>
      </c>
      <c r="G66" s="109" t="str">
        <f>IF(OR($E$22=0,$E$46=0),"",1-(G56*G60+G57*G62+G59)/G64)</f>
        <v/>
      </c>
      <c r="H66" s="22"/>
      <c r="I66" s="110" t="str">
        <f>IF(OR($E$22=0,$E$46=0),"",1-(E56*I60+E57*I62+I59)/I64)</f>
        <v/>
      </c>
    </row>
    <row r="67" spans="1:19">
      <c r="D67" s="76" t="s">
        <v>364</v>
      </c>
      <c r="E67" s="107" t="str">
        <f>IF(OR($E$22=0,$E$46=0),"",AVERAGE(F66:G66))</f>
        <v/>
      </c>
    </row>
    <row r="69" spans="1:19" ht="15.6" customHeight="1">
      <c r="A69" s="43"/>
      <c r="B69" s="31"/>
      <c r="C69" s="31"/>
      <c r="D69" s="46" t="s">
        <v>365</v>
      </c>
      <c r="E69" s="38"/>
      <c r="F69" s="39"/>
      <c r="G69" s="39"/>
      <c r="H69" s="39"/>
      <c r="I69" s="39"/>
      <c r="J69" s="39"/>
      <c r="K69" s="39"/>
      <c r="L69" s="39"/>
      <c r="M69" s="39"/>
      <c r="N69" s="39"/>
      <c r="O69" s="39"/>
      <c r="P69" s="39"/>
      <c r="Q69" s="39"/>
      <c r="R69" s="39"/>
      <c r="S69" s="39"/>
    </row>
    <row r="71" spans="1:19">
      <c r="E71" s="125" t="s">
        <v>340</v>
      </c>
      <c r="F71" s="99" t="s">
        <v>341</v>
      </c>
      <c r="G71" s="100" t="s">
        <v>342</v>
      </c>
    </row>
    <row r="72" spans="1:19">
      <c r="D72" s="90" t="s">
        <v>366</v>
      </c>
      <c r="E72" s="82" t="str">
        <f>IF(OR($E$22=0,$E$46=0),"",'Calculation Parameters'!E9)</f>
        <v/>
      </c>
      <c r="F72" s="102" t="str">
        <f>IF(OR($E$22=0,$E$46=0),"",E56)</f>
        <v/>
      </c>
      <c r="G72" s="103" t="str">
        <f>IF(OR($E$22=0,$E$46=0),"",E57)</f>
        <v/>
      </c>
    </row>
    <row r="73" spans="1:19">
      <c r="D73" s="91" t="s">
        <v>367</v>
      </c>
      <c r="E73" s="128" t="str">
        <f>IF(OR($E$22=0,$E$46=0),"",E46)</f>
        <v/>
      </c>
      <c r="F73" s="27" t="str">
        <f>IF(OR($E$22=0,$E$46=0),"",E47)</f>
        <v/>
      </c>
      <c r="G73" s="129" t="str">
        <f>IF(OR($E$22=0,$E$46=0),"",E48)</f>
        <v/>
      </c>
    </row>
    <row r="74" spans="1:19">
      <c r="D74" s="91" t="s">
        <v>368</v>
      </c>
      <c r="E74" s="130" t="str">
        <f>IF(OR($E$22=0,$E$46=0),"",I59)</f>
        <v/>
      </c>
      <c r="F74" s="26" t="str">
        <f>IF(OR($E$22=0,$E$46=0),"",I60)</f>
        <v/>
      </c>
      <c r="G74" s="131" t="str">
        <f>IF(OR($E$22=0,$E$46=0),"",I62)</f>
        <v/>
      </c>
    </row>
    <row r="75" spans="1:19">
      <c r="D75" s="91" t="s">
        <v>369</v>
      </c>
      <c r="E75" s="130" t="str">
        <f>IF(OR($E$22=0,$E$46=0),"",I59)</f>
        <v/>
      </c>
      <c r="F75" s="26" t="str">
        <f>IF(OR($E$22=0,$E$46=0),"",I61)</f>
        <v/>
      </c>
      <c r="G75" s="131" t="str">
        <f>IF(OR($E$22=0,$E$46=0),"",I63)</f>
        <v/>
      </c>
    </row>
    <row r="76" spans="1:19">
      <c r="D76" s="91" t="s">
        <v>370</v>
      </c>
      <c r="E76" s="215" t="str">
        <f>IF(OR($E$22=0,$E$46=0),"",'Calculation Parameters'!E9)</f>
        <v/>
      </c>
      <c r="F76" s="209" t="str">
        <f>IF(OR($E$22=0,$E$46=0),"",IF(F74=0,0,F75/F74))</f>
        <v/>
      </c>
      <c r="G76" s="210" t="str">
        <f>IF(OR($E$22=0,$E$46=0),"",IF(G74=0,0,G75/G74))</f>
        <v/>
      </c>
    </row>
    <row r="77" spans="1:19">
      <c r="D77" s="92" t="s">
        <v>371</v>
      </c>
      <c r="E77" s="211" t="str">
        <f>IF(OR($E$22=0,$E$46=0),"",IF(E76=0,0,E73/E76))</f>
        <v/>
      </c>
      <c r="F77" s="212" t="str">
        <f>IF(OR($E$22=0,$E$46=0),"",IF(F76=0,0,F73/F76))</f>
        <v/>
      </c>
      <c r="G77" s="213" t="str">
        <f>IF(OR($E$22=0,$E$46=0),"",IF(G76=0,0,G73/G76))</f>
        <v/>
      </c>
    </row>
    <row r="79" spans="1:19" ht="15.6" customHeight="1">
      <c r="A79" s="43"/>
      <c r="B79" s="31"/>
      <c r="C79" s="31"/>
      <c r="D79" s="46" t="s">
        <v>372</v>
      </c>
      <c r="E79" s="38"/>
      <c r="F79" s="39"/>
      <c r="G79" s="39"/>
      <c r="H79" s="39"/>
      <c r="I79" s="39"/>
      <c r="J79" s="39"/>
      <c r="K79" s="39"/>
      <c r="L79" s="39"/>
      <c r="M79" s="39"/>
      <c r="N79" s="39"/>
      <c r="O79" s="39"/>
      <c r="P79" s="39"/>
      <c r="Q79" s="39"/>
      <c r="R79" s="39"/>
      <c r="S79" s="39"/>
    </row>
    <row r="81" spans="1:19">
      <c r="E81" s="125" t="s">
        <v>340</v>
      </c>
      <c r="F81" s="99" t="s">
        <v>341</v>
      </c>
      <c r="G81" s="100" t="s">
        <v>342</v>
      </c>
      <c r="I81" s="76" t="s">
        <v>308</v>
      </c>
      <c r="J81" s="229">
        <f>IF('Calculation Parameters'!$E$7='General Inputs'!$F$6,'Calculation Parameters'!$E$8,'Calculation Parameters'!$F$8)</f>
        <v>1.2</v>
      </c>
      <c r="K81"/>
      <c r="L81"/>
    </row>
    <row r="82" spans="1:19">
      <c r="D82" s="90" t="s">
        <v>219</v>
      </c>
      <c r="E82" s="132" t="str">
        <f>IF(OR($E$22=0,$E$46=0),"",EXP('RF - Calculations'!$E$20*((E77*'Inflation - Calculations'!$E$9/$J$81)^'RF - Calculations'!$E$19)))</f>
        <v/>
      </c>
      <c r="F82" s="133" t="str">
        <f>IF(OR($E$22=0,$E$46=0),"",EXP('RF - Calculations'!$E$20*((F77*'Inflation - Calculations'!$E$9/$J$81)^'RF - Calculations'!$E$19)))</f>
        <v/>
      </c>
      <c r="G82" s="134" t="str">
        <f>IF(OR($E$22=0,$E$46=0),"",EXP('RF - Calculations'!$E$20*((G77*'Inflation - Calculations'!$E$9/$J$81)^'RF - Calculations'!$E$19)))</f>
        <v/>
      </c>
      <c r="K82"/>
      <c r="L82"/>
    </row>
    <row r="83" spans="1:19">
      <c r="D83" s="92" t="s">
        <v>373</v>
      </c>
      <c r="E83" s="216" t="str">
        <f>IF(OR($E$22=0,$E$46=0),"",'Calculation Parameters'!E9)</f>
        <v/>
      </c>
      <c r="F83" s="105" t="str">
        <f>IF(OR($E$22=0,$E$46=0),"",(1+F82)*F72)</f>
        <v/>
      </c>
      <c r="G83" s="106" t="str">
        <f>IF(OR($E$22=0,$E$46=0),"",(1+G82)*G72)</f>
        <v/>
      </c>
    </row>
    <row r="85" spans="1:19" ht="15.6" customHeight="1">
      <c r="A85" s="43"/>
      <c r="B85" s="31"/>
      <c r="C85" s="31"/>
      <c r="D85" s="46" t="s">
        <v>374</v>
      </c>
      <c r="E85" s="38"/>
      <c r="F85" s="39"/>
      <c r="G85" s="39"/>
      <c r="H85" s="39"/>
      <c r="I85" s="39"/>
      <c r="J85" s="39"/>
      <c r="K85" s="39"/>
      <c r="L85" s="39"/>
      <c r="M85" s="39"/>
      <c r="N85" s="39"/>
      <c r="O85" s="39"/>
      <c r="P85" s="39"/>
      <c r="Q85" s="39"/>
      <c r="R85" s="39"/>
      <c r="S85" s="39"/>
    </row>
    <row r="87" spans="1:19">
      <c r="D87" s="16"/>
      <c r="E87" s="98" t="s">
        <v>357</v>
      </c>
      <c r="F87" s="99" t="s">
        <v>358</v>
      </c>
      <c r="G87" s="99" t="s">
        <v>359</v>
      </c>
      <c r="H87" s="100" t="s">
        <v>308</v>
      </c>
    </row>
    <row r="88" spans="1:19">
      <c r="D88" s="90" t="s">
        <v>360</v>
      </c>
      <c r="E88" s="101" t="str">
        <f>IF(OR($E$22=0,$E$46=0),"",F83)</f>
        <v/>
      </c>
      <c r="F88" s="102" t="str">
        <f>IF(OR($E$22=0,$E$46=0),"",ROUNDDOWN(E88,0))</f>
        <v/>
      </c>
      <c r="G88" s="102" t="str">
        <f>IF(OR($E$22=0,$E$46=0),"",ROUNDUP(E88,0))</f>
        <v/>
      </c>
      <c r="H88" s="103" t="str">
        <f>IF(OR($E$22=0,$E$46=0),"",E88-F88)</f>
        <v/>
      </c>
    </row>
    <row r="89" spans="1:19">
      <c r="D89" s="92" t="s">
        <v>361</v>
      </c>
      <c r="E89" s="104" t="str">
        <f>IF(OR($E$22=0,$E$46=0),"",G83)</f>
        <v/>
      </c>
      <c r="F89" s="105" t="str">
        <f>IF(OR($E$22=0,$E$46=0),"",ROUNDDOWN(E89,0))</f>
        <v/>
      </c>
      <c r="G89" s="105" t="str">
        <f>IF(OR($E$22=0,$E$46=0),"",ROUNDUP(E89,0))</f>
        <v/>
      </c>
      <c r="H89" s="106" t="str">
        <f>IF(OR($E$22=0,$E$46=0),"",E89-F89)</f>
        <v/>
      </c>
    </row>
    <row r="90" spans="1:19">
      <c r="D90" s="16"/>
      <c r="E90" s="10"/>
      <c r="I90" s="76" t="s">
        <v>362</v>
      </c>
    </row>
    <row r="91" spans="1:19">
      <c r="D91" s="90" t="s">
        <v>302</v>
      </c>
      <c r="E91" s="10"/>
      <c r="F91" s="111" t="str">
        <f>IF(OR($E$22=0,$E$46=0),"",IF($E$47=0,INDEX('Lookup Table'!$I$13:$I$54,MATCH(F$89,'Lookup Table'!$D$13:$D$54,0)),INDEX('Lookup Table'!$AD$13:$AM$54,MATCH($F$89,'Lookup Table'!$D$13:$D$54,0),MATCH(F$88,'Lookup Table'!$AD$12:$AM$12,0))
+$H89
*(INDEX('Lookup Table'!$AD$13:$AM$54,MATCH($G$89,'Lookup Table'!$D$13:$D$54,0),MATCH(F$88,'Lookup Table'!$AD$12:$AM$12,0))-
INDEX('Lookup Table'!$AD$13:$AM$54,MATCH($F$89,'Lookup Table'!$D$13:$D$54,0),MATCH(F$88,'Lookup Table'!$AD$12:$AM$12,0)))))</f>
        <v/>
      </c>
      <c r="G91" s="112" t="str">
        <f>IF(OR($E$22=0,$E$46=0),"",IF($E$47=0,INDEX('Lookup Table'!$I$13:$I$54,MATCH(G$89,'Lookup Table'!$D$13:$D$54,0)),INDEX('Lookup Table'!$AD$13:$AM$54,MATCH($F$89,'Lookup Table'!$D$13:$D$54,0),MATCH(G$88,'Lookup Table'!$AD$12:$AM$12,0))
+$H89
*(INDEX('Lookup Table'!$AD$13:$AM$54,MATCH($G$89,'Lookup Table'!$D$13:$D$54,0),MATCH(G$88,'Lookup Table'!$AD$12:$AM$12,0))-
INDEX('Lookup Table'!$AD$13:$AM$54,MATCH($F$89,'Lookup Table'!$D$13:$D$54,0),MATCH(G$88,'Lookup Table'!$AD$12:$AM$12,0)))))</f>
        <v/>
      </c>
      <c r="H91" s="113" t="str">
        <f>IF(OR($E$22=0,$E$46=0),"",IF(H88=0,H89,H88))</f>
        <v/>
      </c>
      <c r="I91" s="121" t="str">
        <f>IF(OR($E$22=0,$E$46=0),"",F91+H91*(G91-F91))</f>
        <v/>
      </c>
    </row>
    <row r="92" spans="1:19">
      <c r="D92" s="91" t="s">
        <v>298</v>
      </c>
      <c r="E92" s="10"/>
      <c r="F92" s="114" t="str">
        <f>IF(OR($E$22=0,$E$46=0),"",IF($E$47=0,0,INDEX('Lookup Table'!$J$13:$S$54,MATCH($F$89,'Lookup Table'!$D$13:$D$54,0),MATCH(F$88,'Lookup Table'!$J$12:$S$12,0))
+$H89
*(INDEX('Lookup Table'!$J$13:$S$54,MATCH($G$89,'Lookup Table'!$D$13:$D$54,0),MATCH(F$88,'Lookup Table'!$J$12:$S$12,0))-
INDEX('Lookup Table'!$J$13:$S$54,MATCH($F$89,'Lookup Table'!$D$13:$D$54,0),MATCH(F$88,'Lookup Table'!$J$12:$S$12,0)))))</f>
        <v/>
      </c>
      <c r="G92" s="26" t="str">
        <f>IF(OR($E$22=0,$E$46=0),"",IF($E$47=0,0,INDEX('Lookup Table'!$J$13:$S$54,MATCH($F$89,'Lookup Table'!$D$13:$D$54,0),MATCH(G$88,'Lookup Table'!$J$12:$S$12,0))
+$H89
*(INDEX('Lookup Table'!$J$13:$S$54,MATCH($G$89,'Lookup Table'!$D$13:$D$54,0),MATCH(G$88,'Lookup Table'!$J$12:$S$12,0))-
INDEX('Lookup Table'!$J$13:$S$54,MATCH($F$89,'Lookup Table'!$D$13:$D$54,0),MATCH(G$88,'Lookup Table'!$J$12:$S$12,0)))))</f>
        <v/>
      </c>
      <c r="H92" s="115" t="str">
        <f>IF(OR($E$22=0,$E$46=0),"",H91)</f>
        <v/>
      </c>
      <c r="I92" s="122" t="str">
        <f>IF(OR($E$22=0,$E$46=0),"",F92+H92*(G92-F92))</f>
        <v/>
      </c>
    </row>
    <row r="93" spans="1:19">
      <c r="D93" s="91" t="s">
        <v>299</v>
      </c>
      <c r="E93" s="10"/>
      <c r="F93" s="114" t="str">
        <f>IF(OR($E$22=0,$E$46=0),"",IF($E$47=0,0,INDEX('Lookup Table'!$T$13:$AC$54,MATCH($F$89,'Lookup Table'!$D$13:$D$54,0),MATCH(F$88,'Lookup Table'!$T$12:$AC$12,0))
+$H89
*(INDEX('Lookup Table'!$T$13:$AC$54,MATCH($G$89,'Lookup Table'!$D$13:$D$54,0),MATCH(F$88,'Lookup Table'!$T$12:$AC$12,0))-
INDEX('Lookup Table'!$T$13:$AC$54,MATCH($F$89,'Lookup Table'!$D$13:$D$54,0),MATCH(F$88,'Lookup Table'!$T$12:$AC$12,0)))))</f>
        <v/>
      </c>
      <c r="G93" s="26" t="str">
        <f>IF(OR($E$22=0,$E$46=0),"",IF($E$47=0,0,INDEX('Lookup Table'!$T$13:$AC$54,MATCH($F$89,'Lookup Table'!$D$13:$D$54,0),MATCH(G$88,'Lookup Table'!$T$12:$AC$12,0))
+$H89
*(INDEX('Lookup Table'!$T$13:$AC$54,MATCH($G$89,'Lookup Table'!$D$13:$D$54,0),MATCH(G$88,'Lookup Table'!$T$12:$AC$12,0))-
INDEX('Lookup Table'!$T$13:$AC$54,MATCH($F$89,'Lookup Table'!$D$13:$D$54,0),MATCH(G$88,'Lookup Table'!$T$12:$AC$12,0)))))</f>
        <v/>
      </c>
      <c r="H93" s="115" t="str">
        <f>IF(OR($E$22=0,$E$46=0),"",H92)</f>
        <v/>
      </c>
      <c r="I93" s="122" t="str">
        <f>IF(OR($E$22=0,$E$46=0),"",F93+H93*(G93-F93))</f>
        <v/>
      </c>
    </row>
    <row r="94" spans="1:19">
      <c r="D94" s="91" t="s">
        <v>295</v>
      </c>
      <c r="E94" s="10"/>
      <c r="F94" s="114" t="str">
        <f>IF(OR($E$22=0,$E$46=0),"",INDEX('Lookup Table'!$E$13:$E$54,MATCH(F$89,'Lookup Table'!$D$13:$D$54,0)))</f>
        <v/>
      </c>
      <c r="G94" s="26" t="str">
        <f>IF(OR($E$22=0,$E$46=0),"",INDEX('Lookup Table'!$E$13:$E$54,MATCH(G$89,'Lookup Table'!$D$13:$D$54,0)))</f>
        <v/>
      </c>
      <c r="H94" s="115" t="str">
        <f>IF(OR($E$22=0,$E$46=0),"",$H$89)</f>
        <v/>
      </c>
      <c r="I94" s="122" t="str">
        <f>IF(OR($E$22=0,$E$46=0),"",F94+H94*(G94-F94))</f>
        <v/>
      </c>
    </row>
    <row r="95" spans="1:19">
      <c r="D95" s="92" t="s">
        <v>301</v>
      </c>
      <c r="E95" s="10"/>
      <c r="F95" s="116" t="str">
        <f>IF(OR($E$22=0,$E$46=0),"",INDEX('Lookup Table'!$F$13:$F$54,MATCH(F$89,'Lookup Table'!$D$13:$D$54,0)))</f>
        <v/>
      </c>
      <c r="G95" s="117" t="str">
        <f>IF(OR($E$22=0,$E$46=0),"",INDEX('Lookup Table'!$F$13:$F$54,MATCH(G$89,'Lookup Table'!$D$13:$D$54,0)))</f>
        <v/>
      </c>
      <c r="H95" s="118" t="str">
        <f>IF(OR($E$22=0,$E$46=0),"",$H$89)</f>
        <v/>
      </c>
      <c r="I95" s="123" t="str">
        <f>IF(OR($E$22=0,$E$46=0),"",F95+H95*(G95-F95))</f>
        <v/>
      </c>
    </row>
    <row r="96" spans="1:19">
      <c r="D96" s="76" t="s">
        <v>363</v>
      </c>
      <c r="F96" s="119" t="str">
        <f>IF(OR($E$22=0,$E$46=0),"",SUM(F91,F93,F95))</f>
        <v/>
      </c>
      <c r="G96" s="120" t="str">
        <f>IF(OR($E$22=0,$E$46=0),"",SUM(G91,G93,G95))</f>
        <v/>
      </c>
      <c r="H96" s="21"/>
      <c r="I96" s="124" t="str">
        <f>IF(OR($E$22=0,$E$46=0),"",SUM(I91,I93,I95))</f>
        <v/>
      </c>
    </row>
    <row r="98" spans="1:19">
      <c r="D98" s="76" t="s">
        <v>344</v>
      </c>
      <c r="F98" s="108" t="str">
        <f>IF(OR($E$22=0,$E$46=0),"",1-(F88*F92+F89*F94+F91)/F96)</f>
        <v/>
      </c>
      <c r="G98" s="109" t="str">
        <f>IF(OR($E$22=0,$E$46=0),"",1-(G88*G92+G89*G94+G91)/G96)</f>
        <v/>
      </c>
      <c r="H98" s="22"/>
      <c r="I98" s="110" t="str">
        <f>IF(OR($E$22=0,$E$46=0),"",1-(E88*I92+E89*I94+I91)/I96)</f>
        <v/>
      </c>
    </row>
    <row r="99" spans="1:19">
      <c r="D99" s="76" t="s">
        <v>364</v>
      </c>
      <c r="E99" s="107" t="str">
        <f>IF(OR($E$22=0,$E$46=0),"",AVERAGE(F98:G98))</f>
        <v/>
      </c>
    </row>
    <row r="101" spans="1:19" ht="15.6" customHeight="1">
      <c r="A101" s="43"/>
      <c r="B101" s="31"/>
      <c r="C101" s="31"/>
      <c r="D101" s="46" t="s">
        <v>375</v>
      </c>
      <c r="E101" s="38"/>
      <c r="F101" s="39"/>
      <c r="G101" s="39"/>
      <c r="H101" s="39"/>
      <c r="I101" s="39"/>
      <c r="J101" s="39"/>
      <c r="K101" s="39"/>
      <c r="L101" s="39"/>
      <c r="M101" s="39"/>
      <c r="N101" s="39"/>
      <c r="O101" s="39"/>
      <c r="P101" s="39"/>
      <c r="Q101" s="39"/>
      <c r="R101" s="39"/>
      <c r="S101" s="39"/>
    </row>
    <row r="103" spans="1:19">
      <c r="E103" s="125" t="s">
        <v>340</v>
      </c>
      <c r="F103" s="99" t="s">
        <v>341</v>
      </c>
      <c r="G103" s="100" t="s">
        <v>342</v>
      </c>
    </row>
    <row r="104" spans="1:19">
      <c r="D104" s="90" t="s">
        <v>373</v>
      </c>
      <c r="E104" s="135" t="str">
        <f>IF(OR($E$22=0,$E$46=0),"",E83)</f>
        <v/>
      </c>
      <c r="F104" s="136" t="str">
        <f>IF(OR($E$22=0,$E$46=0),"",F83)</f>
        <v/>
      </c>
      <c r="G104" s="137" t="str">
        <f>IF(OR($E$22=0,$E$46=0),"",G83)</f>
        <v/>
      </c>
    </row>
    <row r="105" spans="1:19">
      <c r="D105" s="91" t="s">
        <v>376</v>
      </c>
      <c r="E105" s="130" t="str">
        <f>IF(OR($E$22=0,$E$46=0),"",I91-I59*E82)</f>
        <v/>
      </c>
      <c r="F105" s="28" t="str">
        <f>IF(OR($E$22=0,$E$46=0),"",I92)</f>
        <v/>
      </c>
      <c r="G105" s="138" t="str">
        <f>IF(OR($E$22=0,$E$46=0),"",I94)</f>
        <v/>
      </c>
    </row>
    <row r="106" spans="1:19">
      <c r="D106" s="92" t="s">
        <v>377</v>
      </c>
      <c r="E106" s="139" t="str">
        <f>IF(OR($E$22=0,$E$46=0),"",I91-I59*E82)</f>
        <v/>
      </c>
      <c r="F106" s="140" t="str">
        <f>IF(OR($E$22=0,$E$46=0),"",I93)</f>
        <v/>
      </c>
      <c r="G106" s="141" t="str">
        <f>IF(OR($E$22=0,$E$46=0),"",I95)</f>
        <v/>
      </c>
    </row>
    <row r="108" spans="1:19">
      <c r="D108" s="142" t="s">
        <v>344</v>
      </c>
      <c r="E108" s="143" t="str">
        <f>IF(OR($E$22=0,$E$46=0),"",1-SUMPRODUCT(E105:G105,E104:G104)/SUM(E106:G106))</f>
        <v/>
      </c>
    </row>
  </sheetData>
  <sheetProtection sheet="1" objects="1" scenarios="1"/>
  <conditionalFormatting sqref="D52">
    <cfRule type="cellIs" dxfId="3" priority="5" operator="notEqual">
      <formula>"Please enter average fare forgone"</formula>
    </cfRule>
  </conditionalFormatting>
  <conditionalFormatting sqref="D55 D58">
    <cfRule type="cellIs" dxfId="2" priority="4" operator="notEqual">
      <formula>"Please enter average fare forgone"</formula>
    </cfRule>
  </conditionalFormatting>
  <conditionalFormatting sqref="D87 D90">
    <cfRule type="cellIs" dxfId="1" priority="1" operator="notEqual">
      <formula>"Please enter average fare forgone"</formula>
    </cfRule>
  </conditionalFormatting>
  <hyperlinks>
    <hyperlink ref="A12" location="Instructions!B55" display="2b.xi" xr:uid="{52220322-25C0-4723-B80F-F60D34A2D730}"/>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CEA2A-5A2F-40F5-9708-277DBB63307A}">
  <sheetPr codeName="Sheet15">
    <tabColor theme="8" tint="0.59999389629810485"/>
  </sheetPr>
  <dimension ref="A1:T30"/>
  <sheetViews>
    <sheetView showGridLines="0" workbookViewId="0"/>
  </sheetViews>
  <sheetFormatPr defaultRowHeight="14.45"/>
  <cols>
    <col min="2" max="2" width="2.140625" style="2" customWidth="1"/>
    <col min="3" max="3" width="1.5703125" style="2" customWidth="1"/>
    <col min="4" max="4" width="57.5703125" style="2" bestFit="1" customWidth="1"/>
    <col min="5" max="5" width="47.85546875" customWidth="1"/>
    <col min="6" max="8" width="33.28515625" customWidth="1"/>
  </cols>
  <sheetData>
    <row r="1" spans="1:20" s="10" customFormat="1" ht="26.1">
      <c r="A1" s="47" t="s">
        <v>378</v>
      </c>
      <c r="B1" s="35"/>
      <c r="C1" s="35"/>
      <c r="D1" s="36"/>
      <c r="E1" s="9"/>
      <c r="T1" s="7"/>
    </row>
    <row r="2" spans="1:20" s="10" customFormat="1" ht="18.95" customHeight="1">
      <c r="A2" s="48" t="s">
        <v>379</v>
      </c>
      <c r="B2" s="35"/>
      <c r="C2" s="35"/>
      <c r="D2" s="36"/>
      <c r="E2" s="9"/>
      <c r="T2" s="7"/>
    </row>
    <row r="3" spans="1:20" s="10" customFormat="1" ht="17.45" customHeight="1">
      <c r="A3" s="6"/>
      <c r="B3" s="7"/>
      <c r="C3" s="7"/>
      <c r="D3" s="8"/>
      <c r="E3" s="9"/>
      <c r="T3" s="7"/>
    </row>
    <row r="4" spans="1:20" s="10" customFormat="1" ht="15.6" customHeight="1">
      <c r="A4" s="49"/>
      <c r="B4" s="50"/>
      <c r="C4" s="50"/>
      <c r="D4" s="46" t="s">
        <v>11</v>
      </c>
      <c r="E4" s="45"/>
      <c r="F4" s="51"/>
      <c r="G4" s="51"/>
      <c r="H4" s="51"/>
      <c r="I4" s="51"/>
      <c r="J4" s="51"/>
      <c r="K4" s="51"/>
      <c r="L4" s="51"/>
      <c r="M4" s="51"/>
      <c r="N4" s="51"/>
      <c r="O4" s="51"/>
      <c r="P4" s="51"/>
      <c r="Q4" s="51"/>
      <c r="R4" s="51"/>
      <c r="S4" s="51"/>
      <c r="T4" s="7"/>
    </row>
    <row r="5" spans="1:20" s="10" customFormat="1" ht="15.6">
      <c r="A5" s="12"/>
      <c r="B5" s="13"/>
      <c r="C5" s="13"/>
      <c r="D5" s="14"/>
      <c r="E5" s="9"/>
      <c r="T5" s="13"/>
    </row>
    <row r="6" spans="1:20" s="10" customFormat="1" ht="15.6">
      <c r="A6" s="12"/>
      <c r="B6" s="7"/>
      <c r="C6" s="7"/>
      <c r="D6" s="76" t="s">
        <v>219</v>
      </c>
      <c r="E6" s="150" t="e">
        <f>SUM($E$28:$F$28)</f>
        <v>#NUM!</v>
      </c>
      <c r="T6" s="7"/>
    </row>
    <row r="7" spans="1:20" s="10" customFormat="1" ht="15.6">
      <c r="A7" s="12"/>
      <c r="B7" s="7"/>
      <c r="C7" s="7"/>
      <c r="D7" s="8"/>
      <c r="E7" s="9"/>
      <c r="T7" s="7"/>
    </row>
    <row r="8" spans="1:20" s="10" customFormat="1" ht="15.6" customHeight="1">
      <c r="A8" s="49"/>
      <c r="B8" s="50"/>
      <c r="C8" s="50"/>
      <c r="D8" s="46" t="s">
        <v>306</v>
      </c>
      <c r="E8" s="45"/>
      <c r="F8" s="51"/>
      <c r="G8" s="51"/>
      <c r="H8" s="51"/>
      <c r="I8" s="51"/>
      <c r="J8" s="51"/>
      <c r="K8" s="51"/>
      <c r="L8" s="51"/>
      <c r="M8" s="51"/>
      <c r="N8" s="51"/>
      <c r="O8" s="51"/>
      <c r="P8" s="51"/>
      <c r="Q8" s="51"/>
      <c r="R8" s="51"/>
      <c r="S8" s="51"/>
      <c r="T8" s="7"/>
    </row>
    <row r="9" spans="1:20" s="10" customFormat="1" ht="15.6">
      <c r="A9" s="12"/>
      <c r="B9" s="7"/>
      <c r="C9" s="7"/>
      <c r="D9" s="8"/>
      <c r="E9" s="9"/>
      <c r="T9" s="7"/>
    </row>
    <row r="10" spans="1:20" s="10" customFormat="1" ht="15.6">
      <c r="A10" s="12"/>
      <c r="B10" s="7"/>
      <c r="C10" s="7"/>
      <c r="E10" s="241" t="s">
        <v>194</v>
      </c>
      <c r="F10" s="241" t="s">
        <v>195</v>
      </c>
      <c r="T10" s="7"/>
    </row>
    <row r="11" spans="1:20" s="10" customFormat="1" ht="15.6">
      <c r="A11" s="12"/>
      <c r="B11" s="7"/>
      <c r="C11" s="7"/>
      <c r="D11" s="76" t="s">
        <v>311</v>
      </c>
      <c r="E11" s="243">
        <f>'Calculation Parameters'!E14</f>
        <v>0.7</v>
      </c>
      <c r="F11" s="243">
        <f>'Calculation Parameters'!F14</f>
        <v>0.9</v>
      </c>
      <c r="T11" s="7"/>
    </row>
    <row r="12" spans="1:20" s="10" customFormat="1" ht="15.6">
      <c r="A12" s="12"/>
      <c r="B12" s="7"/>
      <c r="C12" s="7"/>
      <c r="D12" s="76" t="s">
        <v>312</v>
      </c>
      <c r="E12" s="243">
        <f>'Calculation Parameters'!E15</f>
        <v>-0.59630000000000005</v>
      </c>
      <c r="F12" s="243">
        <f>'Calculation Parameters'!F15</f>
        <v>-0.72260000000000002</v>
      </c>
      <c r="T12" s="7"/>
    </row>
    <row r="13" spans="1:20" s="10" customFormat="1" ht="15.6">
      <c r="A13" s="12"/>
      <c r="B13" s="7"/>
      <c r="C13" s="7"/>
      <c r="D13" s="8"/>
      <c r="E13" s="9"/>
      <c r="T13" s="7"/>
    </row>
    <row r="14" spans="1:20" s="10" customFormat="1" ht="15.6" customHeight="1">
      <c r="A14" s="49"/>
      <c r="B14" s="50"/>
      <c r="C14" s="50"/>
      <c r="D14" s="46" t="s">
        <v>12</v>
      </c>
      <c r="E14" s="45"/>
      <c r="F14" s="51"/>
      <c r="G14" s="51"/>
      <c r="H14" s="51"/>
      <c r="I14" s="51"/>
      <c r="J14" s="51"/>
      <c r="K14" s="51"/>
      <c r="L14" s="51"/>
      <c r="M14" s="51"/>
      <c r="N14" s="51"/>
      <c r="O14" s="51"/>
      <c r="P14" s="51"/>
      <c r="Q14" s="51"/>
      <c r="R14" s="51"/>
      <c r="S14" s="51"/>
      <c r="T14" s="7"/>
    </row>
    <row r="16" spans="1:20" ht="15.6">
      <c r="D16" s="76" t="s">
        <v>380</v>
      </c>
      <c r="E16" s="244" t="str">
        <f>IF('General Inputs'!$F$14=Lists!$D$29,'General Inputs'!$F$16,IF('General Inputs'!$F$14=Lists!$D$30,'Discount Factor - Calculations'!$E$6,IF('General Inputs'!$F$14=Lists!$D$31,'Discount Factor - Calculations'!$E$6,IF('General Inputs'!$F$14=Lists!$D$32,'Basket of Fares - Calculations'!$E$6,""))))</f>
        <v/>
      </c>
      <c r="F16" s="42"/>
    </row>
    <row r="17" spans="1:20" ht="15.6">
      <c r="D17" s="8"/>
      <c r="E17" s="10"/>
    </row>
    <row r="18" spans="1:20" ht="15.6">
      <c r="D18" s="76" t="s">
        <v>381</v>
      </c>
      <c r="E18" s="241">
        <f>'General Inputs'!F6</f>
        <v>0</v>
      </c>
    </row>
    <row r="19" spans="1:20" ht="15.6">
      <c r="D19" s="76" t="s">
        <v>311</v>
      </c>
      <c r="E19" s="245">
        <f>SUMIFS(E11:F11,$E$10:$F$10,$E$18)</f>
        <v>0</v>
      </c>
    </row>
    <row r="20" spans="1:20" ht="15.6">
      <c r="D20" s="76" t="s">
        <v>312</v>
      </c>
      <c r="E20" s="245">
        <f>SUMIFS(E12:F12,$E$10:$F$10,$E$18)</f>
        <v>0</v>
      </c>
    </row>
    <row r="21" spans="1:20">
      <c r="B21"/>
      <c r="C21"/>
      <c r="D21"/>
    </row>
    <row r="22" spans="1:20" ht="30.95">
      <c r="D22"/>
      <c r="E22" s="152" t="s">
        <v>197</v>
      </c>
      <c r="F22" s="153" t="s">
        <v>198</v>
      </c>
    </row>
    <row r="23" spans="1:20" ht="15.6">
      <c r="D23" s="76" t="s">
        <v>382</v>
      </c>
      <c r="E23" s="243">
        <f>--(E22='General Inputs'!$F$20)</f>
        <v>0</v>
      </c>
      <c r="F23" s="243">
        <f>--(F22='General Inputs'!$F$20)</f>
        <v>0</v>
      </c>
    </row>
    <row r="24" spans="1:20" ht="15.6">
      <c r="D24" s="76" t="s">
        <v>383</v>
      </c>
      <c r="E24" s="243" t="e">
        <f>$E$16*'Inflation - Calculations'!$E$9*E23</f>
        <v>#VALUE!</v>
      </c>
      <c r="F24" s="244" t="e">
        <f>$E$16*'Inflation - Calculations'!$E$9*F23</f>
        <v>#VALUE!</v>
      </c>
      <c r="I24" s="40"/>
    </row>
    <row r="25" spans="1:20" ht="30.95">
      <c r="D25" s="152" t="s">
        <v>384</v>
      </c>
      <c r="E25" s="246">
        <f>'General Inputs'!$F$22*'RF - Calculations'!E23</f>
        <v>0</v>
      </c>
      <c r="F25" s="246">
        <f>'General Inputs'!$F$22*'RF - Calculations'!F23</f>
        <v>0</v>
      </c>
    </row>
    <row r="26" spans="1:20" ht="15.6">
      <c r="D26" s="76" t="s">
        <v>385</v>
      </c>
      <c r="E26" s="244" t="e">
        <f>E23*$E$16/(1+E25)*'Inflation - Calculations'!$F$46</f>
        <v>#VALUE!</v>
      </c>
      <c r="F26" s="244" t="e">
        <f>F23*$E$16/(1+F25)*'Inflation - Calculations'!$F$46</f>
        <v>#VALUE!</v>
      </c>
    </row>
    <row r="27" spans="1:20" ht="15.6">
      <c r="D27" s="76" t="s">
        <v>386</v>
      </c>
      <c r="E27" s="243">
        <f>IFERROR(E24/E26,0)</f>
        <v>0</v>
      </c>
      <c r="F27" s="243">
        <f>IFERROR(F24/F26,0)</f>
        <v>0</v>
      </c>
    </row>
    <row r="28" spans="1:20" ht="15.6">
      <c r="D28" s="76" t="s">
        <v>219</v>
      </c>
      <c r="E28" s="246" t="e">
        <f>EXP($E$20*(E27^$E$19))*E23</f>
        <v>#NUM!</v>
      </c>
      <c r="F28" s="246" t="e">
        <f>EXP($E$20*(F27^$E$19))*F23</f>
        <v>#NUM!</v>
      </c>
    </row>
    <row r="30" spans="1:20" s="10" customFormat="1" ht="15.6" customHeight="1">
      <c r="A30" s="49"/>
      <c r="B30" s="50"/>
      <c r="C30" s="50"/>
      <c r="D30" s="46" t="s">
        <v>23</v>
      </c>
      <c r="E30" s="45"/>
      <c r="F30" s="51"/>
      <c r="G30" s="51"/>
      <c r="H30" s="51"/>
      <c r="I30" s="51"/>
      <c r="J30" s="51"/>
      <c r="K30" s="51"/>
      <c r="L30" s="51"/>
      <c r="M30" s="51"/>
      <c r="N30" s="51"/>
      <c r="O30" s="51"/>
      <c r="P30" s="51"/>
      <c r="Q30" s="51"/>
      <c r="R30" s="51"/>
      <c r="S30" s="51"/>
      <c r="T30" s="7"/>
    </row>
  </sheetData>
  <sheetProtection sheet="1" objects="1" scenarios="1"/>
  <conditionalFormatting sqref="E23:F28">
    <cfRule type="cellIs" dxfId="0" priority="1" operator="equal">
      <formula>0</formula>
    </cfRule>
  </conditionalFormatting>
  <pageMargins left="0.7" right="0.7" top="0.75" bottom="0.75" header="0.3" footer="0.3"/>
  <pageSetup orientation="portrait" r:id="rId1"/>
  <headerFooter>
    <oddHeader>&amp;C&amp;"Calibri"&amp;10&amp;K000000 OFFICIAL&amp;1#_x000D_</oddHeader>
    <oddFooter>&amp;C_x000D_&amp;1#&amp;"Calibri"&amp;10&amp;K000000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1E0E4-E864-4B2D-AF33-68C459251A5C}">
  <sheetPr codeName="Sheet2">
    <tabColor theme="0"/>
  </sheetPr>
  <dimension ref="A1:U111"/>
  <sheetViews>
    <sheetView showGridLines="0" topLeftCell="A60" workbookViewId="0">
      <selection activeCell="H83" sqref="H83"/>
    </sheetView>
  </sheetViews>
  <sheetFormatPr defaultColWidth="8.7109375" defaultRowHeight="15.6"/>
  <cols>
    <col min="1" max="1" width="10.140625" style="8" customWidth="1"/>
    <col min="2" max="2" width="12.42578125" style="7" customWidth="1"/>
    <col min="3" max="3" width="2.5703125" style="7" customWidth="1"/>
    <col min="4" max="4" width="107.5703125" style="297" customWidth="1"/>
    <col min="5" max="5" width="3" style="10" customWidth="1"/>
    <col min="6" max="6" width="26.42578125" style="9" customWidth="1"/>
    <col min="7" max="7" width="2.85546875" style="10" customWidth="1"/>
    <col min="8" max="8" width="29.85546875" style="185" customWidth="1"/>
    <col min="9" max="17" width="8.7109375" style="10"/>
    <col min="18" max="18" width="0.5703125" style="7" customWidth="1"/>
    <col min="19" max="16384" width="8.7109375" style="10"/>
  </cols>
  <sheetData>
    <row r="1" spans="1:21" ht="26.1">
      <c r="A1" s="34" t="s">
        <v>24</v>
      </c>
      <c r="B1" s="35"/>
      <c r="C1" s="35"/>
      <c r="D1" s="293"/>
      <c r="R1" s="10"/>
      <c r="U1" s="7"/>
    </row>
    <row r="2" spans="1:21" ht="18.95" customHeight="1">
      <c r="A2" s="37" t="s">
        <v>25</v>
      </c>
      <c r="B2" s="35"/>
      <c r="C2" s="35"/>
      <c r="D2" s="293"/>
      <c r="R2" s="10"/>
      <c r="U2" s="7"/>
    </row>
    <row r="3" spans="1:21">
      <c r="A3" s="6"/>
      <c r="D3" s="294"/>
      <c r="R3" s="10"/>
      <c r="U3" s="7"/>
    </row>
    <row r="4" spans="1:21">
      <c r="A4" s="295"/>
      <c r="B4" s="304" t="s">
        <v>26</v>
      </c>
      <c r="C4" s="50"/>
      <c r="D4" s="295" t="s">
        <v>27</v>
      </c>
      <c r="E4" s="51"/>
      <c r="F4" s="298"/>
      <c r="G4" s="51"/>
      <c r="H4" s="298" t="s">
        <v>28</v>
      </c>
      <c r="I4" s="51"/>
      <c r="J4" s="51"/>
      <c r="K4" s="51"/>
      <c r="L4" s="51"/>
      <c r="M4" s="51"/>
      <c r="N4" s="51"/>
      <c r="O4" s="51"/>
      <c r="P4" s="51"/>
      <c r="Q4" s="51"/>
      <c r="R4" s="51"/>
      <c r="S4" s="51"/>
      <c r="T4" s="51"/>
      <c r="U4" s="7"/>
    </row>
    <row r="5" spans="1:21" ht="30" customHeight="1">
      <c r="A5" s="6"/>
      <c r="D5" s="20" t="s">
        <v>29</v>
      </c>
      <c r="H5" s="348" t="s">
        <v>30</v>
      </c>
      <c r="R5" s="10"/>
      <c r="U5" s="7"/>
    </row>
    <row r="6" spans="1:21" ht="30" customHeight="1">
      <c r="A6" s="6"/>
      <c r="D6" s="20" t="s">
        <v>31</v>
      </c>
      <c r="H6" s="348" t="s">
        <v>32</v>
      </c>
      <c r="R6" s="10"/>
      <c r="U6" s="7"/>
    </row>
    <row r="7" spans="1:21" ht="45.95" customHeight="1">
      <c r="A7" s="6"/>
      <c r="D7" s="20" t="s">
        <v>33</v>
      </c>
      <c r="F7" s="314"/>
      <c r="H7" s="348"/>
      <c r="R7" s="10"/>
      <c r="U7" s="7"/>
    </row>
    <row r="8" spans="1:21">
      <c r="A8" s="49"/>
      <c r="B8" s="313">
        <v>1</v>
      </c>
      <c r="C8" s="50"/>
      <c r="D8" s="295" t="s">
        <v>34</v>
      </c>
      <c r="E8" s="51"/>
      <c r="F8" s="298"/>
      <c r="G8" s="51"/>
      <c r="H8" s="298"/>
      <c r="I8" s="51"/>
      <c r="J8" s="51"/>
      <c r="K8" s="51"/>
      <c r="L8" s="51"/>
      <c r="M8" s="51"/>
      <c r="N8" s="51"/>
      <c r="O8" s="51"/>
      <c r="P8" s="51"/>
      <c r="Q8" s="51"/>
      <c r="R8" s="51"/>
      <c r="S8" s="51"/>
      <c r="T8" s="51"/>
      <c r="U8" s="7"/>
    </row>
    <row r="9" spans="1:21" customFormat="1" ht="14.1" customHeight="1">
      <c r="D9" s="296"/>
      <c r="F9" s="3"/>
      <c r="H9" s="63"/>
    </row>
    <row r="10" spans="1:21" ht="15.6" customHeight="1">
      <c r="B10" s="314" t="s">
        <v>35</v>
      </c>
      <c r="D10" s="297" t="s">
        <v>36</v>
      </c>
      <c r="F10" s="314"/>
    </row>
    <row r="11" spans="1:21" ht="15.6" customHeight="1">
      <c r="B11" s="314" t="s">
        <v>37</v>
      </c>
      <c r="D11" s="297" t="s">
        <v>38</v>
      </c>
      <c r="F11" s="314"/>
    </row>
    <row r="12" spans="1:21" ht="15.6" customHeight="1">
      <c r="B12" s="314" t="s">
        <v>39</v>
      </c>
      <c r="D12" s="297" t="s">
        <v>40</v>
      </c>
      <c r="F12" s="314"/>
    </row>
    <row r="13" spans="1:21" ht="15.6" customHeight="1">
      <c r="B13" s="314" t="s">
        <v>41</v>
      </c>
      <c r="D13" s="297" t="s">
        <v>42</v>
      </c>
      <c r="F13" s="314"/>
    </row>
    <row r="14" spans="1:21" ht="15.6" customHeight="1">
      <c r="B14" s="314" t="s">
        <v>43</v>
      </c>
      <c r="D14" s="297" t="s">
        <v>44</v>
      </c>
      <c r="F14" s="314"/>
    </row>
    <row r="15" spans="1:21" ht="30.95">
      <c r="B15" s="314" t="s">
        <v>45</v>
      </c>
      <c r="D15" s="297" t="s">
        <v>46</v>
      </c>
      <c r="F15" s="314"/>
    </row>
    <row r="16" spans="1:21">
      <c r="B16" s="314" t="s">
        <v>47</v>
      </c>
      <c r="D16" s="297" t="s">
        <v>48</v>
      </c>
      <c r="F16" s="314"/>
    </row>
    <row r="17" spans="1:21" ht="15.6" customHeight="1">
      <c r="B17" s="314" t="s">
        <v>49</v>
      </c>
      <c r="D17" s="297" t="s">
        <v>50</v>
      </c>
      <c r="F17" s="314"/>
    </row>
    <row r="18" spans="1:21" ht="15.6" customHeight="1">
      <c r="B18" s="314" t="s">
        <v>51</v>
      </c>
      <c r="D18" s="297" t="s">
        <v>52</v>
      </c>
      <c r="F18" s="314"/>
    </row>
    <row r="19" spans="1:21" ht="15.6" customHeight="1">
      <c r="B19" s="314" t="s">
        <v>53</v>
      </c>
      <c r="D19" s="297" t="s">
        <v>54</v>
      </c>
      <c r="F19" s="314"/>
    </row>
    <row r="20" spans="1:21" ht="15.6" customHeight="1">
      <c r="B20" s="314" t="s">
        <v>55</v>
      </c>
      <c r="D20" s="297" t="s">
        <v>56</v>
      </c>
      <c r="F20" s="314"/>
    </row>
    <row r="21" spans="1:21" ht="15.6" customHeight="1">
      <c r="B21" s="314" t="s">
        <v>57</v>
      </c>
      <c r="D21" s="297" t="s">
        <v>58</v>
      </c>
      <c r="F21" s="314"/>
    </row>
    <row r="22" spans="1:21" ht="15.6" customHeight="1"/>
    <row r="23" spans="1:21">
      <c r="A23" s="49"/>
      <c r="B23" s="313">
        <v>2</v>
      </c>
      <c r="C23" s="50"/>
      <c r="D23" s="295" t="s">
        <v>59</v>
      </c>
      <c r="E23" s="51"/>
      <c r="F23" s="45"/>
      <c r="G23" s="51"/>
      <c r="H23" s="350"/>
      <c r="I23" s="51"/>
      <c r="J23" s="51"/>
      <c r="K23" s="51"/>
      <c r="L23" s="51"/>
      <c r="M23" s="51"/>
      <c r="N23" s="51"/>
      <c r="O23" s="51"/>
      <c r="P23" s="51"/>
      <c r="Q23" s="51"/>
      <c r="R23" s="51"/>
      <c r="S23" s="51"/>
      <c r="T23" s="51"/>
      <c r="U23" s="7"/>
    </row>
    <row r="24" spans="1:21" ht="15.6" customHeight="1"/>
    <row r="25" spans="1:21" ht="30.95">
      <c r="B25" s="6"/>
      <c r="D25" s="297" t="s">
        <v>60</v>
      </c>
    </row>
    <row r="26" spans="1:21">
      <c r="B26" s="314"/>
      <c r="D26" s="297" t="s">
        <v>61</v>
      </c>
    </row>
    <row r="27" spans="1:21">
      <c r="B27" s="314"/>
    </row>
    <row r="28" spans="1:21">
      <c r="B28" s="314" t="s">
        <v>62</v>
      </c>
      <c r="D28" s="302" t="s">
        <v>63</v>
      </c>
      <c r="F28" s="314"/>
    </row>
    <row r="29" spans="1:21" ht="39.6" customHeight="1">
      <c r="B29" s="314"/>
      <c r="D29" s="320" t="s">
        <v>64</v>
      </c>
      <c r="F29" s="314"/>
    </row>
    <row r="30" spans="1:21" ht="30.95">
      <c r="B30" s="314"/>
      <c r="D30" s="315" t="s">
        <v>65</v>
      </c>
      <c r="F30" s="314"/>
    </row>
    <row r="31" spans="1:21">
      <c r="B31" s="314"/>
      <c r="D31" s="315"/>
      <c r="F31" s="314"/>
    </row>
    <row r="32" spans="1:21" ht="35.450000000000003" customHeight="1">
      <c r="B32" s="314"/>
      <c r="D32" s="323" t="s">
        <v>66</v>
      </c>
      <c r="F32" s="314"/>
    </row>
    <row r="33" spans="2:6" ht="36.950000000000003" customHeight="1">
      <c r="B33" s="314"/>
      <c r="D33" s="323" t="s">
        <v>67</v>
      </c>
      <c r="F33" s="314"/>
    </row>
    <row r="34" spans="2:6" ht="66.599999999999994" customHeight="1">
      <c r="B34" s="314"/>
      <c r="D34" s="323" t="s">
        <v>68</v>
      </c>
      <c r="F34" s="314"/>
    </row>
    <row r="35" spans="2:6" ht="35.1" customHeight="1">
      <c r="B35" s="314"/>
      <c r="D35" s="323" t="s">
        <v>69</v>
      </c>
      <c r="F35" s="314"/>
    </row>
    <row r="36" spans="2:6" ht="36.6" customHeight="1">
      <c r="B36" s="314"/>
      <c r="D36" s="323" t="s">
        <v>70</v>
      </c>
      <c r="F36" s="314"/>
    </row>
    <row r="37" spans="2:6">
      <c r="B37" s="314"/>
      <c r="D37" s="303"/>
      <c r="F37" s="314"/>
    </row>
    <row r="38" spans="2:6">
      <c r="B38" s="314" t="s">
        <v>71</v>
      </c>
      <c r="D38" s="302" t="s">
        <v>72</v>
      </c>
      <c r="F38" s="314"/>
    </row>
    <row r="39" spans="2:6" ht="166.5" customHeight="1">
      <c r="B39" s="314"/>
      <c r="D39" s="322" t="s">
        <v>73</v>
      </c>
      <c r="E39" s="305"/>
      <c r="F39" s="314"/>
    </row>
    <row r="40" spans="2:6" ht="29.1">
      <c r="B40" s="314"/>
      <c r="D40" s="303" t="s">
        <v>74</v>
      </c>
      <c r="F40" s="314"/>
    </row>
    <row r="41" spans="2:6">
      <c r="B41" s="314"/>
      <c r="D41" s="10"/>
      <c r="E41" s="305"/>
      <c r="F41" s="314"/>
    </row>
    <row r="42" spans="2:6" ht="20.100000000000001" customHeight="1">
      <c r="B42" s="314" t="s">
        <v>75</v>
      </c>
      <c r="D42" s="324" t="s">
        <v>76</v>
      </c>
      <c r="F42" s="314"/>
    </row>
    <row r="43" spans="2:6" ht="18.600000000000001" customHeight="1">
      <c r="B43" s="314" t="s">
        <v>77</v>
      </c>
      <c r="D43" s="322" t="s">
        <v>78</v>
      </c>
      <c r="F43" s="314"/>
    </row>
    <row r="44" spans="2:6" ht="35.1" customHeight="1">
      <c r="B44" s="314" t="s">
        <v>79</v>
      </c>
      <c r="D44" s="322" t="s">
        <v>80</v>
      </c>
      <c r="F44" s="314"/>
    </row>
    <row r="45" spans="2:6" ht="21" customHeight="1">
      <c r="B45" s="314" t="s">
        <v>81</v>
      </c>
      <c r="D45" s="320" t="s">
        <v>82</v>
      </c>
      <c r="F45" s="314"/>
    </row>
    <row r="46" spans="2:6" ht="35.450000000000003" customHeight="1">
      <c r="B46" s="314" t="s">
        <v>83</v>
      </c>
      <c r="D46" s="320" t="s">
        <v>84</v>
      </c>
      <c r="F46" s="314"/>
    </row>
    <row r="47" spans="2:6" ht="35.1" customHeight="1">
      <c r="B47" s="314" t="s">
        <v>85</v>
      </c>
      <c r="D47" s="320" t="s">
        <v>86</v>
      </c>
      <c r="F47" s="314"/>
    </row>
    <row r="48" spans="2:6" ht="19.5" customHeight="1">
      <c r="B48" s="314" t="s">
        <v>87</v>
      </c>
      <c r="D48" s="324" t="s">
        <v>88</v>
      </c>
      <c r="F48" s="314"/>
    </row>
    <row r="49" spans="1:21" ht="20.100000000000001" customHeight="1">
      <c r="B49" s="314" t="s">
        <v>89</v>
      </c>
      <c r="D49" s="322" t="s">
        <v>90</v>
      </c>
      <c r="F49" s="314"/>
    </row>
    <row r="50" spans="1:21" ht="35.1" customHeight="1">
      <c r="B50" s="314" t="s">
        <v>79</v>
      </c>
      <c r="D50" s="322" t="s">
        <v>80</v>
      </c>
      <c r="F50" s="314"/>
    </row>
    <row r="51" spans="1:21" ht="21" customHeight="1">
      <c r="B51" s="314" t="s">
        <v>91</v>
      </c>
      <c r="D51" s="321" t="s">
        <v>92</v>
      </c>
      <c r="F51" s="314"/>
    </row>
    <row r="52" spans="1:21" ht="19.5" customHeight="1">
      <c r="B52" s="314" t="s">
        <v>93</v>
      </c>
      <c r="D52" s="321" t="s">
        <v>94</v>
      </c>
      <c r="F52" s="314"/>
    </row>
    <row r="53" spans="1:21" ht="22.5" customHeight="1">
      <c r="B53" s="314" t="s">
        <v>95</v>
      </c>
      <c r="D53" s="321" t="s">
        <v>96</v>
      </c>
      <c r="F53" s="314"/>
    </row>
    <row r="54" spans="1:21">
      <c r="B54" s="314"/>
      <c r="F54" s="314"/>
    </row>
    <row r="55" spans="1:21" ht="30.95">
      <c r="B55" s="314" t="s">
        <v>97</v>
      </c>
      <c r="D55" s="297" t="s">
        <v>98</v>
      </c>
      <c r="F55" s="314"/>
    </row>
    <row r="56" spans="1:21">
      <c r="B56" s="301"/>
      <c r="D56" s="303"/>
    </row>
    <row r="57" spans="1:21">
      <c r="A57" s="49"/>
      <c r="B57" s="313">
        <v>3</v>
      </c>
      <c r="C57" s="50"/>
      <c r="D57" s="295" t="s">
        <v>99</v>
      </c>
      <c r="E57" s="51"/>
      <c r="F57" s="45"/>
      <c r="G57" s="51"/>
      <c r="H57" s="350"/>
      <c r="I57" s="51"/>
      <c r="J57" s="51"/>
      <c r="K57" s="51"/>
      <c r="L57" s="51"/>
      <c r="M57" s="51"/>
      <c r="N57" s="51"/>
      <c r="O57" s="51"/>
      <c r="P57" s="51"/>
      <c r="Q57" s="51"/>
      <c r="R57" s="51"/>
      <c r="S57" s="51"/>
      <c r="T57" s="51"/>
      <c r="U57" s="7"/>
    </row>
    <row r="58" spans="1:21">
      <c r="B58" s="301"/>
      <c r="D58" s="303"/>
    </row>
    <row r="59" spans="1:21" ht="93">
      <c r="B59" s="301"/>
      <c r="D59" s="315" t="s">
        <v>100</v>
      </c>
      <c r="F59" s="314"/>
    </row>
    <row r="60" spans="1:21" ht="23.1" customHeight="1">
      <c r="B60" s="314"/>
      <c r="D60" s="320" t="s">
        <v>101</v>
      </c>
      <c r="F60" s="314"/>
    </row>
    <row r="61" spans="1:21">
      <c r="B61" s="314"/>
      <c r="D61" s="315"/>
      <c r="F61" s="314"/>
    </row>
    <row r="62" spans="1:21">
      <c r="B62" s="314" t="s">
        <v>102</v>
      </c>
      <c r="D62" s="315" t="s">
        <v>103</v>
      </c>
      <c r="F62" s="314"/>
    </row>
    <row r="63" spans="1:21" ht="36.6" customHeight="1">
      <c r="B63" s="314" t="s">
        <v>104</v>
      </c>
      <c r="D63" s="320" t="s">
        <v>105</v>
      </c>
      <c r="F63" s="314"/>
    </row>
    <row r="64" spans="1:21" ht="21" customHeight="1">
      <c r="B64" s="314" t="s">
        <v>106</v>
      </c>
      <c r="D64" s="297" t="s">
        <v>107</v>
      </c>
      <c r="F64" s="314"/>
    </row>
    <row r="65" spans="1:21" ht="105.6" customHeight="1">
      <c r="B65" s="314" t="s">
        <v>108</v>
      </c>
      <c r="D65" s="321" t="s">
        <v>109</v>
      </c>
      <c r="F65" s="314"/>
    </row>
    <row r="66" spans="1:21" ht="69.95" customHeight="1">
      <c r="B66" s="314" t="s">
        <v>110</v>
      </c>
      <c r="D66" s="321" t="s">
        <v>111</v>
      </c>
      <c r="F66" s="314"/>
    </row>
    <row r="67" spans="1:21" ht="93" customHeight="1">
      <c r="B67" s="314" t="s">
        <v>112</v>
      </c>
      <c r="D67" s="321" t="s">
        <v>113</v>
      </c>
      <c r="F67" s="314"/>
    </row>
    <row r="68" spans="1:21" ht="75.599999999999994" customHeight="1">
      <c r="B68" s="314" t="s">
        <v>114</v>
      </c>
      <c r="D68" s="322" t="s">
        <v>115</v>
      </c>
      <c r="F68" s="314"/>
    </row>
    <row r="69" spans="1:21" ht="86.45" customHeight="1">
      <c r="A69" s="292"/>
      <c r="B69" s="314" t="s">
        <v>116</v>
      </c>
      <c r="D69" s="321" t="s">
        <v>117</v>
      </c>
      <c r="F69" s="314"/>
    </row>
    <row r="70" spans="1:21" ht="53.45" customHeight="1">
      <c r="A70" s="292"/>
      <c r="B70" s="314" t="s">
        <v>118</v>
      </c>
      <c r="D70" s="321" t="s">
        <v>119</v>
      </c>
      <c r="F70" s="314"/>
    </row>
    <row r="71" spans="1:21" ht="41.45" customHeight="1">
      <c r="A71" s="292"/>
      <c r="B71" s="314" t="s">
        <v>120</v>
      </c>
      <c r="D71" s="321" t="s">
        <v>121</v>
      </c>
      <c r="F71" s="314"/>
    </row>
    <row r="72" spans="1:21" ht="69.599999999999994" customHeight="1">
      <c r="A72" s="292"/>
      <c r="B72" s="314" t="s">
        <v>122</v>
      </c>
      <c r="D72" s="321" t="s">
        <v>123</v>
      </c>
      <c r="F72" s="314"/>
    </row>
    <row r="73" spans="1:21">
      <c r="A73" s="292"/>
    </row>
    <row r="74" spans="1:21">
      <c r="A74" s="49"/>
      <c r="B74" s="313">
        <v>4</v>
      </c>
      <c r="C74" s="50"/>
      <c r="D74" s="295" t="s">
        <v>124</v>
      </c>
      <c r="E74" s="51"/>
      <c r="F74" s="45"/>
      <c r="G74" s="51"/>
      <c r="H74" s="350"/>
      <c r="I74" s="51"/>
      <c r="J74" s="51"/>
      <c r="K74" s="51"/>
      <c r="L74" s="51"/>
      <c r="M74" s="51"/>
      <c r="N74" s="51"/>
      <c r="O74" s="51"/>
      <c r="P74" s="51"/>
      <c r="Q74" s="51"/>
      <c r="R74" s="51"/>
      <c r="S74" s="51"/>
      <c r="T74" s="51"/>
      <c r="U74" s="7"/>
    </row>
    <row r="76" spans="1:21" ht="46.5">
      <c r="D76" s="297" t="s">
        <v>125</v>
      </c>
      <c r="F76" s="314"/>
    </row>
    <row r="78" spans="1:21" ht="36.6" customHeight="1">
      <c r="B78" s="314" t="s">
        <v>126</v>
      </c>
      <c r="D78" s="323" t="s">
        <v>127</v>
      </c>
      <c r="H78" s="348" t="s">
        <v>128</v>
      </c>
    </row>
    <row r="79" spans="1:21" ht="21" customHeight="1">
      <c r="B79" s="314" t="s">
        <v>129</v>
      </c>
      <c r="D79" s="323" t="s">
        <v>130</v>
      </c>
      <c r="H79" s="348" t="s">
        <v>131</v>
      </c>
    </row>
    <row r="80" spans="1:21" ht="21" customHeight="1">
      <c r="B80" s="314" t="s">
        <v>132</v>
      </c>
      <c r="D80" s="323" t="s">
        <v>133</v>
      </c>
      <c r="H80" s="348" t="s">
        <v>134</v>
      </c>
    </row>
    <row r="81" spans="1:21" ht="38.450000000000003" customHeight="1">
      <c r="B81" s="314" t="s">
        <v>135</v>
      </c>
      <c r="D81" s="323" t="s">
        <v>136</v>
      </c>
      <c r="H81" s="41" t="s">
        <v>137</v>
      </c>
    </row>
    <row r="82" spans="1:21" ht="23.1" customHeight="1">
      <c r="B82" s="314" t="s">
        <v>138</v>
      </c>
      <c r="D82" s="323" t="s">
        <v>139</v>
      </c>
      <c r="H82" s="348" t="s">
        <v>140</v>
      </c>
    </row>
    <row r="83" spans="1:21" ht="35.1" customHeight="1">
      <c r="B83" s="314" t="s">
        <v>141</v>
      </c>
      <c r="D83" s="323" t="s">
        <v>142</v>
      </c>
      <c r="H83" s="41" t="s">
        <v>137</v>
      </c>
    </row>
    <row r="85" spans="1:21">
      <c r="A85" s="49"/>
      <c r="B85" s="313">
        <v>5</v>
      </c>
      <c r="C85" s="50"/>
      <c r="D85" s="295" t="s">
        <v>11</v>
      </c>
      <c r="E85" s="51"/>
      <c r="F85" s="45"/>
      <c r="G85" s="51"/>
      <c r="H85" s="350"/>
      <c r="I85" s="51"/>
      <c r="J85" s="51"/>
      <c r="K85" s="51"/>
      <c r="L85" s="51"/>
      <c r="M85" s="51"/>
      <c r="N85" s="51"/>
      <c r="O85" s="51"/>
      <c r="P85" s="51"/>
      <c r="Q85" s="51"/>
      <c r="R85" s="51"/>
      <c r="S85" s="51"/>
      <c r="T85" s="51"/>
      <c r="U85" s="7"/>
    </row>
    <row r="87" spans="1:21">
      <c r="D87" s="302" t="s">
        <v>143</v>
      </c>
    </row>
    <row r="88" spans="1:21" ht="21" customHeight="1">
      <c r="B88" s="314" t="s">
        <v>144</v>
      </c>
      <c r="D88" s="323" t="s">
        <v>145</v>
      </c>
    </row>
    <row r="89" spans="1:21" ht="22.5" customHeight="1">
      <c r="B89" s="314" t="s">
        <v>146</v>
      </c>
      <c r="D89" s="323" t="s">
        <v>147</v>
      </c>
    </row>
    <row r="90" spans="1:21" ht="42.6" customHeight="1">
      <c r="B90" s="314" t="s">
        <v>148</v>
      </c>
      <c r="D90" s="323" t="s">
        <v>149</v>
      </c>
    </row>
    <row r="91" spans="1:21" ht="54.95" customHeight="1">
      <c r="B91" s="314" t="s">
        <v>150</v>
      </c>
      <c r="D91" s="323" t="s">
        <v>151</v>
      </c>
    </row>
    <row r="92" spans="1:21" ht="54.95" customHeight="1">
      <c r="B92" s="314" t="s">
        <v>152</v>
      </c>
      <c r="D92" s="323" t="s">
        <v>153</v>
      </c>
    </row>
    <row r="93" spans="1:21" ht="38.1" customHeight="1">
      <c r="B93" s="314" t="s">
        <v>154</v>
      </c>
      <c r="D93" s="323" t="s">
        <v>155</v>
      </c>
    </row>
    <row r="94" spans="1:21" ht="36.950000000000003" customHeight="1">
      <c r="B94" s="314" t="s">
        <v>156</v>
      </c>
      <c r="D94" s="323" t="s">
        <v>157</v>
      </c>
    </row>
    <row r="95" spans="1:21" ht="21.6" customHeight="1">
      <c r="B95" s="314" t="s">
        <v>158</v>
      </c>
      <c r="D95" s="323" t="s">
        <v>159</v>
      </c>
    </row>
    <row r="96" spans="1:21" ht="38.450000000000003" customHeight="1">
      <c r="B96" s="314" t="s">
        <v>160</v>
      </c>
      <c r="D96" s="323" t="s">
        <v>161</v>
      </c>
    </row>
    <row r="97" spans="1:21" ht="36.950000000000003" customHeight="1">
      <c r="B97" s="314" t="s">
        <v>162</v>
      </c>
      <c r="D97" s="323" t="s">
        <v>163</v>
      </c>
    </row>
    <row r="98" spans="1:21" ht="54" customHeight="1">
      <c r="B98" s="314" t="s">
        <v>164</v>
      </c>
      <c r="D98" s="321" t="s">
        <v>165</v>
      </c>
    </row>
    <row r="99" spans="1:21" ht="38.1" customHeight="1">
      <c r="B99" s="314" t="s">
        <v>166</v>
      </c>
      <c r="D99" s="323" t="s">
        <v>167</v>
      </c>
    </row>
    <row r="100" spans="1:21" ht="21" customHeight="1">
      <c r="B100" s="314" t="s">
        <v>168</v>
      </c>
      <c r="D100" s="320" t="s">
        <v>169</v>
      </c>
    </row>
    <row r="101" spans="1:21" ht="21" customHeight="1">
      <c r="B101" s="314" t="s">
        <v>170</v>
      </c>
      <c r="D101" s="323" t="s">
        <v>171</v>
      </c>
    </row>
    <row r="102" spans="1:21" ht="36.6" customHeight="1">
      <c r="B102" s="314" t="s">
        <v>172</v>
      </c>
      <c r="D102" s="323" t="s">
        <v>173</v>
      </c>
    </row>
    <row r="103" spans="1:21" ht="39.6" customHeight="1">
      <c r="B103" s="314" t="s">
        <v>174</v>
      </c>
      <c r="D103" s="323" t="s">
        <v>175</v>
      </c>
    </row>
    <row r="105" spans="1:21">
      <c r="A105" s="49"/>
      <c r="B105" s="313">
        <v>6</v>
      </c>
      <c r="C105" s="50"/>
      <c r="D105" s="295" t="s">
        <v>176</v>
      </c>
      <c r="E105" s="51"/>
      <c r="F105" s="45"/>
      <c r="G105" s="51"/>
      <c r="H105" s="350"/>
      <c r="I105" s="51"/>
      <c r="J105" s="51"/>
      <c r="K105" s="51"/>
      <c r="L105" s="51"/>
      <c r="M105" s="51"/>
      <c r="N105" s="51"/>
      <c r="O105" s="51"/>
      <c r="P105" s="51"/>
      <c r="Q105" s="51"/>
      <c r="R105" s="51"/>
      <c r="S105" s="51"/>
      <c r="T105" s="51"/>
      <c r="U105" s="7"/>
    </row>
    <row r="107" spans="1:21">
      <c r="D107" s="302" t="s">
        <v>143</v>
      </c>
    </row>
    <row r="108" spans="1:21" ht="23.1" customHeight="1">
      <c r="B108" s="314" t="s">
        <v>177</v>
      </c>
      <c r="D108" s="320" t="s">
        <v>178</v>
      </c>
    </row>
    <row r="109" spans="1:21" ht="24.6" customHeight="1">
      <c r="B109" s="314" t="s">
        <v>179</v>
      </c>
      <c r="D109" s="334" t="s">
        <v>180</v>
      </c>
    </row>
    <row r="110" spans="1:21" ht="41.1" customHeight="1">
      <c r="B110" s="314" t="s">
        <v>181</v>
      </c>
      <c r="D110" s="323" t="s">
        <v>182</v>
      </c>
    </row>
    <row r="111" spans="1:21" ht="41.1" customHeight="1">
      <c r="B111" s="314" t="s">
        <v>183</v>
      </c>
      <c r="D111" s="323" t="s">
        <v>184</v>
      </c>
    </row>
  </sheetData>
  <phoneticPr fontId="15" type="noConversion"/>
  <hyperlinks>
    <hyperlink ref="H78" r:id="rId1" display="https://www.ons.gov.uk/employmentandlabourmarket/peopleinwork/earningsandworkinghours/timeseries/k5b7/emp" xr:uid="{EA2D880E-77F5-410E-B4DB-F5CF3A3A2E52}"/>
    <hyperlink ref="H82" r:id="rId2" display="https://www.gov.uk/government/publications/tag-data-book" xr:uid="{28ABAA68-D42D-4457-BF8E-1C1A9E12E6DA}"/>
    <hyperlink ref="B8" location="'General Inputs'!A1" display="'General Inputs'!A1" xr:uid="{7BB84EB3-AE48-4853-ABC4-66A8E3B39E22}"/>
    <hyperlink ref="B10" location="'General Inputs'!A6" display="1a" xr:uid="{72239FCF-C4B2-49DF-90A0-974BD03C95F9}"/>
    <hyperlink ref="B11" location="'General Inputs'!A8" display="1b" xr:uid="{2C45F2FE-3B61-437B-AABC-B0335A746A2F}"/>
    <hyperlink ref="B12" location="'General Inputs'!A10" display="1c" xr:uid="{CE93789F-332F-43DF-AA9F-6E95E19A513B}"/>
    <hyperlink ref="B13" location="'General Inputs'!A14" display="1d" xr:uid="{F7EF377A-6749-48A9-B78A-58B69966FAD2}"/>
    <hyperlink ref="B14" location="'General Inputs'!A16" display="1e" xr:uid="{9BC07DD1-1E2E-494A-8753-B1478DA929E8}"/>
    <hyperlink ref="B15" location="'General Inputs'!A20" display="1f" xr:uid="{422A4BF7-73C0-40D8-9B66-F5BC56535442}"/>
    <hyperlink ref="B16" location="Instructions!A22" display="1g" xr:uid="{CA71696A-3288-48D4-B977-7F6787EA7E87}"/>
    <hyperlink ref="B17" location="'General Inputs'!A26" display="1h" xr:uid="{6C44B6B3-726C-40B5-AC40-4A6FD535E9C1}"/>
    <hyperlink ref="B18" location="'General Inputs'!A28" display="1i" xr:uid="{29EE637D-965A-4A53-806C-DB07547EA0E5}"/>
    <hyperlink ref="B19" location="'General Inputs'!A32" display="1j" xr:uid="{E6F3A760-635C-42F7-B8D4-EBAF130A585D}"/>
    <hyperlink ref="B20" location="'General Inputs'!A36" display="1k" xr:uid="{2F73304C-6877-46B5-A7C2-61ED192C7199}"/>
    <hyperlink ref="B21" location="'General Inputs'!A38" display="1l" xr:uid="{6A0D9061-B16F-4CA6-976F-F298DBDE0537}"/>
    <hyperlink ref="B28" location="'AF - Basket of Fares'!A17" display="2a" xr:uid="{599A1419-B5BA-436F-A278-559D767B5E6F}"/>
    <hyperlink ref="B38" location="'AF - Discount Factor'!A1" display="2b" xr:uid="{205799FC-B029-4D31-AD74-58FF1CF903A6}"/>
    <hyperlink ref="B42" location="'AF - Discount Factor'!A13" display="2b.i" xr:uid="{07C1CDF1-ED8F-4AF1-BABC-99F7D527A9F8}"/>
    <hyperlink ref="B43" location="'AF - Discount Factor'!A17" display="2b.ii" xr:uid="{331CEA8F-F50B-4CF3-94B4-DB8AE22FC36A}"/>
    <hyperlink ref="B45" location="'AF - Discount Factor'!A19" display="2b.iii" xr:uid="{0EE48F46-6FAF-456F-BBD6-1CA4131ED3B3}"/>
    <hyperlink ref="B46" location="'AF - Discount Factor'!A20" display="2b.iv" xr:uid="{4DC009B9-C78F-4CE5-B494-2B3CE78DD54D}"/>
    <hyperlink ref="B47" location="'AF - Discount Factor'!A21" display="2b.v" xr:uid="{05CEBB2C-FD7D-4DBC-8A3A-A16A09279C61}"/>
    <hyperlink ref="B48" location="'AF - Discount Factor'!A24" display="2b.vi" xr:uid="{35115056-1B1C-40BF-AA75-A5C7DA6EAD96}"/>
    <hyperlink ref="B49" location="'AF - Discount Factor'!A28" display="2b.vii" xr:uid="{80EE15B8-A0CE-4FC9-95CB-32D7D1BF4E23}"/>
    <hyperlink ref="B51" location="'AF - Discount Factor'!A31" display="2b.viii" xr:uid="{C6127816-7F85-4FAB-B224-E63B914F8830}"/>
    <hyperlink ref="B52" location="'AF - Discount Factor'!A42" display="2b.ix" xr:uid="{70546F88-1A90-4AEB-887A-D25BBA7C61CC}"/>
    <hyperlink ref="B53" location="'AF - Discount Factor'!A53" display="2b.x" xr:uid="{FE9386F6-9AFA-423D-A766-0B6B60ED0121}"/>
    <hyperlink ref="B57" location="'Marginal Capacity Costs Inputs'!A1" display="'Marginal Capacity Costs Inputs'!A1" xr:uid="{EB8833AD-DEFB-4D25-8B73-5EE60B61E7CC}"/>
    <hyperlink ref="B62" location="'Marginal Capacity Costs Inputs'!E14" display="3a" xr:uid="{A63A5AFC-48F1-4E4C-BCC1-1FBB0D92BE71}"/>
    <hyperlink ref="B63" location="'Marginal Capacity Costs Inputs'!F14" display="3b" xr:uid="{91D16DE6-B074-4C1D-808B-FA1D1E482F6B}"/>
    <hyperlink ref="B64" location="'Marginal Capacity Costs Inputs'!G14" display="3c" xr:uid="{8629CCB1-453C-45AD-B7A8-384184825A41}"/>
    <hyperlink ref="B65" location="'Marginal Capacity Costs Inputs'!H14" display="3d" xr:uid="{F7E76257-1D5B-4223-921E-2CA4B76EE79C}"/>
    <hyperlink ref="B66" location="'Marginal Capacity Costs Inputs'!J14" display="3e" xr:uid="{FDB97985-C93A-4714-864B-FC87763989D8}"/>
    <hyperlink ref="B67" location="'Marginal Capacity Costs Inputs'!L14" display="3f" xr:uid="{EED70ED8-330E-4A79-8737-27FCC61F6DE7}"/>
    <hyperlink ref="B68" location="'Marginal Capacity Costs Inputs'!N14" display="3g" xr:uid="{5A2AE686-407A-454A-AA2F-EE5CF5C5332F}"/>
    <hyperlink ref="B69" location="'Marginal Capacity Costs Inputs'!P14" display="3h" xr:uid="{CEE0E5EE-ECB9-4C50-B6D3-0A83DAB36957}"/>
    <hyperlink ref="B70" location="'Marginal Capacity Costs Inputs'!R14" display="3i" xr:uid="{FB34F1BD-9454-4D1C-B3F0-BEC270F35EDB}"/>
    <hyperlink ref="B71" location="'Marginal Capacity Costs Inputs'!T14" display="3j" xr:uid="{1768F219-6E0E-47CF-8C18-984973168FF3}"/>
    <hyperlink ref="B72" location="'Marginal Capacity Costs Inputs'!U14" display="3k" xr:uid="{CB520E25-AC21-4301-8E77-8780D00DBAC0}"/>
    <hyperlink ref="B74" location="Inflation!A1" display="Inflation!A1" xr:uid="{ACBD7296-9605-49FB-A688-9A31D148443D}"/>
    <hyperlink ref="B78" location="Inflation!E15" display="5a" xr:uid="{1139D063-2338-4D7F-B27F-9BAA6855FB88}"/>
    <hyperlink ref="B79" location="Inflation!F15" display="5b" xr:uid="{20B41D90-DF2C-45E2-A936-3AC86C8B1871}"/>
    <hyperlink ref="B80" location="Inflation!G15" display="5c" xr:uid="{C2B062EE-FFE3-41EB-8B53-1B8AF8D1C2C1}"/>
    <hyperlink ref="B81" location="Inflation!I15" display="5d" xr:uid="{D31C6A4D-9108-488B-A170-4B58E97B6C78}"/>
    <hyperlink ref="B82" location="Inflation!J15" display="5e" xr:uid="{16A234B0-4BDD-4054-858D-83C6E5356ABB}"/>
    <hyperlink ref="B83" location="Inflation!K15" display="5f" xr:uid="{065DC8E0-5CDB-49F0-AFD6-C8E21935C92F}"/>
    <hyperlink ref="B85" location="Outputs!A1" display="Outputs!A1" xr:uid="{640CB591-4ECB-4D76-89AC-280B729097F9}"/>
    <hyperlink ref="B88" location="Outputs!A16" display="5a" xr:uid="{E140B704-6F6F-4A00-AAA6-A8CDA6484DDE}"/>
    <hyperlink ref="B89" location="Outputs!A18" display="5b" xr:uid="{BC8564A6-88D9-4895-A5B7-ACEDDFD6F3D9}"/>
    <hyperlink ref="B90" location="Outputs!A20" display="5c" xr:uid="{5208B263-26B8-49E6-B193-3BF67A19FF70}"/>
    <hyperlink ref="B91" location="Outputs!A24" display="5d" xr:uid="{84103769-8430-4638-8F05-416BBCD5DC78}"/>
    <hyperlink ref="B92" location="Outputs!A26" display="5e" xr:uid="{3B2ACE3D-3416-4A45-9510-18DC183D1B35}"/>
    <hyperlink ref="B93" location="Outputs!A28" display="5f" xr:uid="{1B59410C-54B6-4189-81CC-EB89F3DF55C0}"/>
    <hyperlink ref="B94" location="Outputs!A30" display="5g" xr:uid="{62B04709-3866-4C38-B289-DFE6729A1897}"/>
    <hyperlink ref="B95" location="Outputs!A34" display="5h" xr:uid="{9621927B-EF3D-4ED3-9434-CDC01E0D8513}"/>
    <hyperlink ref="B96" location="Outputs!A36" display="5i" xr:uid="{3BCD22F8-C7EE-4854-99E4-D79E64F12DAE}"/>
    <hyperlink ref="B97" location="Outputs!A38" display="5j" xr:uid="{9C168D14-BCB5-4FDA-B301-70F77AF3B154}"/>
    <hyperlink ref="B98" location="Outputs!A40" display="5k" xr:uid="{B634AD4E-BA65-46DB-9DFF-EBA416BD7CAD}"/>
    <hyperlink ref="B99" location="Outputs!A42" display="5l" xr:uid="{A5BCF7AA-5EDD-4C20-9B83-1B08E39FF318}"/>
    <hyperlink ref="B100" location="Outputs!A44" display="5m" xr:uid="{19E33F79-C145-404C-ABEB-12250A6D4E0B}"/>
    <hyperlink ref="B101" location="Outputs!A46" display="5n" xr:uid="{4619A8F8-1753-407A-BDC0-BA035C9C2BA4}"/>
    <hyperlink ref="B102" location="Outputs!A48" display="5o" xr:uid="{570FC8E2-7218-43AD-A2D5-FE14FBDE2CB2}"/>
    <hyperlink ref="B103" location="Outputs!A52" display="5p" xr:uid="{AEFCF0BD-5309-4F6A-823E-4AFB58508F7B}"/>
    <hyperlink ref="B105" location="'Marginal Capacity Costs Outputs'!A1" display="'Marginal Capacity Costs Outputs'!A1" xr:uid="{6D38C57B-6FB4-4477-9EAD-3250C791E2F1}"/>
    <hyperlink ref="B108" location="'Marginal Capacity Costs Outputs'!E14" display="6a" xr:uid="{FE3E39F9-BB4E-4139-83EE-10F162177E0C}"/>
    <hyperlink ref="B109" location="'Marginal Capacity Costs Outputs'!F14" display="6b" xr:uid="{3E515B95-300F-4B3E-B33C-BD6B71C2CDFC}"/>
    <hyperlink ref="B110" location="'Marginal Capacity Costs Outputs'!G14" display="6c" xr:uid="{98664A53-4240-40AA-80D0-63D1C1E8B65C}"/>
    <hyperlink ref="B111" location="'Marginal Capacity Costs Outputs'!H14" display="6d" xr:uid="{AE95C6FB-76CB-40E7-919B-C1A7F9470B3B}"/>
    <hyperlink ref="B44" location="'Lookup Tables Options'!A198" display="2c" xr:uid="{CC710159-A1E8-44F5-8EA4-0589DF167C5C}"/>
    <hyperlink ref="B50" location="'Lookup Tables Options'!A198" display="2c" xr:uid="{DB2D519C-03EC-4C71-B540-86C4A8BA0E68}"/>
    <hyperlink ref="B55" location="'Discount Factor - Calculations'!A12" display="2b.xi" xr:uid="{4B473C30-C01E-4412-A7B2-12D5BA50DE11}"/>
    <hyperlink ref="H5" r:id="rId3" xr:uid="{B3084847-7B74-4764-AD1B-05D21CD8F610}"/>
    <hyperlink ref="H80" r:id="rId4" display="https://www.ons.gov.uk/economy/inflationandpriceindices/timeseries/d7bt/mm23" xr:uid="{1F9BDFE9-FA32-4A75-A1C1-14F4648447B3}"/>
    <hyperlink ref="H6" r:id="rId5" xr:uid="{93245422-3E7C-4C95-9186-E95B12E17238}"/>
    <hyperlink ref="H79" r:id="rId6" xr:uid="{89A39FF5-FEF9-47B1-BD03-0E1F1A225314}"/>
    <hyperlink ref="H81" r:id="rId7" xr:uid="{676ADD18-A15C-46A8-80CB-5D1DBA147B18}"/>
    <hyperlink ref="H83" r:id="rId8" xr:uid="{B765F7C4-82A2-4235-A2AC-160CC33EF23D}"/>
  </hyperlinks>
  <pageMargins left="0.7" right="0.7" top="0.75" bottom="0.75" header="0.3" footer="0.3"/>
  <pageSetup paperSize="9" orientation="portrait" r:id="rId9"/>
  <headerFooter>
    <oddHeader>&amp;C&amp;"Calibri"&amp;10&amp;K000000 OFFICIAL&amp;1#_x000D_</oddHeader>
    <oddFooter>&amp;C_x000D_&amp;1#&amp;"Calibri"&amp;10&amp;K000000 OFFICIAL</oddFooter>
  </headerFooter>
  <drawing r:id="rId1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918E-259F-4DBA-831F-96E5A31BA384}">
  <sheetPr codeName="Sheet16">
    <tabColor theme="8" tint="0.59999389629810485"/>
  </sheetPr>
  <dimension ref="A1:T22"/>
  <sheetViews>
    <sheetView showGridLines="0" workbookViewId="0"/>
  </sheetViews>
  <sheetFormatPr defaultRowHeight="14.45"/>
  <cols>
    <col min="4" max="4" width="46.5703125" bestFit="1" customWidth="1"/>
    <col min="5" max="9" width="17.85546875" customWidth="1"/>
  </cols>
  <sheetData>
    <row r="1" spans="1:20" s="10" customFormat="1" ht="26.1">
      <c r="A1" s="47" t="s">
        <v>387</v>
      </c>
      <c r="B1" s="35"/>
      <c r="C1" s="35"/>
      <c r="D1" s="36"/>
      <c r="E1" s="9"/>
      <c r="T1" s="7"/>
    </row>
    <row r="2" spans="1:20" s="10" customFormat="1" ht="18.95" customHeight="1">
      <c r="A2" s="48" t="s">
        <v>388</v>
      </c>
      <c r="B2" s="35"/>
      <c r="C2" s="35"/>
      <c r="D2" s="36"/>
      <c r="E2" s="9"/>
      <c r="T2" s="7"/>
    </row>
    <row r="3" spans="1:20" s="10" customFormat="1" ht="17.45" customHeight="1">
      <c r="A3" s="6"/>
      <c r="B3" s="7"/>
      <c r="C3" s="7"/>
      <c r="D3" s="8"/>
      <c r="E3" s="9"/>
      <c r="T3" s="7"/>
    </row>
    <row r="4" spans="1:20" s="10" customFormat="1" ht="15.6" customHeight="1">
      <c r="A4" s="49"/>
      <c r="B4" s="50"/>
      <c r="C4" s="50"/>
      <c r="D4" s="46" t="s">
        <v>11</v>
      </c>
      <c r="E4" s="45"/>
      <c r="F4" s="51"/>
      <c r="G4" s="51"/>
      <c r="H4" s="51"/>
      <c r="I4" s="51"/>
      <c r="J4" s="51"/>
      <c r="K4" s="51"/>
      <c r="L4" s="51"/>
      <c r="M4" s="51"/>
      <c r="N4" s="51"/>
      <c r="O4" s="51"/>
      <c r="P4" s="51"/>
      <c r="Q4" s="51"/>
      <c r="R4" s="51"/>
      <c r="S4" s="51"/>
      <c r="T4" s="7"/>
    </row>
    <row r="5" spans="1:20" s="10" customFormat="1" ht="15.6">
      <c r="A5" s="12"/>
      <c r="B5" s="13"/>
      <c r="C5" s="13"/>
      <c r="D5" s="14"/>
      <c r="E5" s="9"/>
      <c r="T5" s="13"/>
    </row>
    <row r="6" spans="1:20" s="10" customFormat="1" ht="15.6">
      <c r="A6" s="12"/>
      <c r="B6" s="7"/>
      <c r="C6" s="7"/>
      <c r="D6" s="76" t="s">
        <v>389</v>
      </c>
      <c r="E6" s="144">
        <f>E20</f>
        <v>8.8798762186315092E-2</v>
      </c>
      <c r="T6" s="7"/>
    </row>
    <row r="7" spans="1:20" s="10" customFormat="1" ht="15.6">
      <c r="A7" s="12"/>
      <c r="B7" s="7"/>
      <c r="C7" s="7"/>
      <c r="D7" s="8"/>
      <c r="E7" s="9"/>
      <c r="T7" s="7"/>
    </row>
    <row r="8" spans="1:20" s="10" customFormat="1" ht="15.6" customHeight="1">
      <c r="A8" s="49"/>
      <c r="B8" s="50"/>
      <c r="C8" s="50"/>
      <c r="D8" s="46" t="s">
        <v>306</v>
      </c>
      <c r="E8" s="45"/>
      <c r="F8" s="51"/>
      <c r="G8" s="51"/>
      <c r="H8" s="51"/>
      <c r="I8" s="51"/>
      <c r="J8" s="51"/>
      <c r="K8" s="51"/>
      <c r="L8" s="51"/>
      <c r="M8" s="51"/>
      <c r="N8" s="51"/>
      <c r="O8" s="51"/>
      <c r="P8" s="51"/>
      <c r="Q8" s="51"/>
      <c r="R8" s="51"/>
      <c r="S8" s="51"/>
      <c r="T8" s="7"/>
    </row>
    <row r="9" spans="1:20" s="10" customFormat="1" ht="15.6">
      <c r="A9" s="12"/>
      <c r="B9" s="7"/>
      <c r="C9" s="7"/>
      <c r="D9" s="8"/>
      <c r="E9" s="9"/>
      <c r="T9" s="7"/>
    </row>
    <row r="10" spans="1:20" s="10" customFormat="1" ht="15.6">
      <c r="A10" s="12"/>
      <c r="B10" s="7"/>
      <c r="C10" s="7"/>
      <c r="D10" s="90" t="s">
        <v>315</v>
      </c>
      <c r="E10" s="234">
        <f>'Calculation Parameters'!E20</f>
        <v>5.5E-2</v>
      </c>
      <c r="T10" s="7"/>
    </row>
    <row r="11" spans="1:20" s="10" customFormat="1" ht="15.6">
      <c r="A11" s="12"/>
      <c r="B11" s="7"/>
      <c r="C11" s="7"/>
      <c r="D11" s="91" t="s">
        <v>316</v>
      </c>
      <c r="E11" s="235">
        <f>'Calculation Parameters'!E21</f>
        <v>3.9</v>
      </c>
      <c r="T11" s="7"/>
    </row>
    <row r="12" spans="1:20" s="10" customFormat="1" ht="15.6">
      <c r="A12" s="12"/>
      <c r="B12" s="7"/>
      <c r="C12" s="7"/>
      <c r="D12" s="92" t="s">
        <v>317</v>
      </c>
      <c r="E12" s="236">
        <f>'Calculation Parameters'!E22</f>
        <v>6.0000000000000001E-3</v>
      </c>
      <c r="T12" s="7"/>
    </row>
    <row r="13" spans="1:20" s="10" customFormat="1" ht="15.6">
      <c r="A13" s="12"/>
      <c r="B13" s="7"/>
      <c r="C13" s="7"/>
      <c r="D13"/>
      <c r="E13"/>
      <c r="T13" s="7"/>
    </row>
    <row r="14" spans="1:20" s="10" customFormat="1" ht="15.6">
      <c r="A14" s="12"/>
      <c r="B14" s="7"/>
      <c r="C14" s="7"/>
      <c r="D14" s="8"/>
      <c r="E14" s="9"/>
      <c r="T14" s="7"/>
    </row>
    <row r="15" spans="1:20" s="10" customFormat="1" ht="15.6" customHeight="1">
      <c r="A15" s="49"/>
      <c r="B15" s="50"/>
      <c r="C15" s="50"/>
      <c r="D15" s="46" t="s">
        <v>12</v>
      </c>
      <c r="E15" s="45"/>
      <c r="F15" s="51"/>
      <c r="G15" s="51"/>
      <c r="H15" s="51"/>
      <c r="I15" s="51"/>
      <c r="J15" s="51"/>
      <c r="K15" s="51"/>
      <c r="L15" s="51"/>
      <c r="M15" s="51"/>
      <c r="N15" s="51"/>
      <c r="O15" s="51"/>
      <c r="P15" s="51"/>
      <c r="Q15" s="51"/>
      <c r="R15" s="51"/>
      <c r="S15" s="51"/>
      <c r="T15" s="7"/>
    </row>
    <row r="16" spans="1:20" s="10" customFormat="1" ht="15.6">
      <c r="A16" s="6"/>
      <c r="B16" s="7"/>
      <c r="C16" s="7"/>
      <c r="D16" s="8"/>
      <c r="E16" s="9"/>
      <c r="T16" s="7"/>
    </row>
    <row r="17" spans="1:20" s="20" customFormat="1" ht="15.6">
      <c r="A17" s="19"/>
      <c r="D17" s="90" t="s">
        <v>315</v>
      </c>
      <c r="E17" s="237">
        <f>E10*'Inflation - Calculations'!$E$6</f>
        <v>8.8798762186315092E-2</v>
      </c>
      <c r="F17"/>
      <c r="G17" s="42"/>
      <c r="H17"/>
      <c r="I17"/>
      <c r="J17" s="10"/>
    </row>
    <row r="18" spans="1:20" s="10" customFormat="1" ht="15.6">
      <c r="A18" s="12"/>
      <c r="B18" s="7"/>
      <c r="C18" s="7"/>
      <c r="D18" s="91" t="s">
        <v>316</v>
      </c>
      <c r="E18" s="238">
        <f>IF('General Inputs'!$F$26=Lists!$D$21,E11,'General Inputs'!$F$28)</f>
        <v>0</v>
      </c>
      <c r="F18"/>
      <c r="G18"/>
      <c r="H18"/>
      <c r="I18"/>
      <c r="T18" s="7"/>
    </row>
    <row r="19" spans="1:20" s="10" customFormat="1" ht="15.6">
      <c r="A19" s="12"/>
      <c r="B19" s="7"/>
      <c r="C19" s="7"/>
      <c r="D19" s="91" t="s">
        <v>317</v>
      </c>
      <c r="E19" s="239">
        <f>(E12*(E18/E11))*'Inflation - Calculations'!$E$6</f>
        <v>0</v>
      </c>
      <c r="F19"/>
      <c r="G19"/>
      <c r="H19"/>
      <c r="I19"/>
      <c r="T19" s="7"/>
    </row>
    <row r="20" spans="1:20" s="10" customFormat="1" ht="15.6">
      <c r="A20" s="12"/>
      <c r="B20" s="7"/>
      <c r="C20" s="7"/>
      <c r="D20" s="92" t="s">
        <v>390</v>
      </c>
      <c r="E20" s="240">
        <f>E17+E19</f>
        <v>8.8798762186315092E-2</v>
      </c>
      <c r="F20"/>
      <c r="G20"/>
      <c r="H20"/>
      <c r="I20"/>
      <c r="T20" s="7"/>
    </row>
    <row r="21" spans="1:20" s="10" customFormat="1" ht="15.6">
      <c r="A21" s="12"/>
      <c r="B21" s="7"/>
      <c r="C21" s="7"/>
      <c r="D21"/>
      <c r="E21"/>
      <c r="F21"/>
      <c r="G21"/>
      <c r="H21"/>
      <c r="I21"/>
      <c r="T21" s="7"/>
    </row>
    <row r="22" spans="1:20" s="10" customFormat="1" ht="15.6" customHeight="1">
      <c r="A22" s="49"/>
      <c r="B22" s="50"/>
      <c r="C22" s="50"/>
      <c r="D22" s="46" t="s">
        <v>23</v>
      </c>
      <c r="E22" s="45"/>
      <c r="F22" s="51"/>
      <c r="G22" s="51"/>
      <c r="H22" s="51"/>
      <c r="I22" s="51"/>
      <c r="J22" s="51"/>
      <c r="K22" s="51"/>
      <c r="L22" s="51"/>
      <c r="M22" s="51"/>
      <c r="N22" s="51"/>
      <c r="O22" s="51"/>
      <c r="P22" s="51"/>
      <c r="Q22" s="51"/>
      <c r="R22" s="51"/>
      <c r="S22" s="51"/>
      <c r="T22" s="7"/>
    </row>
  </sheetData>
  <sheetProtection sheet="1" objects="1" scenarios="1"/>
  <pageMargins left="0.7" right="0.7" top="0.75" bottom="0.75" header="0.3" footer="0.3"/>
  <headerFooter>
    <oddHeader>&amp;C&amp;"Calibri"&amp;10&amp;K000000 OFFICIAL&amp;1#_x000D_</oddHeader>
    <oddFooter>&amp;C_x000D_&amp;1#&amp;"Calibri"&amp;10&amp;K000000 OFFICIAL</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3867C-DDD5-4288-BA6F-0F014146175B}">
  <sheetPr codeName="Sheet17">
    <tabColor theme="8" tint="0.59999389629810485"/>
  </sheetPr>
  <dimension ref="A1:AN125"/>
  <sheetViews>
    <sheetView showGridLines="0" topLeftCell="A3" workbookViewId="0"/>
  </sheetViews>
  <sheetFormatPr defaultColWidth="8.7109375" defaultRowHeight="15.6"/>
  <cols>
    <col min="1" max="1" width="6.85546875" style="6" customWidth="1"/>
    <col min="2" max="2" width="1.5703125" style="7" customWidth="1"/>
    <col min="3" max="3" width="1.28515625" style="7" customWidth="1"/>
    <col min="4" max="4" width="34" style="7" customWidth="1"/>
    <col min="5" max="5" width="14.85546875" style="7" bestFit="1" customWidth="1"/>
    <col min="6" max="6" width="18.85546875" style="8" customWidth="1"/>
    <col min="7" max="7" width="18.7109375" style="9" customWidth="1"/>
    <col min="8" max="8" width="14.28515625" style="9" customWidth="1"/>
    <col min="9" max="9" width="23.85546875" style="10" customWidth="1"/>
    <col min="10" max="10" width="23.140625" style="10" customWidth="1"/>
    <col min="11" max="11" width="15.42578125" style="10" customWidth="1"/>
    <col min="12" max="12" width="16.140625" style="10" customWidth="1"/>
    <col min="13" max="13" width="12.85546875" style="10" customWidth="1"/>
    <col min="14" max="14" width="23.85546875" style="10" bestFit="1" customWidth="1"/>
    <col min="15" max="15" width="24.85546875" style="10" bestFit="1" customWidth="1"/>
    <col min="16" max="16" width="28.140625" style="10" bestFit="1" customWidth="1"/>
    <col min="17" max="17" width="26.5703125" style="10" bestFit="1" customWidth="1"/>
    <col min="18" max="18" width="12.42578125" style="10" bestFit="1" customWidth="1"/>
    <col min="19" max="19" width="18.5703125" style="10" bestFit="1" customWidth="1"/>
    <col min="20" max="20" width="24.5703125" style="10" bestFit="1" customWidth="1"/>
    <col min="21" max="21" width="24.85546875" style="10" bestFit="1" customWidth="1"/>
    <col min="22" max="22" width="25.140625" style="10" bestFit="1" customWidth="1"/>
    <col min="23" max="23" width="24.85546875" style="7" customWidth="1"/>
    <col min="24" max="24" width="12.42578125" style="10" bestFit="1" customWidth="1"/>
    <col min="25" max="25" width="25.28515625" style="10" bestFit="1" customWidth="1"/>
    <col min="26" max="26" width="32.140625" style="10" bestFit="1" customWidth="1"/>
    <col min="27" max="27" width="17.85546875" style="10" customWidth="1"/>
    <col min="28" max="28" width="15.42578125" style="10" customWidth="1"/>
    <col min="29" max="29" width="16.140625" style="10" customWidth="1"/>
    <col min="30" max="30" width="16.28515625" style="10" customWidth="1"/>
    <col min="31" max="31" width="14.85546875" style="10" customWidth="1"/>
    <col min="32" max="32" width="13.85546875" style="10" customWidth="1"/>
    <col min="33" max="33" width="14.7109375" style="10" customWidth="1"/>
    <col min="34" max="34" width="31.42578125" style="10" bestFit="1" customWidth="1"/>
    <col min="35" max="35" width="22.7109375" style="10" bestFit="1" customWidth="1"/>
    <col min="36" max="36" width="31.42578125" style="10" bestFit="1" customWidth="1"/>
    <col min="37" max="37" width="22.7109375" style="10" bestFit="1" customWidth="1"/>
    <col min="38" max="38" width="30.85546875" style="10" customWidth="1"/>
    <col min="39" max="39" width="22.85546875" style="10" customWidth="1"/>
    <col min="40" max="16384" width="8.7109375" style="10"/>
  </cols>
  <sheetData>
    <row r="1" spans="1:40" ht="26.1">
      <c r="A1" s="47" t="s">
        <v>391</v>
      </c>
      <c r="B1" s="35"/>
      <c r="C1" s="35"/>
      <c r="D1" s="36"/>
      <c r="E1" s="38"/>
      <c r="F1" s="39"/>
      <c r="G1" s="10"/>
      <c r="H1" s="10"/>
      <c r="T1" s="7"/>
      <c r="W1" s="10"/>
    </row>
    <row r="2" spans="1:40" ht="18.95" customHeight="1">
      <c r="A2" s="48" t="s">
        <v>392</v>
      </c>
      <c r="B2" s="35"/>
      <c r="C2" s="35"/>
      <c r="D2" s="36"/>
      <c r="E2" s="38"/>
      <c r="F2" s="39"/>
      <c r="G2" s="10"/>
      <c r="H2" s="10"/>
      <c r="T2" s="7"/>
      <c r="W2" s="10"/>
    </row>
    <row r="3" spans="1:40" ht="17.45" customHeight="1">
      <c r="D3" s="8"/>
      <c r="E3" s="9"/>
      <c r="F3" s="10"/>
      <c r="G3" s="10"/>
      <c r="H3" s="10"/>
      <c r="T3" s="7"/>
      <c r="W3" s="10"/>
    </row>
    <row r="4" spans="1:40">
      <c r="A4" s="49"/>
      <c r="B4" s="50"/>
      <c r="C4" s="50"/>
      <c r="D4" s="46" t="s">
        <v>11</v>
      </c>
      <c r="E4" s="50"/>
      <c r="F4" s="46"/>
      <c r="G4" s="45"/>
      <c r="H4" s="45"/>
      <c r="I4" s="51"/>
      <c r="J4" s="51"/>
      <c r="K4" s="51"/>
      <c r="L4" s="51"/>
      <c r="M4" s="51"/>
      <c r="N4" s="51"/>
      <c r="O4" s="51"/>
      <c r="P4" s="51"/>
      <c r="Q4" s="51"/>
      <c r="R4" s="51"/>
      <c r="S4" s="51"/>
      <c r="T4" s="51"/>
      <c r="U4" s="51"/>
      <c r="V4" s="51"/>
      <c r="W4" s="50"/>
      <c r="X4" s="50"/>
      <c r="Y4" s="50"/>
      <c r="Z4" s="50"/>
      <c r="AA4" s="50"/>
      <c r="AB4" s="50"/>
      <c r="AC4" s="50"/>
      <c r="AD4" s="50"/>
      <c r="AE4" s="50"/>
      <c r="AF4" s="50"/>
      <c r="AG4" s="50"/>
      <c r="AH4" s="50"/>
      <c r="AI4" s="50"/>
      <c r="AJ4" s="50"/>
      <c r="AK4" s="50"/>
      <c r="AL4" s="50"/>
      <c r="AM4" s="50"/>
      <c r="AN4" s="50"/>
    </row>
    <row r="5" spans="1:40">
      <c r="D5" s="8"/>
      <c r="E5" s="9"/>
      <c r="F5" s="10"/>
      <c r="G5" s="10"/>
      <c r="H5" s="10"/>
      <c r="T5" s="7"/>
      <c r="W5" s="10"/>
    </row>
    <row r="6" spans="1:40" ht="30.95">
      <c r="D6" s="152" t="s">
        <v>393</v>
      </c>
      <c r="E6" s="208" t="e">
        <f>IF(MCC_Choice="No",0,E7/SUM('Marginal Capacity Costs Inputs'!G17:G116)/AVERAGEIFS(F24:F122,E24:E122,1))</f>
        <v>#DIV/0!</v>
      </c>
      <c r="F6" s="206"/>
      <c r="G6" s="347"/>
      <c r="H6" s="10"/>
      <c r="T6" s="7"/>
      <c r="W6" s="10"/>
    </row>
    <row r="7" spans="1:40">
      <c r="D7" s="76" t="s">
        <v>394</v>
      </c>
      <c r="E7" s="208">
        <f>IF(MCC_Choice="No",0,SUM(AK24:AK122))</f>
        <v>0</v>
      </c>
      <c r="F7" s="10"/>
      <c r="G7" s="10"/>
      <c r="H7" s="10"/>
      <c r="T7" s="7"/>
      <c r="W7" s="10"/>
    </row>
    <row r="8" spans="1:40">
      <c r="D8" s="8"/>
      <c r="E8" s="9"/>
      <c r="F8" s="10"/>
      <c r="G8" s="10"/>
      <c r="H8" s="10"/>
      <c r="T8" s="7"/>
      <c r="W8" s="10"/>
    </row>
    <row r="9" spans="1:40">
      <c r="D9" s="8"/>
      <c r="E9" s="9"/>
      <c r="F9" s="10"/>
      <c r="G9" s="10"/>
      <c r="H9" s="10"/>
      <c r="T9" s="7"/>
      <c r="W9" s="10"/>
    </row>
    <row r="10" spans="1:40">
      <c r="A10" s="49"/>
      <c r="B10" s="50"/>
      <c r="C10" s="50"/>
      <c r="D10" s="46" t="s">
        <v>395</v>
      </c>
      <c r="E10" s="50"/>
      <c r="F10" s="46"/>
      <c r="G10" s="45"/>
      <c r="H10" s="45"/>
      <c r="I10" s="51"/>
      <c r="J10" s="51"/>
      <c r="K10" s="51"/>
      <c r="L10" s="51"/>
      <c r="M10" s="51"/>
      <c r="N10" s="51"/>
      <c r="O10" s="51"/>
      <c r="P10" s="51"/>
      <c r="Q10" s="51"/>
      <c r="R10" s="51"/>
      <c r="S10" s="51"/>
      <c r="T10" s="51"/>
      <c r="U10" s="51"/>
      <c r="V10" s="51"/>
      <c r="W10" s="50"/>
      <c r="X10" s="50"/>
      <c r="Y10" s="50"/>
      <c r="Z10" s="50"/>
      <c r="AA10" s="50"/>
      <c r="AB10" s="50"/>
      <c r="AC10" s="50"/>
      <c r="AD10" s="50"/>
      <c r="AE10" s="50"/>
      <c r="AF10" s="50"/>
      <c r="AG10" s="50"/>
      <c r="AH10" s="50"/>
      <c r="AI10" s="50"/>
      <c r="AJ10" s="50"/>
      <c r="AK10" s="50"/>
      <c r="AL10" s="50"/>
      <c r="AM10" s="50"/>
      <c r="AN10" s="50"/>
    </row>
    <row r="12" spans="1:40" ht="46.5">
      <c r="E12" s="154" t="s">
        <v>319</v>
      </c>
      <c r="F12" s="155" t="s">
        <v>320</v>
      </c>
      <c r="G12" s="155" t="s">
        <v>321</v>
      </c>
      <c r="H12" s="155" t="s">
        <v>256</v>
      </c>
      <c r="I12" s="155" t="s">
        <v>257</v>
      </c>
      <c r="J12" s="155" t="s">
        <v>258</v>
      </c>
      <c r="K12" s="155" t="s">
        <v>259</v>
      </c>
      <c r="L12" s="155" t="s">
        <v>261</v>
      </c>
      <c r="M12" s="155" t="s">
        <v>322</v>
      </c>
      <c r="N12" s="156" t="s">
        <v>323</v>
      </c>
      <c r="O12" s="56"/>
    </row>
    <row r="13" spans="1:40">
      <c r="D13" s="167" t="s">
        <v>194</v>
      </c>
      <c r="E13" s="217">
        <f>'Calculation Parameters'!E27</f>
        <v>0.6</v>
      </c>
      <c r="F13" s="218">
        <f>'Calculation Parameters'!F27</f>
        <v>13.3</v>
      </c>
      <c r="G13" s="219">
        <f>'Calculation Parameters'!G27</f>
        <v>0.7</v>
      </c>
      <c r="H13" s="83">
        <f>'Calculation Parameters'!H27</f>
        <v>8.7899999999999991</v>
      </c>
      <c r="I13" s="83">
        <f>'Calculation Parameters'!I27</f>
        <v>10</v>
      </c>
      <c r="J13" s="83">
        <f>'Calculation Parameters'!J27</f>
        <v>3.11</v>
      </c>
      <c r="K13" s="83">
        <f>'Calculation Parameters'!K27</f>
        <v>6.2</v>
      </c>
      <c r="L13" s="83">
        <f>'Calculation Parameters'!L27</f>
        <v>0.65</v>
      </c>
      <c r="M13" s="83">
        <f>'Calculation Parameters'!M27</f>
        <v>6</v>
      </c>
      <c r="N13" s="84">
        <f>'Calculation Parameters'!N27</f>
        <v>0.71</v>
      </c>
    </row>
    <row r="14" spans="1:40">
      <c r="D14" s="168" t="s">
        <v>195</v>
      </c>
      <c r="E14" s="220">
        <f>'Calculation Parameters'!E28</f>
        <v>0.6</v>
      </c>
      <c r="F14" s="221">
        <f>'Calculation Parameters'!F28</f>
        <v>13.3</v>
      </c>
      <c r="G14" s="222">
        <f>'Calculation Parameters'!G28</f>
        <v>0.7</v>
      </c>
      <c r="H14" s="88">
        <f>'Calculation Parameters'!H28</f>
        <v>10.029999999999999</v>
      </c>
      <c r="I14" s="88">
        <f>'Calculation Parameters'!I28</f>
        <v>10</v>
      </c>
      <c r="J14" s="88">
        <f>'Calculation Parameters'!J28</f>
        <v>3.57</v>
      </c>
      <c r="K14" s="88">
        <f>'Calculation Parameters'!K28</f>
        <v>7.1459999999999999</v>
      </c>
      <c r="L14" s="88">
        <f>'Calculation Parameters'!L28</f>
        <v>0.65</v>
      </c>
      <c r="M14" s="88">
        <f>'Calculation Parameters'!M28</f>
        <v>6</v>
      </c>
      <c r="N14" s="89">
        <f>'Calculation Parameters'!N28</f>
        <v>0.71</v>
      </c>
    </row>
    <row r="16" spans="1:40">
      <c r="A16" s="49"/>
      <c r="B16" s="50"/>
      <c r="C16" s="50"/>
      <c r="D16" s="46" t="s">
        <v>396</v>
      </c>
      <c r="E16" s="50"/>
      <c r="F16" s="46"/>
      <c r="G16" s="45"/>
      <c r="H16" s="45"/>
      <c r="I16" s="51"/>
      <c r="J16" s="51"/>
      <c r="K16" s="51"/>
      <c r="L16" s="51"/>
      <c r="M16" s="51"/>
      <c r="N16" s="51"/>
      <c r="O16" s="51"/>
      <c r="P16" s="51"/>
      <c r="Q16" s="51"/>
      <c r="R16" s="51"/>
      <c r="S16" s="51"/>
      <c r="T16" s="51"/>
      <c r="U16" s="51"/>
      <c r="V16" s="51"/>
      <c r="W16" s="50"/>
      <c r="X16" s="50"/>
      <c r="Y16" s="50"/>
      <c r="Z16" s="50"/>
      <c r="AA16" s="50"/>
      <c r="AB16" s="50"/>
      <c r="AC16" s="50"/>
      <c r="AD16" s="50"/>
      <c r="AE16" s="50"/>
      <c r="AF16" s="50"/>
      <c r="AG16" s="50"/>
      <c r="AH16" s="50"/>
      <c r="AI16" s="50"/>
      <c r="AJ16" s="50"/>
      <c r="AK16" s="50"/>
      <c r="AL16" s="50"/>
      <c r="AM16" s="50"/>
      <c r="AN16" s="50"/>
    </row>
    <row r="18" spans="1:40">
      <c r="D18" s="169" t="s">
        <v>397</v>
      </c>
      <c r="E18" s="170">
        <f>'General Inputs'!F32</f>
        <v>0</v>
      </c>
    </row>
    <row r="19" spans="1:40">
      <c r="D19" s="169" t="s">
        <v>193</v>
      </c>
      <c r="E19" s="170">
        <f>'General Inputs'!F6</f>
        <v>0</v>
      </c>
    </row>
    <row r="21" spans="1:40">
      <c r="A21" s="49"/>
      <c r="B21" s="50"/>
      <c r="C21" s="50"/>
      <c r="D21" s="46" t="s">
        <v>391</v>
      </c>
      <c r="E21" s="50"/>
      <c r="F21" s="46"/>
      <c r="G21" s="45"/>
      <c r="H21" s="45"/>
      <c r="I21" s="51"/>
      <c r="J21" s="51"/>
      <c r="K21" s="51"/>
      <c r="L21" s="51"/>
      <c r="M21" s="51"/>
      <c r="N21" s="51"/>
      <c r="O21" s="51"/>
      <c r="P21" s="51"/>
      <c r="Q21" s="51"/>
      <c r="R21" s="51"/>
      <c r="S21" s="51"/>
      <c r="T21" s="51"/>
      <c r="U21" s="51"/>
      <c r="V21" s="51"/>
      <c r="W21" s="50"/>
      <c r="X21" s="50"/>
      <c r="Y21" s="50"/>
      <c r="Z21" s="50"/>
      <c r="AA21" s="50"/>
      <c r="AB21" s="50"/>
      <c r="AC21" s="50"/>
      <c r="AD21" s="50"/>
      <c r="AE21" s="50"/>
      <c r="AF21" s="50"/>
      <c r="AG21" s="50"/>
      <c r="AH21" s="50"/>
      <c r="AI21" s="50"/>
      <c r="AJ21" s="50"/>
      <c r="AK21" s="50"/>
      <c r="AL21" s="50"/>
      <c r="AM21" s="50"/>
      <c r="AN21" s="50"/>
    </row>
    <row r="22" spans="1:40" ht="18.600000000000001">
      <c r="L22" s="33"/>
      <c r="V22" s="33"/>
    </row>
    <row r="23" spans="1:40" s="20" customFormat="1" ht="51" customHeight="1">
      <c r="A23" s="19"/>
      <c r="D23" s="171" t="s">
        <v>250</v>
      </c>
      <c r="E23" s="171" t="s">
        <v>398</v>
      </c>
      <c r="F23" s="172" t="s">
        <v>399</v>
      </c>
      <c r="G23" s="172" t="s">
        <v>400</v>
      </c>
      <c r="H23" s="172" t="s">
        <v>401</v>
      </c>
      <c r="I23" s="172" t="s">
        <v>402</v>
      </c>
      <c r="J23" s="172" t="s">
        <v>403</v>
      </c>
      <c r="K23" s="172" t="s">
        <v>404</v>
      </c>
      <c r="L23" s="172" t="s">
        <v>405</v>
      </c>
      <c r="M23" s="172" t="s">
        <v>406</v>
      </c>
      <c r="N23" s="172" t="s">
        <v>407</v>
      </c>
      <c r="O23" s="172" t="s">
        <v>408</v>
      </c>
      <c r="P23" s="172" t="s">
        <v>409</v>
      </c>
      <c r="Q23" s="172" t="s">
        <v>410</v>
      </c>
      <c r="R23" s="172" t="s">
        <v>411</v>
      </c>
      <c r="S23" s="172" t="s">
        <v>412</v>
      </c>
      <c r="T23" s="172" t="s">
        <v>413</v>
      </c>
      <c r="U23" s="172" t="s">
        <v>414</v>
      </c>
      <c r="V23" s="172" t="s">
        <v>415</v>
      </c>
      <c r="W23" s="172" t="s">
        <v>416</v>
      </c>
      <c r="X23" s="172" t="s">
        <v>417</v>
      </c>
      <c r="Y23" s="172" t="s">
        <v>412</v>
      </c>
      <c r="Z23" s="172" t="s">
        <v>418</v>
      </c>
      <c r="AA23" s="172" t="s">
        <v>419</v>
      </c>
      <c r="AB23" s="172" t="s">
        <v>420</v>
      </c>
      <c r="AC23" s="172" t="s">
        <v>421</v>
      </c>
      <c r="AD23" s="172" t="s">
        <v>422</v>
      </c>
      <c r="AE23" s="172" t="s">
        <v>423</v>
      </c>
      <c r="AF23" s="172" t="s">
        <v>424</v>
      </c>
      <c r="AG23" s="172" t="s">
        <v>425</v>
      </c>
      <c r="AH23" s="172" t="s">
        <v>426</v>
      </c>
      <c r="AI23" s="172" t="s">
        <v>427</v>
      </c>
      <c r="AJ23" s="172" t="s">
        <v>290</v>
      </c>
      <c r="AK23" s="172" t="s">
        <v>291</v>
      </c>
    </row>
    <row r="24" spans="1:40">
      <c r="A24" s="12"/>
      <c r="D24" s="32">
        <v>1</v>
      </c>
      <c r="E24" s="32">
        <f>IF($E$18="No",0,IF('Marginal Capacity Costs Inputs'!E17="No",0,1))</f>
        <v>0</v>
      </c>
      <c r="F24" s="24" t="str">
        <f>IF(E24=0,"",(1-'RF - Calculations'!$E$6))</f>
        <v/>
      </c>
      <c r="G24" s="24" t="str">
        <f>IF(E24=0,"",IF('Marginal Capacity Costs Inputs'!$H17=Lists!$D$21,SUMIFS($F$13:$F$14,$D$13:$D$14,$E$19)*'Inflation - Calculations'!$E$7,'Marginal Capacity Costs Inputs'!$I18))</f>
        <v/>
      </c>
      <c r="H24" s="24" t="str">
        <f>IF(E24=0,"",IF('Marginal Capacity Costs Inputs'!$J17=Lists!$D$21,SUMIFS($G$13:$G$14,$D$13:$D$14,$E$19)*'Inflation - Calculations'!$E$8,'Marginal Capacity Costs Inputs'!$K18))</f>
        <v/>
      </c>
      <c r="I24" s="24" t="str">
        <f>IF(E24=0,"",SUMIFS($M$13:$M$14,$D$13:$D$14,$E$19))</f>
        <v/>
      </c>
      <c r="J24" s="194" t="str">
        <f>IF(E24=0,"",IF('Marginal Capacity Costs Inputs'!N17="Default",'Marginal Capacity Costs Inputs'!O17,'Marginal Capacity Costs Inputs'!O18)/IF('Marginal Capacity Costs Inputs'!P17="Default",'Marginal Capacity Costs Inputs'!Q17,'Marginal Capacity Costs Inputs'!Q18))</f>
        <v/>
      </c>
      <c r="K24" s="194" t="str">
        <f>IF(E24=0,"",J24*I24)</f>
        <v/>
      </c>
      <c r="L24" s="194" t="str">
        <f>IF(E24=0,"",1/IF('Marginal Capacity Costs Inputs'!R17="Default",'Marginal Capacity Costs Inputs'!S17,'Marginal Capacity Costs Inputs'!S18))</f>
        <v/>
      </c>
      <c r="M24" s="194" t="str">
        <f>IF(E24=0,"",I24*((K24+L24)/K24)^SUMIFS($E$13:$E$14,$D$13:$D$14,$E$19))</f>
        <v/>
      </c>
      <c r="N24" s="194" t="str">
        <f>IF(E24=0,"",I24/((IF('Marginal Capacity Costs Inputs'!L17="Default",'Marginal Capacity Costs Inputs'!M17,'Marginal Capacity Costs Inputs'!M18)/(IF('Marginal Capacity Costs Inputs'!R17="Default",'Marginal Capacity Costs Inputs'!S17,'Marginal Capacity Costs Inputs'!S18)*2))))</f>
        <v/>
      </c>
      <c r="O24" s="194" t="str">
        <f>IF(E24=0,"",N24/2)</f>
        <v/>
      </c>
      <c r="P24" s="194" t="str">
        <f>IF(E24=0,"",M24/((IF('Marginal Capacity Costs Inputs'!L17="Default",'Marginal Capacity Costs Inputs'!M17,'Marginal Capacity Costs Inputs'!M18)/(IF('Marginal Capacity Costs Inputs'!R17="Default",'Marginal Capacity Costs Inputs'!S17,'Marginal Capacity Costs Inputs'!S18)*2))))</f>
        <v/>
      </c>
      <c r="Q24" s="194" t="str">
        <f>IF(E24=0,"",P24/2)</f>
        <v/>
      </c>
      <c r="R24" s="194" t="str">
        <f>IF(E24=0,"",Q24-O24)</f>
        <v/>
      </c>
      <c r="S24" s="194" t="str">
        <f>IF(E24=0,"",(R24*IF('Marginal Capacity Costs Inputs'!H17="Default",'Marginal Capacity Costs Inputs'!I17,'Marginal Capacity Costs Inputs'!I18)))</f>
        <v/>
      </c>
      <c r="T24" s="194" t="str">
        <f>IF(E24=0,"",I24*IF('Marginal Capacity Costs Inputs'!R17="Default",'Marginal Capacity Costs Inputs'!S17,'Marginal Capacity Costs Inputs'!S18)*2)</f>
        <v/>
      </c>
      <c r="U24" s="194" t="str">
        <f>IF(E24=0,"",T24/2)</f>
        <v/>
      </c>
      <c r="V24" s="194" t="str">
        <f>IF(E24=0,"",M24*IF('Marginal Capacity Costs Inputs'!R17="Default",'Marginal Capacity Costs Inputs'!S17,'Marginal Capacity Costs Inputs'!S18)*2)</f>
        <v/>
      </c>
      <c r="W24" s="194" t="str">
        <f>IF(E24=0,"",V24/2)</f>
        <v/>
      </c>
      <c r="X24" s="194" t="str">
        <f>IF(E24=0,"",W24-U24)</f>
        <v/>
      </c>
      <c r="Y24" s="195" t="str">
        <f>IF(E24=0,"",X24*IF('Marginal Capacity Costs Inputs'!J17="Default",'Marginal Capacity Costs Inputs'!K17,'Marginal Capacity Costs Inputs'!K18))</f>
        <v/>
      </c>
      <c r="Z24" s="196" t="str">
        <f>IF(E24=0,"",Y24+S24)</f>
        <v/>
      </c>
      <c r="AA24" s="197" t="str">
        <f>IF(E24=0,"",(M24-I24)/I24)</f>
        <v/>
      </c>
      <c r="AB24" s="197" t="str">
        <f>IF(E24=0,"",AA24*SUMIFS($N$13:$N$14,$D$13:$D$14,$E$19))</f>
        <v/>
      </c>
      <c r="AC24" s="198" t="str">
        <f>IF(E24=0,"",K24*IF('Marginal Capacity Costs Inputs'!R17="Default",'Marginal Capacity Costs Inputs'!S17,'Marginal Capacity Costs Inputs'!S18)*2)</f>
        <v/>
      </c>
      <c r="AD24" s="195" t="str">
        <f>IF(E24=0,"",AC24/2)</f>
        <v/>
      </c>
      <c r="AE24" s="198" t="str">
        <f>IF(E24=0,"",AD24*IF('Marginal Capacity Costs Inputs'!U17="Default",'Marginal Capacity Costs Inputs'!V17,'Marginal Capacity Costs Inputs'!V18))</f>
        <v/>
      </c>
      <c r="AF24" s="195" t="str">
        <f>IF(E24=0,"",AB24*AE24)</f>
        <v/>
      </c>
      <c r="AG24" s="196" t="str">
        <f>IF(E24=0,"",AF24*'Marginal Capacity Costs Inputs'!T17)</f>
        <v/>
      </c>
      <c r="AH24" s="196" t="str">
        <f>IF(E24=0,"",AF24*'MOC - Calculations'!$E$6)</f>
        <v/>
      </c>
      <c r="AI24" s="199" t="str">
        <f>IF(E24=0,"",Z24-AG24+AH24)</f>
        <v/>
      </c>
      <c r="AJ24" s="195" t="str">
        <f>IF(E24=0,"",IF(AI24&lt;0,0,AI24))</f>
        <v/>
      </c>
      <c r="AK24" s="195" t="str">
        <f>IF(E24=0,"",AJ24*'Marginal Capacity Costs Inputs'!G17*'MCC - Calculations'!F24)</f>
        <v/>
      </c>
    </row>
    <row r="25" spans="1:40" customFormat="1" ht="14.45"/>
    <row r="26" spans="1:40">
      <c r="A26" s="12"/>
      <c r="D26" s="32">
        <v>2</v>
      </c>
      <c r="E26" s="32">
        <f>IF($E$18="No",0,IF('Marginal Capacity Costs Inputs'!E19="No",0,1))</f>
        <v>0</v>
      </c>
      <c r="F26" s="24" t="str">
        <f>IF(E26=0,"",(1-'RF - Calculations'!$E$6))</f>
        <v/>
      </c>
      <c r="G26" s="24" t="str">
        <f>IF(E26=0,"",IF('Marginal Capacity Costs Inputs'!$H19=Lists!$D$21,SUMIFS($F$13:$F$14,$D$13:$D$14,$E$19)*'Inflation - Calculations'!$E$7,'Marginal Capacity Costs Inputs'!$I20))</f>
        <v/>
      </c>
      <c r="H26" s="24" t="str">
        <f>IF(E26=0,"",IF('Marginal Capacity Costs Inputs'!$J19=Lists!$D$21,SUMIFS($G$13:$G$14,$D$13:$D$14,$E$19)*'Inflation - Calculations'!$E$8,'Marginal Capacity Costs Inputs'!$K20))</f>
        <v/>
      </c>
      <c r="I26" s="24" t="str">
        <f>IF(E26=0,"",SUMIFS($M$13:$M$14,$D$13:$D$14,$E$19))</f>
        <v/>
      </c>
      <c r="J26" s="194" t="str">
        <f>IF(E26=0,"",IF('Marginal Capacity Costs Inputs'!N19="Default",'Marginal Capacity Costs Inputs'!O19,'Marginal Capacity Costs Inputs'!O20)/IF('Marginal Capacity Costs Inputs'!P19="Default",'Marginal Capacity Costs Inputs'!Q19,'Marginal Capacity Costs Inputs'!Q20))</f>
        <v/>
      </c>
      <c r="K26" s="194" t="str">
        <f t="shared" ref="K26" si="0">IF(E26=0,"",J26*I26)</f>
        <v/>
      </c>
      <c r="L26" s="194" t="str">
        <f>IF(E26=0,"",1/IF('Marginal Capacity Costs Inputs'!R19="Default",'Marginal Capacity Costs Inputs'!S19,'Marginal Capacity Costs Inputs'!S20))</f>
        <v/>
      </c>
      <c r="M26" s="194" t="str">
        <f>IF(E26=0,"",I26*((K26+L26)/K26)^SUMIFS($E$13:$E$14,$D$13:$D$14,$E$19))</f>
        <v/>
      </c>
      <c r="N26" s="194" t="str">
        <f>IF(E26=0,"",I26/((IF('Marginal Capacity Costs Inputs'!L19="Default",'Marginal Capacity Costs Inputs'!M19,'Marginal Capacity Costs Inputs'!M20)/(IF('Marginal Capacity Costs Inputs'!R19="Default",'Marginal Capacity Costs Inputs'!S19,'Marginal Capacity Costs Inputs'!S20)*2))))</f>
        <v/>
      </c>
      <c r="O26" s="194" t="str">
        <f t="shared" ref="O26" si="1">IF(E26=0,"",N26/2)</f>
        <v/>
      </c>
      <c r="P26" s="194" t="str">
        <f>IF(E26=0,"",M26/((IF('Marginal Capacity Costs Inputs'!L19="Default",'Marginal Capacity Costs Inputs'!M19,'Marginal Capacity Costs Inputs'!M20)/(IF('Marginal Capacity Costs Inputs'!R19="Default",'Marginal Capacity Costs Inputs'!S19,'Marginal Capacity Costs Inputs'!S20)*2))))</f>
        <v/>
      </c>
      <c r="Q26" s="194" t="str">
        <f t="shared" ref="Q26" si="2">IF(E26=0,"",P26/2)</f>
        <v/>
      </c>
      <c r="R26" s="194" t="str">
        <f t="shared" ref="R26" si="3">IF(E26=0,"",Q26-O26)</f>
        <v/>
      </c>
      <c r="S26" s="194" t="str">
        <f>IF(E26=0,"",(R26*IF('Marginal Capacity Costs Inputs'!H19="Default",'Marginal Capacity Costs Inputs'!I19,'Marginal Capacity Costs Inputs'!I20)))</f>
        <v/>
      </c>
      <c r="T26" s="194" t="str">
        <f>IF(E26=0,"",I26*IF('Marginal Capacity Costs Inputs'!R19="Default",'Marginal Capacity Costs Inputs'!S19,'Marginal Capacity Costs Inputs'!S20)*2)</f>
        <v/>
      </c>
      <c r="U26" s="194" t="str">
        <f t="shared" ref="U26" si="4">IF(E26=0,"",T26/2)</f>
        <v/>
      </c>
      <c r="V26" s="194" t="str">
        <f>IF(E26=0,"",M26*IF('Marginal Capacity Costs Inputs'!R19="Default",'Marginal Capacity Costs Inputs'!S19,'Marginal Capacity Costs Inputs'!S20)*2)</f>
        <v/>
      </c>
      <c r="W26" s="194" t="str">
        <f t="shared" ref="W26" si="5">IF(E26=0,"",V26/2)</f>
        <v/>
      </c>
      <c r="X26" s="194" t="str">
        <f t="shared" ref="X26" si="6">IF(E26=0,"",W26-U26)</f>
        <v/>
      </c>
      <c r="Y26" s="195" t="str">
        <f>IF(E26=0,"",X26*IF('Marginal Capacity Costs Inputs'!J19="Default",'Marginal Capacity Costs Inputs'!K19,'Marginal Capacity Costs Inputs'!K20))</f>
        <v/>
      </c>
      <c r="Z26" s="196" t="str">
        <f t="shared" ref="Z26" si="7">IF(E26=0,"",Y26+S26)</f>
        <v/>
      </c>
      <c r="AA26" s="197" t="str">
        <f t="shared" ref="AA26" si="8">IF(E26=0,"",(M26-I26)/I26)</f>
        <v/>
      </c>
      <c r="AB26" s="197" t="str">
        <f>IF(E26=0,"",AA26*SUMIFS($N$13:$N$14,$D$13:$D$14,$E$19))</f>
        <v/>
      </c>
      <c r="AC26" s="198" t="str">
        <f>IF(E26=0,"",K26*IF('Marginal Capacity Costs Inputs'!R19="Default",'Marginal Capacity Costs Inputs'!S19,'Marginal Capacity Costs Inputs'!S20)*2)</f>
        <v/>
      </c>
      <c r="AD26" s="195" t="str">
        <f t="shared" ref="AD26" si="9">IF(E26=0,"",AC26/2)</f>
        <v/>
      </c>
      <c r="AE26" s="198" t="str">
        <f>IF(E26=0,"",AD26*IF('Marginal Capacity Costs Inputs'!U19="Default",'Marginal Capacity Costs Inputs'!V19,'Marginal Capacity Costs Inputs'!V20))</f>
        <v/>
      </c>
      <c r="AF26" s="195" t="str">
        <f t="shared" ref="AF26" si="10">IF(E26=0,"",AB26*AE26)</f>
        <v/>
      </c>
      <c r="AG26" s="196" t="str">
        <f>IF(E26=0,"",AF26*'Marginal Capacity Costs Inputs'!T19)</f>
        <v/>
      </c>
      <c r="AH26" s="196" t="str">
        <f>IF(E26=0,"",AF26*'MOC - Calculations'!$E$6)</f>
        <v/>
      </c>
      <c r="AI26" s="199" t="str">
        <f t="shared" ref="AI26" si="11">IF(E26=0,"",Z26-AG26+AH26)</f>
        <v/>
      </c>
      <c r="AJ26" s="195" t="str">
        <f t="shared" ref="AJ26" si="12">IF(E26=0,"",IF(AI26&lt;0,0,AI26))</f>
        <v/>
      </c>
      <c r="AK26" s="195" t="str">
        <f>IF(E26=0,"",AJ26*'Marginal Capacity Costs Inputs'!G19*'MCC - Calculations'!F26)</f>
        <v/>
      </c>
    </row>
    <row r="27" spans="1:40" customFormat="1" ht="14.45"/>
    <row r="28" spans="1:40">
      <c r="A28" s="12"/>
      <c r="D28" s="32">
        <v>3</v>
      </c>
      <c r="E28" s="32">
        <f>IF($E$18="No",0,IF('Marginal Capacity Costs Inputs'!E21="No",0,1))</f>
        <v>0</v>
      </c>
      <c r="F28" s="24" t="str">
        <f>IF(E28=0,"",(1-'RF - Calculations'!$E$6))</f>
        <v/>
      </c>
      <c r="G28" s="24" t="str">
        <f>IF(E28=0,"",IF('Marginal Capacity Costs Inputs'!$H21=Lists!$D$21,SUMIFS($F$13:$F$14,$D$13:$D$14,$E$19)*'Inflation - Calculations'!$E$7,'Marginal Capacity Costs Inputs'!$I22))</f>
        <v/>
      </c>
      <c r="H28" s="24" t="str">
        <f>IF(E28=0,"",IF('Marginal Capacity Costs Inputs'!$J21=Lists!$D$21,SUMIFS($G$13:$G$14,$D$13:$D$14,$E$19)*'Inflation - Calculations'!$E$8,'Marginal Capacity Costs Inputs'!$K22))</f>
        <v/>
      </c>
      <c r="I28" s="24" t="str">
        <f>IF(E28=0,"",SUMIFS($M$13:$M$14,$D$13:$D$14,$E$19))</f>
        <v/>
      </c>
      <c r="J28" s="194" t="str">
        <f>IF(E28=0,"",IF('Marginal Capacity Costs Inputs'!N21="Default",'Marginal Capacity Costs Inputs'!O21,'Marginal Capacity Costs Inputs'!O22)/IF('Marginal Capacity Costs Inputs'!P21="Default",'Marginal Capacity Costs Inputs'!Q21,'Marginal Capacity Costs Inputs'!Q22))</f>
        <v/>
      </c>
      <c r="K28" s="194" t="str">
        <f t="shared" ref="K28" si="13">IF(E28=0,"",J28*I28)</f>
        <v/>
      </c>
      <c r="L28" s="194" t="str">
        <f>IF(E28=0,"",1/IF('Marginal Capacity Costs Inputs'!R21="Default",'Marginal Capacity Costs Inputs'!S21,'Marginal Capacity Costs Inputs'!S22))</f>
        <v/>
      </c>
      <c r="M28" s="194" t="str">
        <f>IF(E28=0,"",I28*((K28+L28)/K28)^SUMIFS($E$13:$E$14,$D$13:$D$14,$E$19))</f>
        <v/>
      </c>
      <c r="N28" s="194" t="str">
        <f>IF(E28=0,"",I28/((IF('Marginal Capacity Costs Inputs'!L21="Default",'Marginal Capacity Costs Inputs'!M21,'Marginal Capacity Costs Inputs'!M22)/(IF('Marginal Capacity Costs Inputs'!R21="Default",'Marginal Capacity Costs Inputs'!S21,'Marginal Capacity Costs Inputs'!S22)*2))))</f>
        <v/>
      </c>
      <c r="O28" s="194" t="str">
        <f t="shared" ref="O28" si="14">IF(E28=0,"",N28/2)</f>
        <v/>
      </c>
      <c r="P28" s="194" t="str">
        <f>IF(E28=0,"",M28/((IF('Marginal Capacity Costs Inputs'!L21="Default",'Marginal Capacity Costs Inputs'!M21,'Marginal Capacity Costs Inputs'!M22)/(IF('Marginal Capacity Costs Inputs'!R21="Default",'Marginal Capacity Costs Inputs'!S21,'Marginal Capacity Costs Inputs'!S22)*2))))</f>
        <v/>
      </c>
      <c r="Q28" s="194" t="str">
        <f t="shared" ref="Q28" si="15">IF(E28=0,"",P28/2)</f>
        <v/>
      </c>
      <c r="R28" s="194" t="str">
        <f t="shared" ref="R28" si="16">IF(E28=0,"",Q28-O28)</f>
        <v/>
      </c>
      <c r="S28" s="194" t="str">
        <f>IF(E28=0,"",(R28*IF('Marginal Capacity Costs Inputs'!H21="Default",'Marginal Capacity Costs Inputs'!I21,'Marginal Capacity Costs Inputs'!I22)))</f>
        <v/>
      </c>
      <c r="T28" s="194" t="str">
        <f>IF(E28=0,"",I28*IF('Marginal Capacity Costs Inputs'!R21="Default",'Marginal Capacity Costs Inputs'!S21,'Marginal Capacity Costs Inputs'!S22)*2)</f>
        <v/>
      </c>
      <c r="U28" s="194" t="str">
        <f t="shared" ref="U28" si="17">IF(E28=0,"",T28/2)</f>
        <v/>
      </c>
      <c r="V28" s="194" t="str">
        <f>IF(E28=0,"",M28*IF('Marginal Capacity Costs Inputs'!R21="Default",'Marginal Capacity Costs Inputs'!S21,'Marginal Capacity Costs Inputs'!S22)*2)</f>
        <v/>
      </c>
      <c r="W28" s="194" t="str">
        <f t="shared" ref="W28" si="18">IF(E28=0,"",V28/2)</f>
        <v/>
      </c>
      <c r="X28" s="194" t="str">
        <f t="shared" ref="X28" si="19">IF(E28=0,"",W28-U28)</f>
        <v/>
      </c>
      <c r="Y28" s="195" t="str">
        <f>IF(E28=0,"",X28*IF('Marginal Capacity Costs Inputs'!J21="Default",'Marginal Capacity Costs Inputs'!K21,'Marginal Capacity Costs Inputs'!K22))</f>
        <v/>
      </c>
      <c r="Z28" s="196" t="str">
        <f t="shared" ref="Z28" si="20">IF(E28=0,"",Y28+S28)</f>
        <v/>
      </c>
      <c r="AA28" s="197" t="str">
        <f t="shared" ref="AA28" si="21">IF(E28=0,"",(M28-I28)/I28)</f>
        <v/>
      </c>
      <c r="AB28" s="197" t="str">
        <f>IF(E28=0,"",AA28*SUMIFS($N$13:$N$14,$D$13:$D$14,$E$19))</f>
        <v/>
      </c>
      <c r="AC28" s="198" t="str">
        <f>IF(E28=0,"",K28*IF('Marginal Capacity Costs Inputs'!R21="Default",'Marginal Capacity Costs Inputs'!S21,'Marginal Capacity Costs Inputs'!S22)*2)</f>
        <v/>
      </c>
      <c r="AD28" s="195" t="str">
        <f t="shared" ref="AD28" si="22">IF(E28=0,"",AC28/2)</f>
        <v/>
      </c>
      <c r="AE28" s="198" t="str">
        <f>IF(E28=0,"",AD28*IF('Marginal Capacity Costs Inputs'!U21="Default",'Marginal Capacity Costs Inputs'!V21,'Marginal Capacity Costs Inputs'!V22))</f>
        <v/>
      </c>
      <c r="AF28" s="195" t="str">
        <f t="shared" ref="AF28" si="23">IF(E28=0,"",AB28*AE28)</f>
        <v/>
      </c>
      <c r="AG28" s="196" t="str">
        <f>IF(E28=0,"",AF28*'Marginal Capacity Costs Inputs'!T21)</f>
        <v/>
      </c>
      <c r="AH28" s="196" t="str">
        <f>IF(E28=0,"",AF28*'MOC - Calculations'!$E$6)</f>
        <v/>
      </c>
      <c r="AI28" s="199" t="str">
        <f t="shared" ref="AI28" si="24">IF(E28=0,"",Z28-AG28+AH28)</f>
        <v/>
      </c>
      <c r="AJ28" s="195" t="str">
        <f t="shared" ref="AJ28" si="25">IF(E28=0,"",IF(AI28&lt;0,0,AI28))</f>
        <v/>
      </c>
      <c r="AK28" s="195" t="str">
        <f>IF(E28=0,"",AJ28*'Marginal Capacity Costs Inputs'!G21*'MCC - Calculations'!F28)</f>
        <v/>
      </c>
    </row>
    <row r="29" spans="1:40" customFormat="1" ht="14.45"/>
    <row r="30" spans="1:40">
      <c r="A30" s="12"/>
      <c r="D30" s="32">
        <v>4</v>
      </c>
      <c r="E30" s="32">
        <f>IF($E$18="No",0,IF('Marginal Capacity Costs Inputs'!E23="No",0,1))</f>
        <v>0</v>
      </c>
      <c r="F30" s="24" t="str">
        <f>IF(E30=0,"",(1-'RF - Calculations'!$E$6))</f>
        <v/>
      </c>
      <c r="G30" s="24" t="str">
        <f>IF(E30=0,"",IF('Marginal Capacity Costs Inputs'!$H23=Lists!$D$21,SUMIFS($F$13:$F$14,$D$13:$D$14,$E$19)*'Inflation - Calculations'!$E$7,'Marginal Capacity Costs Inputs'!$I24))</f>
        <v/>
      </c>
      <c r="H30" s="24" t="str">
        <f>IF(E30=0,"",IF('Marginal Capacity Costs Inputs'!$J23=Lists!$D$21,SUMIFS($G$13:$G$14,$D$13:$D$14,$E$19)*'Inflation - Calculations'!$E$8,'Marginal Capacity Costs Inputs'!$K24))</f>
        <v/>
      </c>
      <c r="I30" s="24" t="str">
        <f>IF(E30=0,"",SUMIFS($M$13:$M$14,$D$13:$D$14,$E$19))</f>
        <v/>
      </c>
      <c r="J30" s="194" t="str">
        <f>IF(E30=0,"",IF('Marginal Capacity Costs Inputs'!N23="Default",'Marginal Capacity Costs Inputs'!O23,'Marginal Capacity Costs Inputs'!O24)/IF('Marginal Capacity Costs Inputs'!P23="Default",'Marginal Capacity Costs Inputs'!Q23,'Marginal Capacity Costs Inputs'!Q24))</f>
        <v/>
      </c>
      <c r="K30" s="194" t="str">
        <f t="shared" ref="K30" si="26">IF(E30=0,"",J30*I30)</f>
        <v/>
      </c>
      <c r="L30" s="194" t="str">
        <f>IF(E30=0,"",1/IF('Marginal Capacity Costs Inputs'!R23="Default",'Marginal Capacity Costs Inputs'!S23,'Marginal Capacity Costs Inputs'!S24))</f>
        <v/>
      </c>
      <c r="M30" s="194" t="str">
        <f>IF(E30=0,"",I30*((K30+L30)/K30)^SUMIFS($E$13:$E$14,$D$13:$D$14,$E$19))</f>
        <v/>
      </c>
      <c r="N30" s="194" t="str">
        <f>IF(E30=0,"",I30/((IF('Marginal Capacity Costs Inputs'!L23="Default",'Marginal Capacity Costs Inputs'!M23,'Marginal Capacity Costs Inputs'!M24)/(IF('Marginal Capacity Costs Inputs'!R23="Default",'Marginal Capacity Costs Inputs'!S23,'Marginal Capacity Costs Inputs'!S24)*2))))</f>
        <v/>
      </c>
      <c r="O30" s="194" t="str">
        <f t="shared" ref="O30" si="27">IF(E30=0,"",N30/2)</f>
        <v/>
      </c>
      <c r="P30" s="194" t="str">
        <f>IF(E30=0,"",M30/((IF('Marginal Capacity Costs Inputs'!L23="Default",'Marginal Capacity Costs Inputs'!M23,'Marginal Capacity Costs Inputs'!M24)/(IF('Marginal Capacity Costs Inputs'!R23="Default",'Marginal Capacity Costs Inputs'!S23,'Marginal Capacity Costs Inputs'!S24)*2))))</f>
        <v/>
      </c>
      <c r="Q30" s="194" t="str">
        <f t="shared" ref="Q30" si="28">IF(E30=0,"",P30/2)</f>
        <v/>
      </c>
      <c r="R30" s="194" t="str">
        <f t="shared" ref="R30" si="29">IF(E30=0,"",Q30-O30)</f>
        <v/>
      </c>
      <c r="S30" s="194" t="str">
        <f>IF(E30=0,"",(R30*IF('Marginal Capacity Costs Inputs'!H23="Default",'Marginal Capacity Costs Inputs'!I23,'Marginal Capacity Costs Inputs'!I24)))</f>
        <v/>
      </c>
      <c r="T30" s="194" t="str">
        <f>IF(E30=0,"",I30*IF('Marginal Capacity Costs Inputs'!R23="Default",'Marginal Capacity Costs Inputs'!S23,'Marginal Capacity Costs Inputs'!S24)*2)</f>
        <v/>
      </c>
      <c r="U30" s="194" t="str">
        <f t="shared" ref="U30" si="30">IF(E30=0,"",T30/2)</f>
        <v/>
      </c>
      <c r="V30" s="194" t="str">
        <f>IF(E30=0,"",M30*IF('Marginal Capacity Costs Inputs'!R23="Default",'Marginal Capacity Costs Inputs'!S23,'Marginal Capacity Costs Inputs'!S24)*2)</f>
        <v/>
      </c>
      <c r="W30" s="194" t="str">
        <f t="shared" ref="W30" si="31">IF(E30=0,"",V30/2)</f>
        <v/>
      </c>
      <c r="X30" s="194" t="str">
        <f t="shared" ref="X30" si="32">IF(E30=0,"",W30-U30)</f>
        <v/>
      </c>
      <c r="Y30" s="195" t="str">
        <f>IF(E30=0,"",X30*IF('Marginal Capacity Costs Inputs'!J23="Default",'Marginal Capacity Costs Inputs'!K23,'Marginal Capacity Costs Inputs'!K24))</f>
        <v/>
      </c>
      <c r="Z30" s="196" t="str">
        <f t="shared" ref="Z30" si="33">IF(E30=0,"",Y30+S30)</f>
        <v/>
      </c>
      <c r="AA30" s="197" t="str">
        <f t="shared" ref="AA30" si="34">IF(E30=0,"",(M30-I30)/I30)</f>
        <v/>
      </c>
      <c r="AB30" s="197" t="str">
        <f>IF(E30=0,"",AA30*SUMIFS($N$13:$N$14,$D$13:$D$14,$E$19))</f>
        <v/>
      </c>
      <c r="AC30" s="198" t="str">
        <f>IF(E30=0,"",K30*IF('Marginal Capacity Costs Inputs'!R23="Default",'Marginal Capacity Costs Inputs'!S23,'Marginal Capacity Costs Inputs'!S24)*2)</f>
        <v/>
      </c>
      <c r="AD30" s="195" t="str">
        <f t="shared" ref="AD30" si="35">IF(E30=0,"",AC30/2)</f>
        <v/>
      </c>
      <c r="AE30" s="198" t="str">
        <f>IF(E30=0,"",AD30*IF('Marginal Capacity Costs Inputs'!U23="Default",'Marginal Capacity Costs Inputs'!V23,'Marginal Capacity Costs Inputs'!V24))</f>
        <v/>
      </c>
      <c r="AF30" s="195" t="str">
        <f t="shared" ref="AF30" si="36">IF(E30=0,"",AB30*AE30)</f>
        <v/>
      </c>
      <c r="AG30" s="196" t="str">
        <f>IF(E30=0,"",AF30*'Marginal Capacity Costs Inputs'!T23)</f>
        <v/>
      </c>
      <c r="AH30" s="196" t="str">
        <f>IF(E30=0,"",AF30*'MOC - Calculations'!$E$6)</f>
        <v/>
      </c>
      <c r="AI30" s="199" t="str">
        <f t="shared" ref="AI30" si="37">IF(E30=0,"",Z30-AG30+AH30)</f>
        <v/>
      </c>
      <c r="AJ30" s="195" t="str">
        <f t="shared" ref="AJ30" si="38">IF(E30=0,"",IF(AI30&lt;0,0,AI30))</f>
        <v/>
      </c>
      <c r="AK30" s="195" t="str">
        <f>IF(E30=0,"",AJ30*'Marginal Capacity Costs Inputs'!G23*'MCC - Calculations'!F30)</f>
        <v/>
      </c>
    </row>
    <row r="31" spans="1:40" customFormat="1" ht="14.45"/>
    <row r="32" spans="1:40">
      <c r="A32" s="12"/>
      <c r="D32" s="32">
        <v>5</v>
      </c>
      <c r="E32" s="32">
        <f>IF($E$18="No",0,IF('Marginal Capacity Costs Inputs'!E25="No",0,1))</f>
        <v>0</v>
      </c>
      <c r="F32" s="24" t="str">
        <f>IF(E32=0,"",(1-'RF - Calculations'!$E$6))</f>
        <v/>
      </c>
      <c r="G32" s="24" t="str">
        <f>IF(E32=0,"",IF('Marginal Capacity Costs Inputs'!$H25=Lists!$D$21,SUMIFS($F$13:$F$14,$D$13:$D$14,$E$19)*'Inflation - Calculations'!$E$7,'Marginal Capacity Costs Inputs'!$I26))</f>
        <v/>
      </c>
      <c r="H32" s="24" t="str">
        <f>IF(E32=0,"",IF('Marginal Capacity Costs Inputs'!$J25=Lists!$D$21,SUMIFS($G$13:$G$14,$D$13:$D$14,$E$19)*'Inflation - Calculations'!$E$8,'Marginal Capacity Costs Inputs'!$K26))</f>
        <v/>
      </c>
      <c r="I32" s="24" t="str">
        <f>IF(E32=0,"",SUMIFS($M$13:$M$14,$D$13:$D$14,$E$19))</f>
        <v/>
      </c>
      <c r="J32" s="194" t="str">
        <f>IF(E32=0,"",IF('Marginal Capacity Costs Inputs'!N25="Default",'Marginal Capacity Costs Inputs'!O25,'Marginal Capacity Costs Inputs'!O26)/IF('Marginal Capacity Costs Inputs'!P25="Default",'Marginal Capacity Costs Inputs'!Q25,'Marginal Capacity Costs Inputs'!Q26))</f>
        <v/>
      </c>
      <c r="K32" s="194" t="str">
        <f t="shared" ref="K32" si="39">IF(E32=0,"",J32*I32)</f>
        <v/>
      </c>
      <c r="L32" s="194" t="str">
        <f>IF(E32=0,"",1/IF('Marginal Capacity Costs Inputs'!R25="Default",'Marginal Capacity Costs Inputs'!S25,'Marginal Capacity Costs Inputs'!S26))</f>
        <v/>
      </c>
      <c r="M32" s="194" t="str">
        <f>IF(E32=0,"",I32*((K32+L32)/K32)^SUMIFS($E$13:$E$14,$D$13:$D$14,$E$19))</f>
        <v/>
      </c>
      <c r="N32" s="194" t="str">
        <f>IF(E32=0,"",I32/((IF('Marginal Capacity Costs Inputs'!L25="Default",'Marginal Capacity Costs Inputs'!M25,'Marginal Capacity Costs Inputs'!M26)/(IF('Marginal Capacity Costs Inputs'!R25="Default",'Marginal Capacity Costs Inputs'!S25,'Marginal Capacity Costs Inputs'!S26)*2))))</f>
        <v/>
      </c>
      <c r="O32" s="194" t="str">
        <f t="shared" ref="O32" si="40">IF(E32=0,"",N32/2)</f>
        <v/>
      </c>
      <c r="P32" s="194" t="str">
        <f>IF(E32=0,"",M32/((IF('Marginal Capacity Costs Inputs'!L25="Default",'Marginal Capacity Costs Inputs'!M25,'Marginal Capacity Costs Inputs'!M26)/(IF('Marginal Capacity Costs Inputs'!R25="Default",'Marginal Capacity Costs Inputs'!S25,'Marginal Capacity Costs Inputs'!S26)*2))))</f>
        <v/>
      </c>
      <c r="Q32" s="194" t="str">
        <f t="shared" ref="Q32" si="41">IF(E32=0,"",P32/2)</f>
        <v/>
      </c>
      <c r="R32" s="194" t="str">
        <f t="shared" ref="R32" si="42">IF(E32=0,"",Q32-O32)</f>
        <v/>
      </c>
      <c r="S32" s="194" t="str">
        <f>IF(E32=0,"",(R32*IF('Marginal Capacity Costs Inputs'!H25="Default",'Marginal Capacity Costs Inputs'!I25,'Marginal Capacity Costs Inputs'!I26)))</f>
        <v/>
      </c>
      <c r="T32" s="194" t="str">
        <f>IF(E32=0,"",I32*IF('Marginal Capacity Costs Inputs'!R25="Default",'Marginal Capacity Costs Inputs'!S25,'Marginal Capacity Costs Inputs'!S26)*2)</f>
        <v/>
      </c>
      <c r="U32" s="194" t="str">
        <f t="shared" ref="U32" si="43">IF(E32=0,"",T32/2)</f>
        <v/>
      </c>
      <c r="V32" s="194" t="str">
        <f>IF(E32=0,"",M32*IF('Marginal Capacity Costs Inputs'!R25="Default",'Marginal Capacity Costs Inputs'!S25,'Marginal Capacity Costs Inputs'!S26)*2)</f>
        <v/>
      </c>
      <c r="W32" s="194" t="str">
        <f t="shared" ref="W32" si="44">IF(E32=0,"",V32/2)</f>
        <v/>
      </c>
      <c r="X32" s="194" t="str">
        <f t="shared" ref="X32" si="45">IF(E32=0,"",W32-U32)</f>
        <v/>
      </c>
      <c r="Y32" s="195" t="str">
        <f>IF(E32=0,"",X32*IF('Marginal Capacity Costs Inputs'!J25="Default",'Marginal Capacity Costs Inputs'!K25,'Marginal Capacity Costs Inputs'!K26))</f>
        <v/>
      </c>
      <c r="Z32" s="196" t="str">
        <f t="shared" ref="Z32" si="46">IF(E32=0,"",Y32+S32)</f>
        <v/>
      </c>
      <c r="AA32" s="197" t="str">
        <f t="shared" ref="AA32" si="47">IF(E32=0,"",(M32-I32)/I32)</f>
        <v/>
      </c>
      <c r="AB32" s="197" t="str">
        <f>IF(E32=0,"",AA32*SUMIFS($N$13:$N$14,$D$13:$D$14,$E$19))</f>
        <v/>
      </c>
      <c r="AC32" s="198" t="str">
        <f>IF(E32=0,"",K32*IF('Marginal Capacity Costs Inputs'!R25="Default",'Marginal Capacity Costs Inputs'!S25,'Marginal Capacity Costs Inputs'!S26)*2)</f>
        <v/>
      </c>
      <c r="AD32" s="195" t="str">
        <f t="shared" ref="AD32" si="48">IF(E32=0,"",AC32/2)</f>
        <v/>
      </c>
      <c r="AE32" s="198" t="str">
        <f>IF(E32=0,"",AD32*IF('Marginal Capacity Costs Inputs'!U25="Default",'Marginal Capacity Costs Inputs'!V25,'Marginal Capacity Costs Inputs'!V26))</f>
        <v/>
      </c>
      <c r="AF32" s="195" t="str">
        <f t="shared" ref="AF32" si="49">IF(E32=0,"",AB32*AE32)</f>
        <v/>
      </c>
      <c r="AG32" s="196" t="str">
        <f>IF(E32=0,"",AF32*'Marginal Capacity Costs Inputs'!T25)</f>
        <v/>
      </c>
      <c r="AH32" s="196" t="str">
        <f>IF(E32=0,"",AF32*'MOC - Calculations'!$E$6)</f>
        <v/>
      </c>
      <c r="AI32" s="199" t="str">
        <f t="shared" ref="AI32" si="50">IF(E32=0,"",Z32-AG32+AH32)</f>
        <v/>
      </c>
      <c r="AJ32" s="195" t="str">
        <f t="shared" ref="AJ32" si="51">IF(E32=0,"",IF(AI32&lt;0,0,AI32))</f>
        <v/>
      </c>
      <c r="AK32" s="195" t="str">
        <f>IF(E32=0,"",AJ32*'Marginal Capacity Costs Inputs'!G25*'MCC - Calculations'!F32)</f>
        <v/>
      </c>
    </row>
    <row r="33" spans="1:37" customFormat="1" ht="14.45"/>
    <row r="34" spans="1:37">
      <c r="A34" s="12"/>
      <c r="D34" s="32">
        <v>6</v>
      </c>
      <c r="E34" s="32">
        <f>IF($E$18="No",0,IF('Marginal Capacity Costs Inputs'!E27="No",0,1))</f>
        <v>0</v>
      </c>
      <c r="F34" s="24" t="str">
        <f>IF(E34=0,"",(1-'RF - Calculations'!$E$6))</f>
        <v/>
      </c>
      <c r="G34" s="24" t="str">
        <f>IF(E34=0,"",IF('Marginal Capacity Costs Inputs'!$H27=Lists!$D$21,SUMIFS($F$13:$F$14,$D$13:$D$14,$E$19)*'Inflation - Calculations'!$E$7,'Marginal Capacity Costs Inputs'!$I28))</f>
        <v/>
      </c>
      <c r="H34" s="24" t="str">
        <f>IF(E34=0,"",IF('Marginal Capacity Costs Inputs'!$J27=Lists!$D$21,SUMIFS($G$13:$G$14,$D$13:$D$14,$E$19)*'Inflation - Calculations'!$E$8,'Marginal Capacity Costs Inputs'!$K28))</f>
        <v/>
      </c>
      <c r="I34" s="24" t="str">
        <f>IF(E34=0,"",SUMIFS($M$13:$M$14,$D$13:$D$14,$E$19))</f>
        <v/>
      </c>
      <c r="J34" s="194" t="str">
        <f>IF(E34=0,"",IF('Marginal Capacity Costs Inputs'!N27="Default",'Marginal Capacity Costs Inputs'!O27,'Marginal Capacity Costs Inputs'!O28)/IF('Marginal Capacity Costs Inputs'!P27="Default",'Marginal Capacity Costs Inputs'!Q27,'Marginal Capacity Costs Inputs'!Q28))</f>
        <v/>
      </c>
      <c r="K34" s="194" t="str">
        <f t="shared" ref="K34" si="52">IF(E34=0,"",J34*I34)</f>
        <v/>
      </c>
      <c r="L34" s="194" t="str">
        <f>IF(E34=0,"",1/IF('Marginal Capacity Costs Inputs'!R27="Default",'Marginal Capacity Costs Inputs'!S27,'Marginal Capacity Costs Inputs'!S28))</f>
        <v/>
      </c>
      <c r="M34" s="194" t="str">
        <f>IF(E34=0,"",I34*((K34+L34)/K34)^SUMIFS($E$13:$E$14,$D$13:$D$14,$E$19))</f>
        <v/>
      </c>
      <c r="N34" s="194" t="str">
        <f>IF(E34=0,"",I34/((IF('Marginal Capacity Costs Inputs'!L27="Default",'Marginal Capacity Costs Inputs'!M27,'Marginal Capacity Costs Inputs'!M28)/(IF('Marginal Capacity Costs Inputs'!R27="Default",'Marginal Capacity Costs Inputs'!S27,'Marginal Capacity Costs Inputs'!S28)*2))))</f>
        <v/>
      </c>
      <c r="O34" s="194" t="str">
        <f t="shared" ref="O34" si="53">IF(E34=0,"",N34/2)</f>
        <v/>
      </c>
      <c r="P34" s="194" t="str">
        <f>IF(E34=0,"",M34/((IF('Marginal Capacity Costs Inputs'!L27="Default",'Marginal Capacity Costs Inputs'!M27,'Marginal Capacity Costs Inputs'!M28)/(IF('Marginal Capacity Costs Inputs'!R27="Default",'Marginal Capacity Costs Inputs'!S27,'Marginal Capacity Costs Inputs'!S28)*2))))</f>
        <v/>
      </c>
      <c r="Q34" s="194" t="str">
        <f t="shared" ref="Q34" si="54">IF(E34=0,"",P34/2)</f>
        <v/>
      </c>
      <c r="R34" s="194" t="str">
        <f t="shared" ref="R34" si="55">IF(E34=0,"",Q34-O34)</f>
        <v/>
      </c>
      <c r="S34" s="194" t="str">
        <f>IF(E34=0,"",(R34*IF('Marginal Capacity Costs Inputs'!H27="Default",'Marginal Capacity Costs Inputs'!I27,'Marginal Capacity Costs Inputs'!I28)))</f>
        <v/>
      </c>
      <c r="T34" s="194" t="str">
        <f>IF(E34=0,"",I34*IF('Marginal Capacity Costs Inputs'!R27="Default",'Marginal Capacity Costs Inputs'!S27,'Marginal Capacity Costs Inputs'!S28)*2)</f>
        <v/>
      </c>
      <c r="U34" s="194" t="str">
        <f t="shared" ref="U34" si="56">IF(E34=0,"",T34/2)</f>
        <v/>
      </c>
      <c r="V34" s="194" t="str">
        <f>IF(E34=0,"",M34*IF('Marginal Capacity Costs Inputs'!R27="Default",'Marginal Capacity Costs Inputs'!S27,'Marginal Capacity Costs Inputs'!S28)*2)</f>
        <v/>
      </c>
      <c r="W34" s="194" t="str">
        <f t="shared" ref="W34" si="57">IF(E34=0,"",V34/2)</f>
        <v/>
      </c>
      <c r="X34" s="194" t="str">
        <f t="shared" ref="X34" si="58">IF(E34=0,"",W34-U34)</f>
        <v/>
      </c>
      <c r="Y34" s="195" t="str">
        <f>IF(E34=0,"",X34*IF('Marginal Capacity Costs Inputs'!J27="Default",'Marginal Capacity Costs Inputs'!K27,'Marginal Capacity Costs Inputs'!K28))</f>
        <v/>
      </c>
      <c r="Z34" s="196" t="str">
        <f t="shared" ref="Z34" si="59">IF(E34=0,"",Y34+S34)</f>
        <v/>
      </c>
      <c r="AA34" s="197" t="str">
        <f t="shared" ref="AA34" si="60">IF(E34=0,"",(M34-I34)/I34)</f>
        <v/>
      </c>
      <c r="AB34" s="197" t="str">
        <f>IF(E34=0,"",AA34*SUMIFS($N$13:$N$14,$D$13:$D$14,$E$19))</f>
        <v/>
      </c>
      <c r="AC34" s="198" t="str">
        <f>IF(E34=0,"",K34*IF('Marginal Capacity Costs Inputs'!R27="Default",'Marginal Capacity Costs Inputs'!S27,'Marginal Capacity Costs Inputs'!S28)*2)</f>
        <v/>
      </c>
      <c r="AD34" s="195" t="str">
        <f t="shared" ref="AD34" si="61">IF(E34=0,"",AC34/2)</f>
        <v/>
      </c>
      <c r="AE34" s="198" t="str">
        <f>IF(E34=0,"",AD34*IF('Marginal Capacity Costs Inputs'!U27="Default",'Marginal Capacity Costs Inputs'!V27,'Marginal Capacity Costs Inputs'!V28))</f>
        <v/>
      </c>
      <c r="AF34" s="195" t="str">
        <f t="shared" ref="AF34" si="62">IF(E34=0,"",AB34*AE34)</f>
        <v/>
      </c>
      <c r="AG34" s="196" t="str">
        <f>IF(E34=0,"",AF34*'Marginal Capacity Costs Inputs'!T27)</f>
        <v/>
      </c>
      <c r="AH34" s="196" t="str">
        <f>IF(E34=0,"",AF34*'MOC - Calculations'!$E$6)</f>
        <v/>
      </c>
      <c r="AI34" s="199" t="str">
        <f t="shared" ref="AI34" si="63">IF(E34=0,"",Z34-AG34+AH34)</f>
        <v/>
      </c>
      <c r="AJ34" s="195" t="str">
        <f t="shared" ref="AJ34" si="64">IF(E34=0,"",IF(AI34&lt;0,0,AI34))</f>
        <v/>
      </c>
      <c r="AK34" s="195" t="str">
        <f>IF(E34=0,"",AJ34*'Marginal Capacity Costs Inputs'!G27*'MCC - Calculations'!F34)</f>
        <v/>
      </c>
    </row>
    <row r="35" spans="1:37" customFormat="1" ht="14.45"/>
    <row r="36" spans="1:37">
      <c r="A36" s="12"/>
      <c r="D36" s="32">
        <v>7</v>
      </c>
      <c r="E36" s="32">
        <f>IF($E$18="No",0,IF('Marginal Capacity Costs Inputs'!E29="No",0,1))</f>
        <v>0</v>
      </c>
      <c r="F36" s="24" t="str">
        <f>IF(E36=0,"",(1-'RF - Calculations'!$E$6))</f>
        <v/>
      </c>
      <c r="G36" s="24" t="str">
        <f>IF(E36=0,"",IF('Marginal Capacity Costs Inputs'!$H29=Lists!$D$21,SUMIFS($F$13:$F$14,$D$13:$D$14,$E$19)*'Inflation - Calculations'!$E$7,'Marginal Capacity Costs Inputs'!$I30))</f>
        <v/>
      </c>
      <c r="H36" s="24" t="str">
        <f>IF(E36=0,"",IF('Marginal Capacity Costs Inputs'!$J29=Lists!$D$21,SUMIFS($G$13:$G$14,$D$13:$D$14,$E$19)*'Inflation - Calculations'!$E$8,'Marginal Capacity Costs Inputs'!$K30))</f>
        <v/>
      </c>
      <c r="I36" s="24" t="str">
        <f>IF(E36=0,"",SUMIFS($M$13:$M$14,$D$13:$D$14,$E$19))</f>
        <v/>
      </c>
      <c r="J36" s="194" t="str">
        <f>IF(E36=0,"",IF('Marginal Capacity Costs Inputs'!N29="Default",'Marginal Capacity Costs Inputs'!O29,'Marginal Capacity Costs Inputs'!O30)/IF('Marginal Capacity Costs Inputs'!P29="Default",'Marginal Capacity Costs Inputs'!Q29,'Marginal Capacity Costs Inputs'!Q30))</f>
        <v/>
      </c>
      <c r="K36" s="194" t="str">
        <f t="shared" ref="K36" si="65">IF(E36=0,"",J36*I36)</f>
        <v/>
      </c>
      <c r="L36" s="194" t="str">
        <f>IF(E36=0,"",1/IF('Marginal Capacity Costs Inputs'!R29="Default",'Marginal Capacity Costs Inputs'!S29,'Marginal Capacity Costs Inputs'!S30))</f>
        <v/>
      </c>
      <c r="M36" s="194" t="str">
        <f>IF(E36=0,"",I36*((K36+L36)/K36)^SUMIFS($E$13:$E$14,$D$13:$D$14,$E$19))</f>
        <v/>
      </c>
      <c r="N36" s="194" t="str">
        <f>IF(E36=0,"",I36/((IF('Marginal Capacity Costs Inputs'!L29="Default",'Marginal Capacity Costs Inputs'!M29,'Marginal Capacity Costs Inputs'!M30)/(IF('Marginal Capacity Costs Inputs'!R29="Default",'Marginal Capacity Costs Inputs'!S29,'Marginal Capacity Costs Inputs'!S30)*2))))</f>
        <v/>
      </c>
      <c r="O36" s="194" t="str">
        <f t="shared" ref="O36" si="66">IF(E36=0,"",N36/2)</f>
        <v/>
      </c>
      <c r="P36" s="194" t="str">
        <f>IF(E36=0,"",M36/((IF('Marginal Capacity Costs Inputs'!L29="Default",'Marginal Capacity Costs Inputs'!M29,'Marginal Capacity Costs Inputs'!M30)/(IF('Marginal Capacity Costs Inputs'!R29="Default",'Marginal Capacity Costs Inputs'!S29,'Marginal Capacity Costs Inputs'!S30)*2))))</f>
        <v/>
      </c>
      <c r="Q36" s="194" t="str">
        <f t="shared" ref="Q36" si="67">IF(E36=0,"",P36/2)</f>
        <v/>
      </c>
      <c r="R36" s="194" t="str">
        <f t="shared" ref="R36" si="68">IF(E36=0,"",Q36-O36)</f>
        <v/>
      </c>
      <c r="S36" s="194" t="str">
        <f>IF(E36=0,"",(R36*IF('Marginal Capacity Costs Inputs'!H29="Default",'Marginal Capacity Costs Inputs'!I29,'Marginal Capacity Costs Inputs'!I30)))</f>
        <v/>
      </c>
      <c r="T36" s="194" t="str">
        <f>IF(E36=0,"",I36*IF('Marginal Capacity Costs Inputs'!R29="Default",'Marginal Capacity Costs Inputs'!S29,'Marginal Capacity Costs Inputs'!S30)*2)</f>
        <v/>
      </c>
      <c r="U36" s="194" t="str">
        <f t="shared" ref="U36" si="69">IF(E36=0,"",T36/2)</f>
        <v/>
      </c>
      <c r="V36" s="194" t="str">
        <f>IF(E36=0,"",M36*IF('Marginal Capacity Costs Inputs'!R29="Default",'Marginal Capacity Costs Inputs'!S29,'Marginal Capacity Costs Inputs'!S30)*2)</f>
        <v/>
      </c>
      <c r="W36" s="194" t="str">
        <f t="shared" ref="W36" si="70">IF(E36=0,"",V36/2)</f>
        <v/>
      </c>
      <c r="X36" s="194" t="str">
        <f t="shared" ref="X36" si="71">IF(E36=0,"",W36-U36)</f>
        <v/>
      </c>
      <c r="Y36" s="195" t="str">
        <f>IF(E36=0,"",X36*IF('Marginal Capacity Costs Inputs'!J29="Default",'Marginal Capacity Costs Inputs'!K29,'Marginal Capacity Costs Inputs'!K30))</f>
        <v/>
      </c>
      <c r="Z36" s="196" t="str">
        <f t="shared" ref="Z36" si="72">IF(E36=0,"",Y36+S36)</f>
        <v/>
      </c>
      <c r="AA36" s="197" t="str">
        <f t="shared" ref="AA36" si="73">IF(E36=0,"",(M36-I36)/I36)</f>
        <v/>
      </c>
      <c r="AB36" s="197" t="str">
        <f>IF(E36=0,"",AA36*SUMIFS($N$13:$N$14,$D$13:$D$14,$E$19))</f>
        <v/>
      </c>
      <c r="AC36" s="198" t="str">
        <f>IF(E36=0,"",K36*IF('Marginal Capacity Costs Inputs'!R29="Default",'Marginal Capacity Costs Inputs'!S29,'Marginal Capacity Costs Inputs'!S30)*2)</f>
        <v/>
      </c>
      <c r="AD36" s="195" t="str">
        <f t="shared" ref="AD36" si="74">IF(E36=0,"",AC36/2)</f>
        <v/>
      </c>
      <c r="AE36" s="198" t="str">
        <f>IF(E36=0,"",AD36*IF('Marginal Capacity Costs Inputs'!U29="Default",'Marginal Capacity Costs Inputs'!V29,'Marginal Capacity Costs Inputs'!V30))</f>
        <v/>
      </c>
      <c r="AF36" s="195" t="str">
        <f t="shared" ref="AF36" si="75">IF(E36=0,"",AB36*AE36)</f>
        <v/>
      </c>
      <c r="AG36" s="196" t="str">
        <f>IF(E36=0,"",AF36*'Marginal Capacity Costs Inputs'!T29)</f>
        <v/>
      </c>
      <c r="AH36" s="196" t="str">
        <f>IF(E36=0,"",AF36*'MOC - Calculations'!$E$6)</f>
        <v/>
      </c>
      <c r="AI36" s="199" t="str">
        <f t="shared" ref="AI36" si="76">IF(E36=0,"",Z36-AG36+AH36)</f>
        <v/>
      </c>
      <c r="AJ36" s="195" t="str">
        <f t="shared" ref="AJ36" si="77">IF(E36=0,"",IF(AI36&lt;0,0,AI36))</f>
        <v/>
      </c>
      <c r="AK36" s="195" t="str">
        <f>IF(E36=0,"",AJ36*'Marginal Capacity Costs Inputs'!G29*'MCC - Calculations'!F36)</f>
        <v/>
      </c>
    </row>
    <row r="37" spans="1:37" customFormat="1" ht="14.45"/>
    <row r="38" spans="1:37">
      <c r="A38" s="12"/>
      <c r="D38" s="32">
        <v>8</v>
      </c>
      <c r="E38" s="32">
        <f>IF($E$18="No",0,IF('Marginal Capacity Costs Inputs'!E31="No",0,1))</f>
        <v>0</v>
      </c>
      <c r="F38" s="24" t="str">
        <f>IF(E38=0,"",(1-'RF - Calculations'!$E$6))</f>
        <v/>
      </c>
      <c r="G38" s="24" t="str">
        <f>IF(E38=0,"",IF('Marginal Capacity Costs Inputs'!$H31=Lists!$D$21,SUMIFS($F$13:$F$14,$D$13:$D$14,$E$19)*'Inflation - Calculations'!$E$7,'Marginal Capacity Costs Inputs'!$I32))</f>
        <v/>
      </c>
      <c r="H38" s="24" t="str">
        <f>IF(E38=0,"",IF('Marginal Capacity Costs Inputs'!$J31=Lists!$D$21,SUMIFS($G$13:$G$14,$D$13:$D$14,$E$19)*'Inflation - Calculations'!$E$8,'Marginal Capacity Costs Inputs'!$K32))</f>
        <v/>
      </c>
      <c r="I38" s="24" t="str">
        <f>IF(E38=0,"",SUMIFS($M$13:$M$14,$D$13:$D$14,$E$19))</f>
        <v/>
      </c>
      <c r="J38" s="194" t="str">
        <f>IF(E38=0,"",IF('Marginal Capacity Costs Inputs'!N31="Default",'Marginal Capacity Costs Inputs'!O31,'Marginal Capacity Costs Inputs'!O32)/IF('Marginal Capacity Costs Inputs'!P31="Default",'Marginal Capacity Costs Inputs'!Q31,'Marginal Capacity Costs Inputs'!Q32))</f>
        <v/>
      </c>
      <c r="K38" s="194" t="str">
        <f t="shared" ref="K38" si="78">IF(E38=0,"",J38*I38)</f>
        <v/>
      </c>
      <c r="L38" s="194" t="str">
        <f>IF(E38=0,"",1/IF('Marginal Capacity Costs Inputs'!R31="Default",'Marginal Capacity Costs Inputs'!S31,'Marginal Capacity Costs Inputs'!S32))</f>
        <v/>
      </c>
      <c r="M38" s="194" t="str">
        <f>IF(E38=0,"",I38*((K38+L38)/K38)^SUMIFS($E$13:$E$14,$D$13:$D$14,$E$19))</f>
        <v/>
      </c>
      <c r="N38" s="194" t="str">
        <f>IF(E38=0,"",I38/((IF('Marginal Capacity Costs Inputs'!L31="Default",'Marginal Capacity Costs Inputs'!M31,'Marginal Capacity Costs Inputs'!M32)/(IF('Marginal Capacity Costs Inputs'!R31="Default",'Marginal Capacity Costs Inputs'!S31,'Marginal Capacity Costs Inputs'!S32)*2))))</f>
        <v/>
      </c>
      <c r="O38" s="194" t="str">
        <f t="shared" ref="O38" si="79">IF(E38=0,"",N38/2)</f>
        <v/>
      </c>
      <c r="P38" s="194" t="str">
        <f>IF(E38=0,"",M38/((IF('Marginal Capacity Costs Inputs'!L31="Default",'Marginal Capacity Costs Inputs'!M31,'Marginal Capacity Costs Inputs'!M32)/(IF('Marginal Capacity Costs Inputs'!R31="Default",'Marginal Capacity Costs Inputs'!S31,'Marginal Capacity Costs Inputs'!S32)*2))))</f>
        <v/>
      </c>
      <c r="Q38" s="194" t="str">
        <f t="shared" ref="Q38" si="80">IF(E38=0,"",P38/2)</f>
        <v/>
      </c>
      <c r="R38" s="194" t="str">
        <f t="shared" ref="R38" si="81">IF(E38=0,"",Q38-O38)</f>
        <v/>
      </c>
      <c r="S38" s="194" t="str">
        <f>IF(E38=0,"",(R38*IF('Marginal Capacity Costs Inputs'!H31="Default",'Marginal Capacity Costs Inputs'!I31,'Marginal Capacity Costs Inputs'!I32)))</f>
        <v/>
      </c>
      <c r="T38" s="194" t="str">
        <f>IF(E38=0,"",I38*IF('Marginal Capacity Costs Inputs'!R31="Default",'Marginal Capacity Costs Inputs'!S31,'Marginal Capacity Costs Inputs'!S32)*2)</f>
        <v/>
      </c>
      <c r="U38" s="194" t="str">
        <f t="shared" ref="U38" si="82">IF(E38=0,"",T38/2)</f>
        <v/>
      </c>
      <c r="V38" s="194" t="str">
        <f>IF(E38=0,"",M38*IF('Marginal Capacity Costs Inputs'!R31="Default",'Marginal Capacity Costs Inputs'!S31,'Marginal Capacity Costs Inputs'!S32)*2)</f>
        <v/>
      </c>
      <c r="W38" s="194" t="str">
        <f t="shared" ref="W38" si="83">IF(E38=0,"",V38/2)</f>
        <v/>
      </c>
      <c r="X38" s="194" t="str">
        <f t="shared" ref="X38" si="84">IF(E38=0,"",W38-U38)</f>
        <v/>
      </c>
      <c r="Y38" s="195" t="str">
        <f>IF(E38=0,"",X38*IF('Marginal Capacity Costs Inputs'!J31="Default",'Marginal Capacity Costs Inputs'!K31,'Marginal Capacity Costs Inputs'!K32))</f>
        <v/>
      </c>
      <c r="Z38" s="196" t="str">
        <f t="shared" ref="Z38" si="85">IF(E38=0,"",Y38+S38)</f>
        <v/>
      </c>
      <c r="AA38" s="197" t="str">
        <f t="shared" ref="AA38" si="86">IF(E38=0,"",(M38-I38)/I38)</f>
        <v/>
      </c>
      <c r="AB38" s="197" t="str">
        <f>IF(E38=0,"",AA38*SUMIFS($N$13:$N$14,$D$13:$D$14,$E$19))</f>
        <v/>
      </c>
      <c r="AC38" s="198" t="str">
        <f>IF(E38=0,"",K38*IF('Marginal Capacity Costs Inputs'!R31="Default",'Marginal Capacity Costs Inputs'!S31,'Marginal Capacity Costs Inputs'!S32)*2)</f>
        <v/>
      </c>
      <c r="AD38" s="195" t="str">
        <f t="shared" ref="AD38" si="87">IF(E38=0,"",AC38/2)</f>
        <v/>
      </c>
      <c r="AE38" s="198" t="str">
        <f>IF(E38=0,"",AD38*IF('Marginal Capacity Costs Inputs'!U31="Default",'Marginal Capacity Costs Inputs'!V31,'Marginal Capacity Costs Inputs'!V32))</f>
        <v/>
      </c>
      <c r="AF38" s="195" t="str">
        <f t="shared" ref="AF38" si="88">IF(E38=0,"",AB38*AE38)</f>
        <v/>
      </c>
      <c r="AG38" s="196" t="str">
        <f>IF(E38=0,"",AF38*'Marginal Capacity Costs Inputs'!T31)</f>
        <v/>
      </c>
      <c r="AH38" s="196" t="str">
        <f>IF(E38=0,"",AF38*'MOC - Calculations'!$E$6)</f>
        <v/>
      </c>
      <c r="AI38" s="199" t="str">
        <f t="shared" ref="AI38" si="89">IF(E38=0,"",Z38-AG38+AH38)</f>
        <v/>
      </c>
      <c r="AJ38" s="195" t="str">
        <f t="shared" ref="AJ38" si="90">IF(E38=0,"",IF(AI38&lt;0,0,AI38))</f>
        <v/>
      </c>
      <c r="AK38" s="195" t="str">
        <f>IF(E38=0,"",AJ38*'Marginal Capacity Costs Inputs'!G31*'MCC - Calculations'!F38)</f>
        <v/>
      </c>
    </row>
    <row r="39" spans="1:37" customFormat="1" ht="14.45"/>
    <row r="40" spans="1:37">
      <c r="A40" s="12"/>
      <c r="D40" s="32">
        <v>9</v>
      </c>
      <c r="E40" s="32">
        <f>IF($E$18="No",0,IF('Marginal Capacity Costs Inputs'!E33="No",0,1))</f>
        <v>0</v>
      </c>
      <c r="F40" s="24" t="str">
        <f>IF(E40=0,"",(1-'RF - Calculations'!$E$6))</f>
        <v/>
      </c>
      <c r="G40" s="24" t="str">
        <f>IF(E40=0,"",IF('Marginal Capacity Costs Inputs'!$H33=Lists!$D$21,SUMIFS($F$13:$F$14,$D$13:$D$14,$E$19)*'Inflation - Calculations'!$E$7,'Marginal Capacity Costs Inputs'!$I34))</f>
        <v/>
      </c>
      <c r="H40" s="24" t="str">
        <f>IF(E40=0,"",IF('Marginal Capacity Costs Inputs'!$J33=Lists!$D$21,SUMIFS($G$13:$G$14,$D$13:$D$14,$E$19)*'Inflation - Calculations'!$E$8,'Marginal Capacity Costs Inputs'!$K34))</f>
        <v/>
      </c>
      <c r="I40" s="24" t="str">
        <f>IF(E40=0,"",SUMIFS($M$13:$M$14,$D$13:$D$14,$E$19))</f>
        <v/>
      </c>
      <c r="J40" s="194" t="str">
        <f>IF(E40=0,"",IF('Marginal Capacity Costs Inputs'!N33="Default",'Marginal Capacity Costs Inputs'!O33,'Marginal Capacity Costs Inputs'!O34)/IF('Marginal Capacity Costs Inputs'!P33="Default",'Marginal Capacity Costs Inputs'!Q33,'Marginal Capacity Costs Inputs'!Q34))</f>
        <v/>
      </c>
      <c r="K40" s="194" t="str">
        <f t="shared" ref="K40" si="91">IF(E40=0,"",J40*I40)</f>
        <v/>
      </c>
      <c r="L40" s="194" t="str">
        <f>IF(E40=0,"",1/IF('Marginal Capacity Costs Inputs'!R33="Default",'Marginal Capacity Costs Inputs'!S33,'Marginal Capacity Costs Inputs'!S34))</f>
        <v/>
      </c>
      <c r="M40" s="194" t="str">
        <f>IF(E40=0,"",I40*((K40+L40)/K40)^SUMIFS($E$13:$E$14,$D$13:$D$14,$E$19))</f>
        <v/>
      </c>
      <c r="N40" s="194" t="str">
        <f>IF(E40=0,"",I40/((IF('Marginal Capacity Costs Inputs'!L33="Default",'Marginal Capacity Costs Inputs'!M33,'Marginal Capacity Costs Inputs'!M34)/(IF('Marginal Capacity Costs Inputs'!R33="Default",'Marginal Capacity Costs Inputs'!S33,'Marginal Capacity Costs Inputs'!S34)*2))))</f>
        <v/>
      </c>
      <c r="O40" s="194" t="str">
        <f t="shared" ref="O40" si="92">IF(E40=0,"",N40/2)</f>
        <v/>
      </c>
      <c r="P40" s="194" t="str">
        <f>IF(E40=0,"",M40/((IF('Marginal Capacity Costs Inputs'!L33="Default",'Marginal Capacity Costs Inputs'!M33,'Marginal Capacity Costs Inputs'!M34)/(IF('Marginal Capacity Costs Inputs'!R33="Default",'Marginal Capacity Costs Inputs'!S33,'Marginal Capacity Costs Inputs'!S34)*2))))</f>
        <v/>
      </c>
      <c r="Q40" s="194" t="str">
        <f t="shared" ref="Q40" si="93">IF(E40=0,"",P40/2)</f>
        <v/>
      </c>
      <c r="R40" s="194" t="str">
        <f t="shared" ref="R40" si="94">IF(E40=0,"",Q40-O40)</f>
        <v/>
      </c>
      <c r="S40" s="194" t="str">
        <f>IF(E40=0,"",(R40*IF('Marginal Capacity Costs Inputs'!H33="Default",'Marginal Capacity Costs Inputs'!I33,'Marginal Capacity Costs Inputs'!I34)))</f>
        <v/>
      </c>
      <c r="T40" s="194" t="str">
        <f>IF(E40=0,"",I40*IF('Marginal Capacity Costs Inputs'!R33="Default",'Marginal Capacity Costs Inputs'!S33,'Marginal Capacity Costs Inputs'!S34)*2)</f>
        <v/>
      </c>
      <c r="U40" s="194" t="str">
        <f t="shared" ref="U40" si="95">IF(E40=0,"",T40/2)</f>
        <v/>
      </c>
      <c r="V40" s="194" t="str">
        <f>IF(E40=0,"",M40*IF('Marginal Capacity Costs Inputs'!R33="Default",'Marginal Capacity Costs Inputs'!S33,'Marginal Capacity Costs Inputs'!S34)*2)</f>
        <v/>
      </c>
      <c r="W40" s="194" t="str">
        <f t="shared" ref="W40" si="96">IF(E40=0,"",V40/2)</f>
        <v/>
      </c>
      <c r="X40" s="194" t="str">
        <f t="shared" ref="X40" si="97">IF(E40=0,"",W40-U40)</f>
        <v/>
      </c>
      <c r="Y40" s="195" t="str">
        <f>IF(E40=0,"",X40*IF('Marginal Capacity Costs Inputs'!J33="Default",'Marginal Capacity Costs Inputs'!K33,'Marginal Capacity Costs Inputs'!K34))</f>
        <v/>
      </c>
      <c r="Z40" s="196" t="str">
        <f t="shared" ref="Z40" si="98">IF(E40=0,"",Y40+S40)</f>
        <v/>
      </c>
      <c r="AA40" s="197" t="str">
        <f t="shared" ref="AA40" si="99">IF(E40=0,"",(M40-I40)/I40)</f>
        <v/>
      </c>
      <c r="AB40" s="197" t="str">
        <f>IF(E40=0,"",AA40*SUMIFS($N$13:$N$14,$D$13:$D$14,$E$19))</f>
        <v/>
      </c>
      <c r="AC40" s="198" t="str">
        <f>IF(E40=0,"",K40*IF('Marginal Capacity Costs Inputs'!R33="Default",'Marginal Capacity Costs Inputs'!S33,'Marginal Capacity Costs Inputs'!S34)*2)</f>
        <v/>
      </c>
      <c r="AD40" s="195" t="str">
        <f t="shared" ref="AD40" si="100">IF(E40=0,"",AC40/2)</f>
        <v/>
      </c>
      <c r="AE40" s="198" t="str">
        <f>IF(E40=0,"",AD40*IF('Marginal Capacity Costs Inputs'!U33="Default",'Marginal Capacity Costs Inputs'!V33,'Marginal Capacity Costs Inputs'!V34))</f>
        <v/>
      </c>
      <c r="AF40" s="195" t="str">
        <f t="shared" ref="AF40" si="101">IF(E40=0,"",AB40*AE40)</f>
        <v/>
      </c>
      <c r="AG40" s="196" t="str">
        <f>IF(E40=0,"",AF40*'Marginal Capacity Costs Inputs'!T33)</f>
        <v/>
      </c>
      <c r="AH40" s="196" t="str">
        <f>IF(E40=0,"",AF40*'MOC - Calculations'!$E$6)</f>
        <v/>
      </c>
      <c r="AI40" s="199" t="str">
        <f t="shared" ref="AI40" si="102">IF(E40=0,"",Z40-AG40+AH40)</f>
        <v/>
      </c>
      <c r="AJ40" s="195" t="str">
        <f t="shared" ref="AJ40" si="103">IF(E40=0,"",IF(AI40&lt;0,0,AI40))</f>
        <v/>
      </c>
      <c r="AK40" s="195" t="str">
        <f>IF(E40=0,"",AJ40*'Marginal Capacity Costs Inputs'!G33*'MCC - Calculations'!F40)</f>
        <v/>
      </c>
    </row>
    <row r="41" spans="1:37" customFormat="1" ht="14.45"/>
    <row r="42" spans="1:37">
      <c r="A42" s="12"/>
      <c r="D42" s="32">
        <v>10</v>
      </c>
      <c r="E42" s="32">
        <f>IF($E$18="No",0,IF('Marginal Capacity Costs Inputs'!E35="No",0,1))</f>
        <v>0</v>
      </c>
      <c r="F42" s="24" t="str">
        <f>IF(E42=0,"",(1-'RF - Calculations'!$E$6))</f>
        <v/>
      </c>
      <c r="G42" s="24" t="str">
        <f>IF(E42=0,"",IF('Marginal Capacity Costs Inputs'!$H35=Lists!$D$21,SUMIFS($F$13:$F$14,$D$13:$D$14,$E$19)*'Inflation - Calculations'!$E$7,'Marginal Capacity Costs Inputs'!$I36))</f>
        <v/>
      </c>
      <c r="H42" s="24" t="str">
        <f>IF(E42=0,"",IF('Marginal Capacity Costs Inputs'!$J35=Lists!$D$21,SUMIFS($G$13:$G$14,$D$13:$D$14,$E$19)*'Inflation - Calculations'!$E$8,'Marginal Capacity Costs Inputs'!$K36))</f>
        <v/>
      </c>
      <c r="I42" s="24" t="str">
        <f>IF(E42=0,"",SUMIFS($M$13:$M$14,$D$13:$D$14,$E$19))</f>
        <v/>
      </c>
      <c r="J42" s="194" t="str">
        <f>IF(E42=0,"",IF('Marginal Capacity Costs Inputs'!N35="Default",'Marginal Capacity Costs Inputs'!O35,'Marginal Capacity Costs Inputs'!O36)/IF('Marginal Capacity Costs Inputs'!P35="Default",'Marginal Capacity Costs Inputs'!Q35,'Marginal Capacity Costs Inputs'!Q36))</f>
        <v/>
      </c>
      <c r="K42" s="194" t="str">
        <f t="shared" ref="K42" si="104">IF(E42=0,"",J42*I42)</f>
        <v/>
      </c>
      <c r="L42" s="194" t="str">
        <f>IF(E42=0,"",1/IF('Marginal Capacity Costs Inputs'!R35="Default",'Marginal Capacity Costs Inputs'!S35,'Marginal Capacity Costs Inputs'!S36))</f>
        <v/>
      </c>
      <c r="M42" s="194" t="str">
        <f>IF(E42=0,"",I42*((K42+L42)/K42)^SUMIFS($E$13:$E$14,$D$13:$D$14,$E$19))</f>
        <v/>
      </c>
      <c r="N42" s="194" t="str">
        <f>IF(E42=0,"",I42/((IF('Marginal Capacity Costs Inputs'!L35="Default",'Marginal Capacity Costs Inputs'!M35,'Marginal Capacity Costs Inputs'!M36)/(IF('Marginal Capacity Costs Inputs'!R35="Default",'Marginal Capacity Costs Inputs'!S35,'Marginal Capacity Costs Inputs'!S36)*2))))</f>
        <v/>
      </c>
      <c r="O42" s="194" t="str">
        <f t="shared" ref="O42" si="105">IF(E42=0,"",N42/2)</f>
        <v/>
      </c>
      <c r="P42" s="194" t="str">
        <f>IF(E42=0,"",M42/((IF('Marginal Capacity Costs Inputs'!L35="Default",'Marginal Capacity Costs Inputs'!M35,'Marginal Capacity Costs Inputs'!M36)/(IF('Marginal Capacity Costs Inputs'!R35="Default",'Marginal Capacity Costs Inputs'!S35,'Marginal Capacity Costs Inputs'!S36)*2))))</f>
        <v/>
      </c>
      <c r="Q42" s="194" t="str">
        <f t="shared" ref="Q42" si="106">IF(E42=0,"",P42/2)</f>
        <v/>
      </c>
      <c r="R42" s="194" t="str">
        <f t="shared" ref="R42" si="107">IF(E42=0,"",Q42-O42)</f>
        <v/>
      </c>
      <c r="S42" s="194" t="str">
        <f>IF(E42=0,"",(R42*IF('Marginal Capacity Costs Inputs'!H35="Default",'Marginal Capacity Costs Inputs'!I35,'Marginal Capacity Costs Inputs'!I36)))</f>
        <v/>
      </c>
      <c r="T42" s="194" t="str">
        <f>IF(E42=0,"",I42*IF('Marginal Capacity Costs Inputs'!R35="Default",'Marginal Capacity Costs Inputs'!S35,'Marginal Capacity Costs Inputs'!S36)*2)</f>
        <v/>
      </c>
      <c r="U42" s="194" t="str">
        <f t="shared" ref="U42" si="108">IF(E42=0,"",T42/2)</f>
        <v/>
      </c>
      <c r="V42" s="194" t="str">
        <f>IF(E42=0,"",M42*IF('Marginal Capacity Costs Inputs'!R35="Default",'Marginal Capacity Costs Inputs'!S35,'Marginal Capacity Costs Inputs'!S36)*2)</f>
        <v/>
      </c>
      <c r="W42" s="194" t="str">
        <f t="shared" ref="W42" si="109">IF(E42=0,"",V42/2)</f>
        <v/>
      </c>
      <c r="X42" s="194" t="str">
        <f t="shared" ref="X42" si="110">IF(E42=0,"",W42-U42)</f>
        <v/>
      </c>
      <c r="Y42" s="195" t="str">
        <f>IF(E42=0,"",X42*IF('Marginal Capacity Costs Inputs'!J35="Default",'Marginal Capacity Costs Inputs'!K35,'Marginal Capacity Costs Inputs'!K36))</f>
        <v/>
      </c>
      <c r="Z42" s="196" t="str">
        <f t="shared" ref="Z42" si="111">IF(E42=0,"",Y42+S42)</f>
        <v/>
      </c>
      <c r="AA42" s="197" t="str">
        <f t="shared" ref="AA42" si="112">IF(E42=0,"",(M42-I42)/I42)</f>
        <v/>
      </c>
      <c r="AB42" s="197" t="str">
        <f>IF(E42=0,"",AA42*SUMIFS($N$13:$N$14,$D$13:$D$14,$E$19))</f>
        <v/>
      </c>
      <c r="AC42" s="198" t="str">
        <f>IF(E42=0,"",K42*IF('Marginal Capacity Costs Inputs'!R35="Default",'Marginal Capacity Costs Inputs'!S35,'Marginal Capacity Costs Inputs'!S36)*2)</f>
        <v/>
      </c>
      <c r="AD42" s="195" t="str">
        <f t="shared" ref="AD42" si="113">IF(E42=0,"",AC42/2)</f>
        <v/>
      </c>
      <c r="AE42" s="198" t="str">
        <f>IF(E42=0,"",AD42*IF('Marginal Capacity Costs Inputs'!U35="Default",'Marginal Capacity Costs Inputs'!V35,'Marginal Capacity Costs Inputs'!V36))</f>
        <v/>
      </c>
      <c r="AF42" s="195" t="str">
        <f t="shared" ref="AF42" si="114">IF(E42=0,"",AB42*AE42)</f>
        <v/>
      </c>
      <c r="AG42" s="196" t="str">
        <f>IF(E42=0,"",AF42*'Marginal Capacity Costs Inputs'!T35)</f>
        <v/>
      </c>
      <c r="AH42" s="196" t="str">
        <f>IF(E42=0,"",AF42*'MOC - Calculations'!$E$6)</f>
        <v/>
      </c>
      <c r="AI42" s="199" t="str">
        <f t="shared" ref="AI42" si="115">IF(E42=0,"",Z42-AG42+AH42)</f>
        <v/>
      </c>
      <c r="AJ42" s="195" t="str">
        <f t="shared" ref="AJ42" si="116">IF(E42=0,"",IF(AI42&lt;0,0,AI42))</f>
        <v/>
      </c>
      <c r="AK42" s="195" t="str">
        <f>IF(E42=0,"",AJ42*'Marginal Capacity Costs Inputs'!G35*'MCC - Calculations'!F42)</f>
        <v/>
      </c>
    </row>
    <row r="43" spans="1:37" customFormat="1" ht="14.45"/>
    <row r="44" spans="1:37">
      <c r="A44" s="12"/>
      <c r="D44" s="32">
        <v>11</v>
      </c>
      <c r="E44" s="32">
        <f>IF($E$18="No",0,IF('Marginal Capacity Costs Inputs'!E37="No",0,1))</f>
        <v>0</v>
      </c>
      <c r="F44" s="24" t="str">
        <f>IF(E44=0,"",(1-'RF - Calculations'!$E$6))</f>
        <v/>
      </c>
      <c r="G44" s="24" t="str">
        <f>IF(E44=0,"",IF('Marginal Capacity Costs Inputs'!$H37=Lists!$D$21,SUMIFS($F$13:$F$14,$D$13:$D$14,$E$19)*'Inflation - Calculations'!$E$7,'Marginal Capacity Costs Inputs'!$I38))</f>
        <v/>
      </c>
      <c r="H44" s="24" t="str">
        <f>IF(E44=0,"",IF('Marginal Capacity Costs Inputs'!$J37=Lists!$D$21,SUMIFS($G$13:$G$14,$D$13:$D$14,$E$19)*'Inflation - Calculations'!$E$8,'Marginal Capacity Costs Inputs'!$K38))</f>
        <v/>
      </c>
      <c r="I44" s="24" t="str">
        <f>IF(E44=0,"",SUMIFS($M$13:$M$14,$D$13:$D$14,$E$19))</f>
        <v/>
      </c>
      <c r="J44" s="194" t="str">
        <f>IF(E44=0,"",IF('Marginal Capacity Costs Inputs'!N37="Default",'Marginal Capacity Costs Inputs'!O37,'Marginal Capacity Costs Inputs'!O38)/IF('Marginal Capacity Costs Inputs'!P37="Default",'Marginal Capacity Costs Inputs'!Q37,'Marginal Capacity Costs Inputs'!Q38))</f>
        <v/>
      </c>
      <c r="K44" s="194" t="str">
        <f t="shared" ref="K44" si="117">IF(E44=0,"",J44*I44)</f>
        <v/>
      </c>
      <c r="L44" s="194" t="str">
        <f>IF(E44=0,"",1/IF('Marginal Capacity Costs Inputs'!R37="Default",'Marginal Capacity Costs Inputs'!S37,'Marginal Capacity Costs Inputs'!S38))</f>
        <v/>
      </c>
      <c r="M44" s="194" t="str">
        <f>IF(E44=0,"",I44*((K44+L44)/K44)^SUMIFS($E$13:$E$14,$D$13:$D$14,$E$19))</f>
        <v/>
      </c>
      <c r="N44" s="194" t="str">
        <f>IF(E44=0,"",I44/((IF('Marginal Capacity Costs Inputs'!L37="Default",'Marginal Capacity Costs Inputs'!M37,'Marginal Capacity Costs Inputs'!M38)/(IF('Marginal Capacity Costs Inputs'!R37="Default",'Marginal Capacity Costs Inputs'!S37,'Marginal Capacity Costs Inputs'!S38)*2))))</f>
        <v/>
      </c>
      <c r="O44" s="194" t="str">
        <f t="shared" ref="O44" si="118">IF(E44=0,"",N44/2)</f>
        <v/>
      </c>
      <c r="P44" s="194" t="str">
        <f>IF(E44=0,"",M44/((IF('Marginal Capacity Costs Inputs'!L37="Default",'Marginal Capacity Costs Inputs'!M37,'Marginal Capacity Costs Inputs'!M38)/(IF('Marginal Capacity Costs Inputs'!R37="Default",'Marginal Capacity Costs Inputs'!S37,'Marginal Capacity Costs Inputs'!S38)*2))))</f>
        <v/>
      </c>
      <c r="Q44" s="194" t="str">
        <f t="shared" ref="Q44" si="119">IF(E44=0,"",P44/2)</f>
        <v/>
      </c>
      <c r="R44" s="194" t="str">
        <f t="shared" ref="R44" si="120">IF(E44=0,"",Q44-O44)</f>
        <v/>
      </c>
      <c r="S44" s="194" t="str">
        <f>IF(E44=0,"",(R44*IF('Marginal Capacity Costs Inputs'!H37="Default",'Marginal Capacity Costs Inputs'!I37,'Marginal Capacity Costs Inputs'!I38)))</f>
        <v/>
      </c>
      <c r="T44" s="194" t="str">
        <f>IF(E44=0,"",I44*IF('Marginal Capacity Costs Inputs'!R37="Default",'Marginal Capacity Costs Inputs'!S37,'Marginal Capacity Costs Inputs'!S38)*2)</f>
        <v/>
      </c>
      <c r="U44" s="194" t="str">
        <f t="shared" ref="U44" si="121">IF(E44=0,"",T44/2)</f>
        <v/>
      </c>
      <c r="V44" s="194" t="str">
        <f>IF(E44=0,"",M44*IF('Marginal Capacity Costs Inputs'!R37="Default",'Marginal Capacity Costs Inputs'!S37,'Marginal Capacity Costs Inputs'!S38)*2)</f>
        <v/>
      </c>
      <c r="W44" s="194" t="str">
        <f t="shared" ref="W44" si="122">IF(E44=0,"",V44/2)</f>
        <v/>
      </c>
      <c r="X44" s="194" t="str">
        <f t="shared" ref="X44" si="123">IF(E44=0,"",W44-U44)</f>
        <v/>
      </c>
      <c r="Y44" s="195" t="str">
        <f>IF(E44=0,"",X44*IF('Marginal Capacity Costs Inputs'!J37="Default",'Marginal Capacity Costs Inputs'!K37,'Marginal Capacity Costs Inputs'!K38))</f>
        <v/>
      </c>
      <c r="Z44" s="196" t="str">
        <f t="shared" ref="Z44" si="124">IF(E44=0,"",Y44+S44)</f>
        <v/>
      </c>
      <c r="AA44" s="197" t="str">
        <f t="shared" ref="AA44" si="125">IF(E44=0,"",(M44-I44)/I44)</f>
        <v/>
      </c>
      <c r="AB44" s="197" t="str">
        <f>IF(E44=0,"",AA44*SUMIFS($N$13:$N$14,$D$13:$D$14,$E$19))</f>
        <v/>
      </c>
      <c r="AC44" s="198" t="str">
        <f>IF(E44=0,"",K44*IF('Marginal Capacity Costs Inputs'!R37="Default",'Marginal Capacity Costs Inputs'!S37,'Marginal Capacity Costs Inputs'!S38)*2)</f>
        <v/>
      </c>
      <c r="AD44" s="195" t="str">
        <f t="shared" ref="AD44" si="126">IF(E44=0,"",AC44/2)</f>
        <v/>
      </c>
      <c r="AE44" s="198" t="str">
        <f>IF(E44=0,"",AD44*IF('Marginal Capacity Costs Inputs'!U37="Default",'Marginal Capacity Costs Inputs'!V37,'Marginal Capacity Costs Inputs'!V38))</f>
        <v/>
      </c>
      <c r="AF44" s="195" t="str">
        <f t="shared" ref="AF44" si="127">IF(E44=0,"",AB44*AE44)</f>
        <v/>
      </c>
      <c r="AG44" s="196" t="str">
        <f>IF(E44=0,"",AF44*'Marginal Capacity Costs Inputs'!T37)</f>
        <v/>
      </c>
      <c r="AH44" s="196" t="str">
        <f>IF(E44=0,"",AF44*'MOC - Calculations'!$E$6)</f>
        <v/>
      </c>
      <c r="AI44" s="199" t="str">
        <f t="shared" ref="AI44" si="128">IF(E44=0,"",Z44-AG44+AH44)</f>
        <v/>
      </c>
      <c r="AJ44" s="195" t="str">
        <f t="shared" ref="AJ44" si="129">IF(E44=0,"",IF(AI44&lt;0,0,AI44))</f>
        <v/>
      </c>
      <c r="AK44" s="195" t="str">
        <f>IF(E44=0,"",AJ44*'Marginal Capacity Costs Inputs'!G37*'MCC - Calculations'!F44)</f>
        <v/>
      </c>
    </row>
    <row r="45" spans="1:37" customFormat="1" ht="14.45"/>
    <row r="46" spans="1:37">
      <c r="A46" s="12"/>
      <c r="D46" s="32">
        <v>12</v>
      </c>
      <c r="E46" s="32">
        <f>IF($E$18="No",0,IF('Marginal Capacity Costs Inputs'!E39="No",0,1))</f>
        <v>0</v>
      </c>
      <c r="F46" s="24" t="str">
        <f>IF(E46=0,"",(1-'RF - Calculations'!$E$6))</f>
        <v/>
      </c>
      <c r="G46" s="24" t="str">
        <f>IF(E46=0,"",IF('Marginal Capacity Costs Inputs'!$H39=Lists!$D$21,SUMIFS($F$13:$F$14,$D$13:$D$14,$E$19)*'Inflation - Calculations'!$E$7,'Marginal Capacity Costs Inputs'!$I40))</f>
        <v/>
      </c>
      <c r="H46" s="24" t="str">
        <f>IF(E46=0,"",IF('Marginal Capacity Costs Inputs'!$J39=Lists!$D$21,SUMIFS($G$13:$G$14,$D$13:$D$14,$E$19)*'Inflation - Calculations'!$E$8,'Marginal Capacity Costs Inputs'!$K40))</f>
        <v/>
      </c>
      <c r="I46" s="24" t="str">
        <f>IF(E46=0,"",SUMIFS($M$13:$M$14,$D$13:$D$14,$E$19))</f>
        <v/>
      </c>
      <c r="J46" s="194" t="str">
        <f>IF(E46=0,"",IF('Marginal Capacity Costs Inputs'!N39="Default",'Marginal Capacity Costs Inputs'!O39,'Marginal Capacity Costs Inputs'!O40)/IF('Marginal Capacity Costs Inputs'!P39="Default",'Marginal Capacity Costs Inputs'!Q39,'Marginal Capacity Costs Inputs'!Q40))</f>
        <v/>
      </c>
      <c r="K46" s="194" t="str">
        <f t="shared" ref="K46" si="130">IF(E46=0,"",J46*I46)</f>
        <v/>
      </c>
      <c r="L46" s="194" t="str">
        <f>IF(E46=0,"",1/IF('Marginal Capacity Costs Inputs'!R39="Default",'Marginal Capacity Costs Inputs'!S39,'Marginal Capacity Costs Inputs'!S40))</f>
        <v/>
      </c>
      <c r="M46" s="194" t="str">
        <f>IF(E46=0,"",I46*((K46+L46)/K46)^SUMIFS($E$13:$E$14,$D$13:$D$14,$E$19))</f>
        <v/>
      </c>
      <c r="N46" s="194" t="str">
        <f>IF(E46=0,"",I46/((IF('Marginal Capacity Costs Inputs'!L39="Default",'Marginal Capacity Costs Inputs'!M39,'Marginal Capacity Costs Inputs'!M40)/(IF('Marginal Capacity Costs Inputs'!R39="Default",'Marginal Capacity Costs Inputs'!S39,'Marginal Capacity Costs Inputs'!S40)*2))))</f>
        <v/>
      </c>
      <c r="O46" s="194" t="str">
        <f t="shared" ref="O46" si="131">IF(E46=0,"",N46/2)</f>
        <v/>
      </c>
      <c r="P46" s="194" t="str">
        <f>IF(E46=0,"",M46/((IF('Marginal Capacity Costs Inputs'!L39="Default",'Marginal Capacity Costs Inputs'!M39,'Marginal Capacity Costs Inputs'!M40)/(IF('Marginal Capacity Costs Inputs'!R39="Default",'Marginal Capacity Costs Inputs'!S39,'Marginal Capacity Costs Inputs'!S40)*2))))</f>
        <v/>
      </c>
      <c r="Q46" s="194" t="str">
        <f t="shared" ref="Q46" si="132">IF(E46=0,"",P46/2)</f>
        <v/>
      </c>
      <c r="R46" s="194" t="str">
        <f t="shared" ref="R46" si="133">IF(E46=0,"",Q46-O46)</f>
        <v/>
      </c>
      <c r="S46" s="194" t="str">
        <f>IF(E46=0,"",(R46*IF('Marginal Capacity Costs Inputs'!H39="Default",'Marginal Capacity Costs Inputs'!I39,'Marginal Capacity Costs Inputs'!I40)))</f>
        <v/>
      </c>
      <c r="T46" s="194" t="str">
        <f>IF(E46=0,"",I46*IF('Marginal Capacity Costs Inputs'!R39="Default",'Marginal Capacity Costs Inputs'!S39,'Marginal Capacity Costs Inputs'!S40)*2)</f>
        <v/>
      </c>
      <c r="U46" s="194" t="str">
        <f t="shared" ref="U46" si="134">IF(E46=0,"",T46/2)</f>
        <v/>
      </c>
      <c r="V46" s="194" t="str">
        <f>IF(E46=0,"",M46*IF('Marginal Capacity Costs Inputs'!R39="Default",'Marginal Capacity Costs Inputs'!S39,'Marginal Capacity Costs Inputs'!S40)*2)</f>
        <v/>
      </c>
      <c r="W46" s="194" t="str">
        <f t="shared" ref="W46" si="135">IF(E46=0,"",V46/2)</f>
        <v/>
      </c>
      <c r="X46" s="194" t="str">
        <f t="shared" ref="X46" si="136">IF(E46=0,"",W46-U46)</f>
        <v/>
      </c>
      <c r="Y46" s="195" t="str">
        <f>IF(E46=0,"",X46*IF('Marginal Capacity Costs Inputs'!J39="Default",'Marginal Capacity Costs Inputs'!K39,'Marginal Capacity Costs Inputs'!K40))</f>
        <v/>
      </c>
      <c r="Z46" s="196" t="str">
        <f t="shared" ref="Z46" si="137">IF(E46=0,"",Y46+S46)</f>
        <v/>
      </c>
      <c r="AA46" s="197" t="str">
        <f t="shared" ref="AA46" si="138">IF(E46=0,"",(M46-I46)/I46)</f>
        <v/>
      </c>
      <c r="AB46" s="197" t="str">
        <f>IF(E46=0,"",AA46*SUMIFS($N$13:$N$14,$D$13:$D$14,$E$19))</f>
        <v/>
      </c>
      <c r="AC46" s="198" t="str">
        <f>IF(E46=0,"",K46*IF('Marginal Capacity Costs Inputs'!R39="Default",'Marginal Capacity Costs Inputs'!S39,'Marginal Capacity Costs Inputs'!S40)*2)</f>
        <v/>
      </c>
      <c r="AD46" s="195" t="str">
        <f t="shared" ref="AD46" si="139">IF(E46=0,"",AC46/2)</f>
        <v/>
      </c>
      <c r="AE46" s="198" t="str">
        <f>IF(E46=0,"",AD46*IF('Marginal Capacity Costs Inputs'!U39="Default",'Marginal Capacity Costs Inputs'!V39,'Marginal Capacity Costs Inputs'!V40))</f>
        <v/>
      </c>
      <c r="AF46" s="195" t="str">
        <f t="shared" ref="AF46" si="140">IF(E46=0,"",AB46*AE46)</f>
        <v/>
      </c>
      <c r="AG46" s="196" t="str">
        <f>IF(E46=0,"",AF46*'Marginal Capacity Costs Inputs'!T39)</f>
        <v/>
      </c>
      <c r="AH46" s="196" t="str">
        <f>IF(E46=0,"",AF46*'MOC - Calculations'!$E$6)</f>
        <v/>
      </c>
      <c r="AI46" s="199" t="str">
        <f t="shared" ref="AI46" si="141">IF(E46=0,"",Z46-AG46+AH46)</f>
        <v/>
      </c>
      <c r="AJ46" s="195" t="str">
        <f t="shared" ref="AJ46" si="142">IF(E46=0,"",IF(AI46&lt;0,0,AI46))</f>
        <v/>
      </c>
      <c r="AK46" s="195" t="str">
        <f>IF(E46=0,"",AJ46*'Marginal Capacity Costs Inputs'!G39*'MCC - Calculations'!F46)</f>
        <v/>
      </c>
    </row>
    <row r="47" spans="1:37" customFormat="1" ht="14.45"/>
    <row r="48" spans="1:37">
      <c r="A48" s="12"/>
      <c r="D48" s="32">
        <v>13</v>
      </c>
      <c r="E48" s="32">
        <f>IF($E$18="No",0,IF('Marginal Capacity Costs Inputs'!E41="No",0,1))</f>
        <v>0</v>
      </c>
      <c r="F48" s="24" t="str">
        <f>IF(E48=0,"",(1-'RF - Calculations'!$E$6))</f>
        <v/>
      </c>
      <c r="G48" s="24" t="str">
        <f>IF(E48=0,"",IF('Marginal Capacity Costs Inputs'!$H41=Lists!$D$21,SUMIFS($F$13:$F$14,$D$13:$D$14,$E$19)*'Inflation - Calculations'!$E$7,'Marginal Capacity Costs Inputs'!$I42))</f>
        <v/>
      </c>
      <c r="H48" s="24" t="str">
        <f>IF(E48=0,"",IF('Marginal Capacity Costs Inputs'!$J41=Lists!$D$21,SUMIFS($G$13:$G$14,$D$13:$D$14,$E$19)*'Inflation - Calculations'!$E$8,'Marginal Capacity Costs Inputs'!$K42))</f>
        <v/>
      </c>
      <c r="I48" s="24" t="str">
        <f>IF(E48=0,"",SUMIFS($M$13:$M$14,$D$13:$D$14,$E$19))</f>
        <v/>
      </c>
      <c r="J48" s="194" t="str">
        <f>IF(E48=0,"",IF('Marginal Capacity Costs Inputs'!N41="Default",'Marginal Capacity Costs Inputs'!O41,'Marginal Capacity Costs Inputs'!O42)/IF('Marginal Capacity Costs Inputs'!P41="Default",'Marginal Capacity Costs Inputs'!Q41,'Marginal Capacity Costs Inputs'!Q42))</f>
        <v/>
      </c>
      <c r="K48" s="194" t="str">
        <f t="shared" ref="K48" si="143">IF(E48=0,"",J48*I48)</f>
        <v/>
      </c>
      <c r="L48" s="194" t="str">
        <f>IF(E48=0,"",1/IF('Marginal Capacity Costs Inputs'!R41="Default",'Marginal Capacity Costs Inputs'!S41,'Marginal Capacity Costs Inputs'!S42))</f>
        <v/>
      </c>
      <c r="M48" s="194" t="str">
        <f>IF(E48=0,"",I48*((K48+L48)/K48)^SUMIFS($E$13:$E$14,$D$13:$D$14,$E$19))</f>
        <v/>
      </c>
      <c r="N48" s="194" t="str">
        <f>IF(E48=0,"",I48/((IF('Marginal Capacity Costs Inputs'!L41="Default",'Marginal Capacity Costs Inputs'!M41,'Marginal Capacity Costs Inputs'!M42)/(IF('Marginal Capacity Costs Inputs'!R41="Default",'Marginal Capacity Costs Inputs'!S41,'Marginal Capacity Costs Inputs'!S42)*2))))</f>
        <v/>
      </c>
      <c r="O48" s="194" t="str">
        <f t="shared" ref="O48" si="144">IF(E48=0,"",N48/2)</f>
        <v/>
      </c>
      <c r="P48" s="194" t="str">
        <f>IF(E48=0,"",M48/((IF('Marginal Capacity Costs Inputs'!L41="Default",'Marginal Capacity Costs Inputs'!M41,'Marginal Capacity Costs Inputs'!M42)/(IF('Marginal Capacity Costs Inputs'!R41="Default",'Marginal Capacity Costs Inputs'!S41,'Marginal Capacity Costs Inputs'!S42)*2))))</f>
        <v/>
      </c>
      <c r="Q48" s="194" t="str">
        <f t="shared" ref="Q48" si="145">IF(E48=0,"",P48/2)</f>
        <v/>
      </c>
      <c r="R48" s="194" t="str">
        <f t="shared" ref="R48" si="146">IF(E48=0,"",Q48-O48)</f>
        <v/>
      </c>
      <c r="S48" s="194" t="str">
        <f>IF(E48=0,"",(R48*IF('Marginal Capacity Costs Inputs'!H41="Default",'Marginal Capacity Costs Inputs'!I41,'Marginal Capacity Costs Inputs'!I42)))</f>
        <v/>
      </c>
      <c r="T48" s="194" t="str">
        <f>IF(E48=0,"",I48*IF('Marginal Capacity Costs Inputs'!R41="Default",'Marginal Capacity Costs Inputs'!S41,'Marginal Capacity Costs Inputs'!S42)*2)</f>
        <v/>
      </c>
      <c r="U48" s="194" t="str">
        <f t="shared" ref="U48" si="147">IF(E48=0,"",T48/2)</f>
        <v/>
      </c>
      <c r="V48" s="194" t="str">
        <f>IF(E48=0,"",M48*IF('Marginal Capacity Costs Inputs'!R41="Default",'Marginal Capacity Costs Inputs'!S41,'Marginal Capacity Costs Inputs'!S42)*2)</f>
        <v/>
      </c>
      <c r="W48" s="194" t="str">
        <f t="shared" ref="W48" si="148">IF(E48=0,"",V48/2)</f>
        <v/>
      </c>
      <c r="X48" s="194" t="str">
        <f t="shared" ref="X48" si="149">IF(E48=0,"",W48-U48)</f>
        <v/>
      </c>
      <c r="Y48" s="195" t="str">
        <f>IF(E48=0,"",X48*IF('Marginal Capacity Costs Inputs'!J41="Default",'Marginal Capacity Costs Inputs'!K41,'Marginal Capacity Costs Inputs'!K42))</f>
        <v/>
      </c>
      <c r="Z48" s="196" t="str">
        <f t="shared" ref="Z48" si="150">IF(E48=0,"",Y48+S48)</f>
        <v/>
      </c>
      <c r="AA48" s="197" t="str">
        <f t="shared" ref="AA48" si="151">IF(E48=0,"",(M48-I48)/I48)</f>
        <v/>
      </c>
      <c r="AB48" s="197" t="str">
        <f>IF(E48=0,"",AA48*SUMIFS($N$13:$N$14,$D$13:$D$14,$E$19))</f>
        <v/>
      </c>
      <c r="AC48" s="198" t="str">
        <f>IF(E48=0,"",K48*IF('Marginal Capacity Costs Inputs'!R41="Default",'Marginal Capacity Costs Inputs'!S41,'Marginal Capacity Costs Inputs'!S42)*2)</f>
        <v/>
      </c>
      <c r="AD48" s="195" t="str">
        <f t="shared" ref="AD48" si="152">IF(E48=0,"",AC48/2)</f>
        <v/>
      </c>
      <c r="AE48" s="198" t="str">
        <f>IF(E48=0,"",AD48*IF('Marginal Capacity Costs Inputs'!U41="Default",'Marginal Capacity Costs Inputs'!V41,'Marginal Capacity Costs Inputs'!V42))</f>
        <v/>
      </c>
      <c r="AF48" s="195" t="str">
        <f t="shared" ref="AF48" si="153">IF(E48=0,"",AB48*AE48)</f>
        <v/>
      </c>
      <c r="AG48" s="196" t="str">
        <f>IF(E48=0,"",AF48*'Marginal Capacity Costs Inputs'!T41)</f>
        <v/>
      </c>
      <c r="AH48" s="196" t="str">
        <f>IF(E48=0,"",AF48*'MOC - Calculations'!$E$6)</f>
        <v/>
      </c>
      <c r="AI48" s="199" t="str">
        <f t="shared" ref="AI48" si="154">IF(E48=0,"",Z48-AG48+AH48)</f>
        <v/>
      </c>
      <c r="AJ48" s="195" t="str">
        <f t="shared" ref="AJ48" si="155">IF(E48=0,"",IF(AI48&lt;0,0,AI48))</f>
        <v/>
      </c>
      <c r="AK48" s="195" t="str">
        <f>IF(E48=0,"",AJ48*'Marginal Capacity Costs Inputs'!G41*'MCC - Calculations'!F48)</f>
        <v/>
      </c>
    </row>
    <row r="49" spans="1:37" customFormat="1" ht="14.45"/>
    <row r="50" spans="1:37">
      <c r="A50" s="12"/>
      <c r="D50" s="32">
        <v>14</v>
      </c>
      <c r="E50" s="32">
        <f>IF($E$18="No",0,IF('Marginal Capacity Costs Inputs'!E43="No",0,1))</f>
        <v>0</v>
      </c>
      <c r="F50" s="24" t="str">
        <f>IF(E50=0,"",(1-'RF - Calculations'!$E$6))</f>
        <v/>
      </c>
      <c r="G50" s="24" t="str">
        <f>IF(E50=0,"",IF('Marginal Capacity Costs Inputs'!$H43=Lists!$D$21,SUMIFS($F$13:$F$14,$D$13:$D$14,$E$19)*'Inflation - Calculations'!$E$7,'Marginal Capacity Costs Inputs'!$I44))</f>
        <v/>
      </c>
      <c r="H50" s="24" t="str">
        <f>IF(E50=0,"",IF('Marginal Capacity Costs Inputs'!$J43=Lists!$D$21,SUMIFS($G$13:$G$14,$D$13:$D$14,$E$19)*'Inflation - Calculations'!$E$8,'Marginal Capacity Costs Inputs'!$K44))</f>
        <v/>
      </c>
      <c r="I50" s="24" t="str">
        <f>IF(E50=0,"",SUMIFS($M$13:$M$14,$D$13:$D$14,$E$19))</f>
        <v/>
      </c>
      <c r="J50" s="194" t="str">
        <f>IF(E50=0,"",IF('Marginal Capacity Costs Inputs'!N43="Default",'Marginal Capacity Costs Inputs'!O43,'Marginal Capacity Costs Inputs'!O44)/IF('Marginal Capacity Costs Inputs'!P43="Default",'Marginal Capacity Costs Inputs'!Q43,'Marginal Capacity Costs Inputs'!Q44))</f>
        <v/>
      </c>
      <c r="K50" s="194" t="str">
        <f t="shared" ref="K50" si="156">IF(E50=0,"",J50*I50)</f>
        <v/>
      </c>
      <c r="L50" s="194" t="str">
        <f>IF(E50=0,"",1/IF('Marginal Capacity Costs Inputs'!R43="Default",'Marginal Capacity Costs Inputs'!S43,'Marginal Capacity Costs Inputs'!S44))</f>
        <v/>
      </c>
      <c r="M50" s="194" t="str">
        <f>IF(E50=0,"",I50*((K50+L50)/K50)^SUMIFS($E$13:$E$14,$D$13:$D$14,$E$19))</f>
        <v/>
      </c>
      <c r="N50" s="194" t="str">
        <f>IF(E50=0,"",I50/((IF('Marginal Capacity Costs Inputs'!L43="Default",'Marginal Capacity Costs Inputs'!M43,'Marginal Capacity Costs Inputs'!M44)/(IF('Marginal Capacity Costs Inputs'!R43="Default",'Marginal Capacity Costs Inputs'!S43,'Marginal Capacity Costs Inputs'!S44)*2))))</f>
        <v/>
      </c>
      <c r="O50" s="194" t="str">
        <f t="shared" ref="O50" si="157">IF(E50=0,"",N50/2)</f>
        <v/>
      </c>
      <c r="P50" s="194" t="str">
        <f>IF(E50=0,"",M50/((IF('Marginal Capacity Costs Inputs'!L43="Default",'Marginal Capacity Costs Inputs'!M43,'Marginal Capacity Costs Inputs'!M44)/(IF('Marginal Capacity Costs Inputs'!R43="Default",'Marginal Capacity Costs Inputs'!S43,'Marginal Capacity Costs Inputs'!S44)*2))))</f>
        <v/>
      </c>
      <c r="Q50" s="194" t="str">
        <f t="shared" ref="Q50" si="158">IF(E50=0,"",P50/2)</f>
        <v/>
      </c>
      <c r="R50" s="194" t="str">
        <f t="shared" ref="R50" si="159">IF(E50=0,"",Q50-O50)</f>
        <v/>
      </c>
      <c r="S50" s="194" t="str">
        <f>IF(E50=0,"",(R50*IF('Marginal Capacity Costs Inputs'!H43="Default",'Marginal Capacity Costs Inputs'!I43,'Marginal Capacity Costs Inputs'!I44)))</f>
        <v/>
      </c>
      <c r="T50" s="194" t="str">
        <f>IF(E50=0,"",I50*IF('Marginal Capacity Costs Inputs'!R43="Default",'Marginal Capacity Costs Inputs'!S43,'Marginal Capacity Costs Inputs'!S44)*2)</f>
        <v/>
      </c>
      <c r="U50" s="194" t="str">
        <f t="shared" ref="U50" si="160">IF(E50=0,"",T50/2)</f>
        <v/>
      </c>
      <c r="V50" s="194" t="str">
        <f>IF(E50=0,"",M50*IF('Marginal Capacity Costs Inputs'!R43="Default",'Marginal Capacity Costs Inputs'!S43,'Marginal Capacity Costs Inputs'!S44)*2)</f>
        <v/>
      </c>
      <c r="W50" s="194" t="str">
        <f t="shared" ref="W50" si="161">IF(E50=0,"",V50/2)</f>
        <v/>
      </c>
      <c r="X50" s="194" t="str">
        <f t="shared" ref="X50" si="162">IF(E50=0,"",W50-U50)</f>
        <v/>
      </c>
      <c r="Y50" s="195" t="str">
        <f>IF(E50=0,"",X50*IF('Marginal Capacity Costs Inputs'!J43="Default",'Marginal Capacity Costs Inputs'!K43,'Marginal Capacity Costs Inputs'!K44))</f>
        <v/>
      </c>
      <c r="Z50" s="196" t="str">
        <f t="shared" ref="Z50" si="163">IF(E50=0,"",Y50+S50)</f>
        <v/>
      </c>
      <c r="AA50" s="197" t="str">
        <f t="shared" ref="AA50" si="164">IF(E50=0,"",(M50-I50)/I50)</f>
        <v/>
      </c>
      <c r="AB50" s="197" t="str">
        <f>IF(E50=0,"",AA50*SUMIFS($N$13:$N$14,$D$13:$D$14,$E$19))</f>
        <v/>
      </c>
      <c r="AC50" s="198" t="str">
        <f>IF(E50=0,"",K50*IF('Marginal Capacity Costs Inputs'!R43="Default",'Marginal Capacity Costs Inputs'!S43,'Marginal Capacity Costs Inputs'!S44)*2)</f>
        <v/>
      </c>
      <c r="AD50" s="195" t="str">
        <f t="shared" ref="AD50" si="165">IF(E50=0,"",AC50/2)</f>
        <v/>
      </c>
      <c r="AE50" s="198" t="str">
        <f>IF(E50=0,"",AD50*IF('Marginal Capacity Costs Inputs'!U43="Default",'Marginal Capacity Costs Inputs'!V43,'Marginal Capacity Costs Inputs'!V44))</f>
        <v/>
      </c>
      <c r="AF50" s="195" t="str">
        <f t="shared" ref="AF50" si="166">IF(E50=0,"",AB50*AE50)</f>
        <v/>
      </c>
      <c r="AG50" s="196" t="str">
        <f>IF(E50=0,"",AF50*'Marginal Capacity Costs Inputs'!T43)</f>
        <v/>
      </c>
      <c r="AH50" s="196" t="str">
        <f>IF(E50=0,"",AF50*'MOC - Calculations'!$E$6)</f>
        <v/>
      </c>
      <c r="AI50" s="199" t="str">
        <f t="shared" ref="AI50" si="167">IF(E50=0,"",Z50-AG50+AH50)</f>
        <v/>
      </c>
      <c r="AJ50" s="195" t="str">
        <f t="shared" ref="AJ50" si="168">IF(E50=0,"",IF(AI50&lt;0,0,AI50))</f>
        <v/>
      </c>
      <c r="AK50" s="195" t="str">
        <f>IF(E50=0,"",AJ50*'Marginal Capacity Costs Inputs'!G43*'MCC - Calculations'!F50)</f>
        <v/>
      </c>
    </row>
    <row r="51" spans="1:37" customFormat="1" ht="14.45"/>
    <row r="52" spans="1:37">
      <c r="A52" s="12"/>
      <c r="D52" s="32">
        <v>15</v>
      </c>
      <c r="E52" s="32">
        <f>IF($E$18="No",0,IF('Marginal Capacity Costs Inputs'!E45="No",0,1))</f>
        <v>0</v>
      </c>
      <c r="F52" s="24" t="str">
        <f>IF(E52=0,"",(1-'RF - Calculations'!$E$6))</f>
        <v/>
      </c>
      <c r="G52" s="24" t="str">
        <f>IF(E52=0,"",IF('Marginal Capacity Costs Inputs'!$H45=Lists!$D$21,SUMIFS($F$13:$F$14,$D$13:$D$14,$E$19)*'Inflation - Calculations'!$E$7,'Marginal Capacity Costs Inputs'!$I46))</f>
        <v/>
      </c>
      <c r="H52" s="24" t="str">
        <f>IF(E52=0,"",IF('Marginal Capacity Costs Inputs'!$J45=Lists!$D$21,SUMIFS($G$13:$G$14,$D$13:$D$14,$E$19)*'Inflation - Calculations'!$E$8,'Marginal Capacity Costs Inputs'!$K46))</f>
        <v/>
      </c>
      <c r="I52" s="24" t="str">
        <f>IF(E52=0,"",SUMIFS($M$13:$M$14,$D$13:$D$14,$E$19))</f>
        <v/>
      </c>
      <c r="J52" s="194" t="str">
        <f>IF(E52=0,"",IF('Marginal Capacity Costs Inputs'!N45="Default",'Marginal Capacity Costs Inputs'!O45,'Marginal Capacity Costs Inputs'!O46)/IF('Marginal Capacity Costs Inputs'!P45="Default",'Marginal Capacity Costs Inputs'!Q45,'Marginal Capacity Costs Inputs'!Q46))</f>
        <v/>
      </c>
      <c r="K52" s="194" t="str">
        <f t="shared" ref="K52" si="169">IF(E52=0,"",J52*I52)</f>
        <v/>
      </c>
      <c r="L52" s="194" t="str">
        <f>IF(E52=0,"",1/IF('Marginal Capacity Costs Inputs'!R45="Default",'Marginal Capacity Costs Inputs'!S45,'Marginal Capacity Costs Inputs'!S46))</f>
        <v/>
      </c>
      <c r="M52" s="194" t="str">
        <f>IF(E52=0,"",I52*((K52+L52)/K52)^SUMIFS($E$13:$E$14,$D$13:$D$14,$E$19))</f>
        <v/>
      </c>
      <c r="N52" s="194" t="str">
        <f>IF(E52=0,"",I52/((IF('Marginal Capacity Costs Inputs'!L45="Default",'Marginal Capacity Costs Inputs'!M45,'Marginal Capacity Costs Inputs'!M46)/(IF('Marginal Capacity Costs Inputs'!R45="Default",'Marginal Capacity Costs Inputs'!S45,'Marginal Capacity Costs Inputs'!S46)*2))))</f>
        <v/>
      </c>
      <c r="O52" s="194" t="str">
        <f t="shared" ref="O52" si="170">IF(E52=0,"",N52/2)</f>
        <v/>
      </c>
      <c r="P52" s="194" t="str">
        <f>IF(E52=0,"",M52/((IF('Marginal Capacity Costs Inputs'!L45="Default",'Marginal Capacity Costs Inputs'!M45,'Marginal Capacity Costs Inputs'!M46)/(IF('Marginal Capacity Costs Inputs'!R45="Default",'Marginal Capacity Costs Inputs'!S45,'Marginal Capacity Costs Inputs'!S46)*2))))</f>
        <v/>
      </c>
      <c r="Q52" s="194" t="str">
        <f t="shared" ref="Q52" si="171">IF(E52=0,"",P52/2)</f>
        <v/>
      </c>
      <c r="R52" s="194" t="str">
        <f t="shared" ref="R52" si="172">IF(E52=0,"",Q52-O52)</f>
        <v/>
      </c>
      <c r="S52" s="194" t="str">
        <f>IF(E52=0,"",(R52*IF('Marginal Capacity Costs Inputs'!H45="Default",'Marginal Capacity Costs Inputs'!I45,'Marginal Capacity Costs Inputs'!I46)))</f>
        <v/>
      </c>
      <c r="T52" s="194" t="str">
        <f>IF(E52=0,"",I52*IF('Marginal Capacity Costs Inputs'!R45="Default",'Marginal Capacity Costs Inputs'!S45,'Marginal Capacity Costs Inputs'!S46)*2)</f>
        <v/>
      </c>
      <c r="U52" s="194" t="str">
        <f t="shared" ref="U52" si="173">IF(E52=0,"",T52/2)</f>
        <v/>
      </c>
      <c r="V52" s="194" t="str">
        <f>IF(E52=0,"",M52*IF('Marginal Capacity Costs Inputs'!R45="Default",'Marginal Capacity Costs Inputs'!S45,'Marginal Capacity Costs Inputs'!S46)*2)</f>
        <v/>
      </c>
      <c r="W52" s="194" t="str">
        <f t="shared" ref="W52" si="174">IF(E52=0,"",V52/2)</f>
        <v/>
      </c>
      <c r="X52" s="194" t="str">
        <f t="shared" ref="X52" si="175">IF(E52=0,"",W52-U52)</f>
        <v/>
      </c>
      <c r="Y52" s="195" t="str">
        <f>IF(E52=0,"",X52*IF('Marginal Capacity Costs Inputs'!J45="Default",'Marginal Capacity Costs Inputs'!K45,'Marginal Capacity Costs Inputs'!K46))</f>
        <v/>
      </c>
      <c r="Z52" s="196" t="str">
        <f t="shared" ref="Z52" si="176">IF(E52=0,"",Y52+S52)</f>
        <v/>
      </c>
      <c r="AA52" s="197" t="str">
        <f t="shared" ref="AA52" si="177">IF(E52=0,"",(M52-I52)/I52)</f>
        <v/>
      </c>
      <c r="AB52" s="197" t="str">
        <f>IF(E52=0,"",AA52*SUMIFS($N$13:$N$14,$D$13:$D$14,$E$19))</f>
        <v/>
      </c>
      <c r="AC52" s="198" t="str">
        <f>IF(E52=0,"",K52*IF('Marginal Capacity Costs Inputs'!R45="Default",'Marginal Capacity Costs Inputs'!S45,'Marginal Capacity Costs Inputs'!S46)*2)</f>
        <v/>
      </c>
      <c r="AD52" s="195" t="str">
        <f t="shared" ref="AD52" si="178">IF(E52=0,"",AC52/2)</f>
        <v/>
      </c>
      <c r="AE52" s="198" t="str">
        <f>IF(E52=0,"",AD52*IF('Marginal Capacity Costs Inputs'!U45="Default",'Marginal Capacity Costs Inputs'!V45,'Marginal Capacity Costs Inputs'!V46))</f>
        <v/>
      </c>
      <c r="AF52" s="195" t="str">
        <f t="shared" ref="AF52" si="179">IF(E52=0,"",AB52*AE52)</f>
        <v/>
      </c>
      <c r="AG52" s="196" t="str">
        <f>IF(E52=0,"",AF52*'Marginal Capacity Costs Inputs'!T45)</f>
        <v/>
      </c>
      <c r="AH52" s="196" t="str">
        <f>IF(E52=0,"",AF52*'MOC - Calculations'!$E$6)</f>
        <v/>
      </c>
      <c r="AI52" s="199" t="str">
        <f t="shared" ref="AI52" si="180">IF(E52=0,"",Z52-AG52+AH52)</f>
        <v/>
      </c>
      <c r="AJ52" s="195" t="str">
        <f t="shared" ref="AJ52" si="181">IF(E52=0,"",IF(AI52&lt;0,0,AI52))</f>
        <v/>
      </c>
      <c r="AK52" s="195" t="str">
        <f>IF(E52=0,"",AJ52*'Marginal Capacity Costs Inputs'!G45*'MCC - Calculations'!F52)</f>
        <v/>
      </c>
    </row>
    <row r="53" spans="1:37" customFormat="1" ht="14.45"/>
    <row r="54" spans="1:37">
      <c r="A54" s="12"/>
      <c r="D54" s="32">
        <v>16</v>
      </c>
      <c r="E54" s="32">
        <f>IF($E$18="No",0,IF('Marginal Capacity Costs Inputs'!E47="No",0,1))</f>
        <v>0</v>
      </c>
      <c r="F54" s="24" t="str">
        <f>IF(E54=0,"",(1-'RF - Calculations'!$E$6))</f>
        <v/>
      </c>
      <c r="G54" s="24" t="str">
        <f>IF(E54=0,"",IF('Marginal Capacity Costs Inputs'!$H47=Lists!$D$21,SUMIFS($F$13:$F$14,$D$13:$D$14,$E$19)*'Inflation - Calculations'!$E$7,'Marginal Capacity Costs Inputs'!$I48))</f>
        <v/>
      </c>
      <c r="H54" s="24" t="str">
        <f>IF(E54=0,"",IF('Marginal Capacity Costs Inputs'!$J47=Lists!$D$21,SUMIFS($G$13:$G$14,$D$13:$D$14,$E$19)*'Inflation - Calculations'!$E$8,'Marginal Capacity Costs Inputs'!$K48))</f>
        <v/>
      </c>
      <c r="I54" s="24" t="str">
        <f>IF(E54=0,"",SUMIFS($M$13:$M$14,$D$13:$D$14,$E$19))</f>
        <v/>
      </c>
      <c r="J54" s="194" t="str">
        <f>IF(E54=0,"",IF('Marginal Capacity Costs Inputs'!N47="Default",'Marginal Capacity Costs Inputs'!O47,'Marginal Capacity Costs Inputs'!O48)/IF('Marginal Capacity Costs Inputs'!P47="Default",'Marginal Capacity Costs Inputs'!Q47,'Marginal Capacity Costs Inputs'!Q48))</f>
        <v/>
      </c>
      <c r="K54" s="194" t="str">
        <f t="shared" ref="K54" si="182">IF(E54=0,"",J54*I54)</f>
        <v/>
      </c>
      <c r="L54" s="194" t="str">
        <f>IF(E54=0,"",1/IF('Marginal Capacity Costs Inputs'!R47="Default",'Marginal Capacity Costs Inputs'!S47,'Marginal Capacity Costs Inputs'!S48))</f>
        <v/>
      </c>
      <c r="M54" s="194" t="str">
        <f>IF(E54=0,"",I54*((K54+L54)/K54)^SUMIFS($E$13:$E$14,$D$13:$D$14,$E$19))</f>
        <v/>
      </c>
      <c r="N54" s="194" t="str">
        <f>IF(E54=0,"",I54/((IF('Marginal Capacity Costs Inputs'!L47="Default",'Marginal Capacity Costs Inputs'!M47,'Marginal Capacity Costs Inputs'!M48)/(IF('Marginal Capacity Costs Inputs'!R47="Default",'Marginal Capacity Costs Inputs'!S47,'Marginal Capacity Costs Inputs'!S48)*2))))</f>
        <v/>
      </c>
      <c r="O54" s="194" t="str">
        <f t="shared" ref="O54" si="183">IF(E54=0,"",N54/2)</f>
        <v/>
      </c>
      <c r="P54" s="194" t="str">
        <f>IF(E54=0,"",M54/((IF('Marginal Capacity Costs Inputs'!L47="Default",'Marginal Capacity Costs Inputs'!M47,'Marginal Capacity Costs Inputs'!M48)/(IF('Marginal Capacity Costs Inputs'!R47="Default",'Marginal Capacity Costs Inputs'!S47,'Marginal Capacity Costs Inputs'!S48)*2))))</f>
        <v/>
      </c>
      <c r="Q54" s="194" t="str">
        <f t="shared" ref="Q54" si="184">IF(E54=0,"",P54/2)</f>
        <v/>
      </c>
      <c r="R54" s="194" t="str">
        <f t="shared" ref="R54" si="185">IF(E54=0,"",Q54-O54)</f>
        <v/>
      </c>
      <c r="S54" s="194" t="str">
        <f>IF(E54=0,"",(R54*IF('Marginal Capacity Costs Inputs'!H47="Default",'Marginal Capacity Costs Inputs'!I47,'Marginal Capacity Costs Inputs'!I48)))</f>
        <v/>
      </c>
      <c r="T54" s="194" t="str">
        <f>IF(E54=0,"",I54*IF('Marginal Capacity Costs Inputs'!R47="Default",'Marginal Capacity Costs Inputs'!S47,'Marginal Capacity Costs Inputs'!S48)*2)</f>
        <v/>
      </c>
      <c r="U54" s="194" t="str">
        <f t="shared" ref="U54" si="186">IF(E54=0,"",T54/2)</f>
        <v/>
      </c>
      <c r="V54" s="194" t="str">
        <f>IF(E54=0,"",M54*IF('Marginal Capacity Costs Inputs'!R47="Default",'Marginal Capacity Costs Inputs'!S47,'Marginal Capacity Costs Inputs'!S48)*2)</f>
        <v/>
      </c>
      <c r="W54" s="194" t="str">
        <f t="shared" ref="W54" si="187">IF(E54=0,"",V54/2)</f>
        <v/>
      </c>
      <c r="X54" s="194" t="str">
        <f t="shared" ref="X54" si="188">IF(E54=0,"",W54-U54)</f>
        <v/>
      </c>
      <c r="Y54" s="195" t="str">
        <f>IF(E54=0,"",X54*IF('Marginal Capacity Costs Inputs'!J47="Default",'Marginal Capacity Costs Inputs'!K47,'Marginal Capacity Costs Inputs'!K48))</f>
        <v/>
      </c>
      <c r="Z54" s="196" t="str">
        <f t="shared" ref="Z54" si="189">IF(E54=0,"",Y54+S54)</f>
        <v/>
      </c>
      <c r="AA54" s="197" t="str">
        <f t="shared" ref="AA54" si="190">IF(E54=0,"",(M54-I54)/I54)</f>
        <v/>
      </c>
      <c r="AB54" s="197" t="str">
        <f>IF(E54=0,"",AA54*SUMIFS($N$13:$N$14,$D$13:$D$14,$E$19))</f>
        <v/>
      </c>
      <c r="AC54" s="198" t="str">
        <f>IF(E54=0,"",K54*IF('Marginal Capacity Costs Inputs'!R47="Default",'Marginal Capacity Costs Inputs'!S47,'Marginal Capacity Costs Inputs'!S48)*2)</f>
        <v/>
      </c>
      <c r="AD54" s="195" t="str">
        <f t="shared" ref="AD54" si="191">IF(E54=0,"",AC54/2)</f>
        <v/>
      </c>
      <c r="AE54" s="198" t="str">
        <f>IF(E54=0,"",AD54*IF('Marginal Capacity Costs Inputs'!U47="Default",'Marginal Capacity Costs Inputs'!V47,'Marginal Capacity Costs Inputs'!V48))</f>
        <v/>
      </c>
      <c r="AF54" s="195" t="str">
        <f t="shared" ref="AF54" si="192">IF(E54=0,"",AB54*AE54)</f>
        <v/>
      </c>
      <c r="AG54" s="196" t="str">
        <f>IF(E54=0,"",AF54*'Marginal Capacity Costs Inputs'!T47)</f>
        <v/>
      </c>
      <c r="AH54" s="196" t="str">
        <f>IF(E54=0,"",AF54*'MOC - Calculations'!$E$6)</f>
        <v/>
      </c>
      <c r="AI54" s="199" t="str">
        <f t="shared" ref="AI54" si="193">IF(E54=0,"",Z54-AG54+AH54)</f>
        <v/>
      </c>
      <c r="AJ54" s="195" t="str">
        <f t="shared" ref="AJ54" si="194">IF(E54=0,"",IF(AI54&lt;0,0,AI54))</f>
        <v/>
      </c>
      <c r="AK54" s="195" t="str">
        <f>IF(E54=0,"",AJ54*'Marginal Capacity Costs Inputs'!G47*'MCC - Calculations'!F54)</f>
        <v/>
      </c>
    </row>
    <row r="55" spans="1:37" customFormat="1" ht="14.45"/>
    <row r="56" spans="1:37">
      <c r="A56" s="12"/>
      <c r="D56" s="32">
        <v>17</v>
      </c>
      <c r="E56" s="32">
        <f>IF($E$18="No",0,IF('Marginal Capacity Costs Inputs'!E49="No",0,1))</f>
        <v>0</v>
      </c>
      <c r="F56" s="24" t="str">
        <f>IF(E56=0,"",(1-'RF - Calculations'!$E$6))</f>
        <v/>
      </c>
      <c r="G56" s="24" t="str">
        <f>IF(E56=0,"",IF('Marginal Capacity Costs Inputs'!$H49=Lists!$D$21,SUMIFS($F$13:$F$14,$D$13:$D$14,$E$19)*'Inflation - Calculations'!$E$7,'Marginal Capacity Costs Inputs'!$I50))</f>
        <v/>
      </c>
      <c r="H56" s="24" t="str">
        <f>IF(E56=0,"",IF('Marginal Capacity Costs Inputs'!$J49=Lists!$D$21,SUMIFS($G$13:$G$14,$D$13:$D$14,$E$19)*'Inflation - Calculations'!$E$8,'Marginal Capacity Costs Inputs'!$K50))</f>
        <v/>
      </c>
      <c r="I56" s="24" t="str">
        <f>IF(E56=0,"",SUMIFS($M$13:$M$14,$D$13:$D$14,$E$19))</f>
        <v/>
      </c>
      <c r="J56" s="194" t="str">
        <f>IF(E56=0,"",IF('Marginal Capacity Costs Inputs'!N49="Default",'Marginal Capacity Costs Inputs'!O49,'Marginal Capacity Costs Inputs'!O50)/IF('Marginal Capacity Costs Inputs'!P49="Default",'Marginal Capacity Costs Inputs'!Q49,'Marginal Capacity Costs Inputs'!Q50))</f>
        <v/>
      </c>
      <c r="K56" s="194" t="str">
        <f t="shared" ref="K56" si="195">IF(E56=0,"",J56*I56)</f>
        <v/>
      </c>
      <c r="L56" s="194" t="str">
        <f>IF(E56=0,"",1/IF('Marginal Capacity Costs Inputs'!R49="Default",'Marginal Capacity Costs Inputs'!S49,'Marginal Capacity Costs Inputs'!S50))</f>
        <v/>
      </c>
      <c r="M56" s="194" t="str">
        <f>IF(E56=0,"",I56*((K56+L56)/K56)^SUMIFS($E$13:$E$14,$D$13:$D$14,$E$19))</f>
        <v/>
      </c>
      <c r="N56" s="194" t="str">
        <f>IF(E56=0,"",I56/((IF('Marginal Capacity Costs Inputs'!L49="Default",'Marginal Capacity Costs Inputs'!M49,'Marginal Capacity Costs Inputs'!M50)/(IF('Marginal Capacity Costs Inputs'!R49="Default",'Marginal Capacity Costs Inputs'!S49,'Marginal Capacity Costs Inputs'!S50)*2))))</f>
        <v/>
      </c>
      <c r="O56" s="194" t="str">
        <f t="shared" ref="O56" si="196">IF(E56=0,"",N56/2)</f>
        <v/>
      </c>
      <c r="P56" s="194" t="str">
        <f>IF(E56=0,"",M56/((IF('Marginal Capacity Costs Inputs'!L49="Default",'Marginal Capacity Costs Inputs'!M49,'Marginal Capacity Costs Inputs'!M50)/(IF('Marginal Capacity Costs Inputs'!R49="Default",'Marginal Capacity Costs Inputs'!S49,'Marginal Capacity Costs Inputs'!S50)*2))))</f>
        <v/>
      </c>
      <c r="Q56" s="194" t="str">
        <f t="shared" ref="Q56" si="197">IF(E56=0,"",P56/2)</f>
        <v/>
      </c>
      <c r="R56" s="194" t="str">
        <f t="shared" ref="R56" si="198">IF(E56=0,"",Q56-O56)</f>
        <v/>
      </c>
      <c r="S56" s="194" t="str">
        <f>IF(E56=0,"",(R56*IF('Marginal Capacity Costs Inputs'!H49="Default",'Marginal Capacity Costs Inputs'!I49,'Marginal Capacity Costs Inputs'!I50)))</f>
        <v/>
      </c>
      <c r="T56" s="194" t="str">
        <f>IF(E56=0,"",I56*IF('Marginal Capacity Costs Inputs'!R49="Default",'Marginal Capacity Costs Inputs'!S49,'Marginal Capacity Costs Inputs'!S50)*2)</f>
        <v/>
      </c>
      <c r="U56" s="194" t="str">
        <f t="shared" ref="U56" si="199">IF(E56=0,"",T56/2)</f>
        <v/>
      </c>
      <c r="V56" s="194" t="str">
        <f>IF(E56=0,"",M56*IF('Marginal Capacity Costs Inputs'!R49="Default",'Marginal Capacity Costs Inputs'!S49,'Marginal Capacity Costs Inputs'!S50)*2)</f>
        <v/>
      </c>
      <c r="W56" s="194" t="str">
        <f t="shared" ref="W56" si="200">IF(E56=0,"",V56/2)</f>
        <v/>
      </c>
      <c r="X56" s="194" t="str">
        <f t="shared" ref="X56" si="201">IF(E56=0,"",W56-U56)</f>
        <v/>
      </c>
      <c r="Y56" s="195" t="str">
        <f>IF(E56=0,"",X56*IF('Marginal Capacity Costs Inputs'!J49="Default",'Marginal Capacity Costs Inputs'!K49,'Marginal Capacity Costs Inputs'!K50))</f>
        <v/>
      </c>
      <c r="Z56" s="196" t="str">
        <f t="shared" ref="Z56" si="202">IF(E56=0,"",Y56+S56)</f>
        <v/>
      </c>
      <c r="AA56" s="197" t="str">
        <f t="shared" ref="AA56" si="203">IF(E56=0,"",(M56-I56)/I56)</f>
        <v/>
      </c>
      <c r="AB56" s="197" t="str">
        <f>IF(E56=0,"",AA56*SUMIFS($N$13:$N$14,$D$13:$D$14,$E$19))</f>
        <v/>
      </c>
      <c r="AC56" s="198" t="str">
        <f>IF(E56=0,"",K56*IF('Marginal Capacity Costs Inputs'!R49="Default",'Marginal Capacity Costs Inputs'!S49,'Marginal Capacity Costs Inputs'!S50)*2)</f>
        <v/>
      </c>
      <c r="AD56" s="195" t="str">
        <f t="shared" ref="AD56" si="204">IF(E56=0,"",AC56/2)</f>
        <v/>
      </c>
      <c r="AE56" s="198" t="str">
        <f>IF(E56=0,"",AD56*IF('Marginal Capacity Costs Inputs'!U49="Default",'Marginal Capacity Costs Inputs'!V49,'Marginal Capacity Costs Inputs'!V50))</f>
        <v/>
      </c>
      <c r="AF56" s="195" t="str">
        <f t="shared" ref="AF56" si="205">IF(E56=0,"",AB56*AE56)</f>
        <v/>
      </c>
      <c r="AG56" s="196" t="str">
        <f>IF(E56=0,"",AF56*'Marginal Capacity Costs Inputs'!T49)</f>
        <v/>
      </c>
      <c r="AH56" s="196" t="str">
        <f>IF(E56=0,"",AF56*'MOC - Calculations'!$E$6)</f>
        <v/>
      </c>
      <c r="AI56" s="199" t="str">
        <f t="shared" ref="AI56" si="206">IF(E56=0,"",Z56-AG56+AH56)</f>
        <v/>
      </c>
      <c r="AJ56" s="195" t="str">
        <f t="shared" ref="AJ56" si="207">IF(E56=0,"",IF(AI56&lt;0,0,AI56))</f>
        <v/>
      </c>
      <c r="AK56" s="195" t="str">
        <f>IF(E56=0,"",AJ56*'Marginal Capacity Costs Inputs'!G49*'MCC - Calculations'!F56)</f>
        <v/>
      </c>
    </row>
    <row r="57" spans="1:37" customFormat="1" ht="14.45"/>
    <row r="58" spans="1:37">
      <c r="A58" s="12"/>
      <c r="D58" s="32">
        <v>18</v>
      </c>
      <c r="E58" s="32">
        <f>IF($E$18="No",0,IF('Marginal Capacity Costs Inputs'!E51="No",0,1))</f>
        <v>0</v>
      </c>
      <c r="F58" s="24" t="str">
        <f>IF(E58=0,"",(1-'RF - Calculations'!$E$6))</f>
        <v/>
      </c>
      <c r="G58" s="24" t="str">
        <f>IF(E58=0,"",IF('Marginal Capacity Costs Inputs'!$H51=Lists!$D$21,SUMIFS($F$13:$F$14,$D$13:$D$14,$E$19)*'Inflation - Calculations'!$E$7,'Marginal Capacity Costs Inputs'!$I52))</f>
        <v/>
      </c>
      <c r="H58" s="24" t="str">
        <f>IF(E58=0,"",IF('Marginal Capacity Costs Inputs'!$J51=Lists!$D$21,SUMIFS($G$13:$G$14,$D$13:$D$14,$E$19)*'Inflation - Calculations'!$E$8,'Marginal Capacity Costs Inputs'!$K52))</f>
        <v/>
      </c>
      <c r="I58" s="24" t="str">
        <f>IF(E58=0,"",SUMIFS($M$13:$M$14,$D$13:$D$14,$E$19))</f>
        <v/>
      </c>
      <c r="J58" s="194" t="str">
        <f>IF(E58=0,"",IF('Marginal Capacity Costs Inputs'!N51="Default",'Marginal Capacity Costs Inputs'!O51,'Marginal Capacity Costs Inputs'!O52)/IF('Marginal Capacity Costs Inputs'!P51="Default",'Marginal Capacity Costs Inputs'!Q51,'Marginal Capacity Costs Inputs'!Q52))</f>
        <v/>
      </c>
      <c r="K58" s="194" t="str">
        <f t="shared" ref="K58" si="208">IF(E58=0,"",J58*I58)</f>
        <v/>
      </c>
      <c r="L58" s="194" t="str">
        <f>IF(E58=0,"",1/IF('Marginal Capacity Costs Inputs'!R51="Default",'Marginal Capacity Costs Inputs'!S51,'Marginal Capacity Costs Inputs'!S52))</f>
        <v/>
      </c>
      <c r="M58" s="194" t="str">
        <f>IF(E58=0,"",I58*((K58+L58)/K58)^SUMIFS($E$13:$E$14,$D$13:$D$14,$E$19))</f>
        <v/>
      </c>
      <c r="N58" s="194" t="str">
        <f>IF(E58=0,"",I58/((IF('Marginal Capacity Costs Inputs'!L51="Default",'Marginal Capacity Costs Inputs'!M51,'Marginal Capacity Costs Inputs'!M52)/(IF('Marginal Capacity Costs Inputs'!R51="Default",'Marginal Capacity Costs Inputs'!S51,'Marginal Capacity Costs Inputs'!S52)*2))))</f>
        <v/>
      </c>
      <c r="O58" s="194" t="str">
        <f t="shared" ref="O58" si="209">IF(E58=0,"",N58/2)</f>
        <v/>
      </c>
      <c r="P58" s="194" t="str">
        <f>IF(E58=0,"",M58/((IF('Marginal Capacity Costs Inputs'!L51="Default",'Marginal Capacity Costs Inputs'!M51,'Marginal Capacity Costs Inputs'!M52)/(IF('Marginal Capacity Costs Inputs'!R51="Default",'Marginal Capacity Costs Inputs'!S51,'Marginal Capacity Costs Inputs'!S52)*2))))</f>
        <v/>
      </c>
      <c r="Q58" s="194" t="str">
        <f t="shared" ref="Q58" si="210">IF(E58=0,"",P58/2)</f>
        <v/>
      </c>
      <c r="R58" s="194" t="str">
        <f t="shared" ref="R58" si="211">IF(E58=0,"",Q58-O58)</f>
        <v/>
      </c>
      <c r="S58" s="194" t="str">
        <f>IF(E58=0,"",(R58*IF('Marginal Capacity Costs Inputs'!H51="Default",'Marginal Capacity Costs Inputs'!I51,'Marginal Capacity Costs Inputs'!I52)))</f>
        <v/>
      </c>
      <c r="T58" s="194" t="str">
        <f>IF(E58=0,"",I58*IF('Marginal Capacity Costs Inputs'!R51="Default",'Marginal Capacity Costs Inputs'!S51,'Marginal Capacity Costs Inputs'!S52)*2)</f>
        <v/>
      </c>
      <c r="U58" s="194" t="str">
        <f t="shared" ref="U58" si="212">IF(E58=0,"",T58/2)</f>
        <v/>
      </c>
      <c r="V58" s="194" t="str">
        <f>IF(E58=0,"",M58*IF('Marginal Capacity Costs Inputs'!R51="Default",'Marginal Capacity Costs Inputs'!S51,'Marginal Capacity Costs Inputs'!S52)*2)</f>
        <v/>
      </c>
      <c r="W58" s="194" t="str">
        <f t="shared" ref="W58" si="213">IF(E58=0,"",V58/2)</f>
        <v/>
      </c>
      <c r="X58" s="194" t="str">
        <f t="shared" ref="X58" si="214">IF(E58=0,"",W58-U58)</f>
        <v/>
      </c>
      <c r="Y58" s="195" t="str">
        <f>IF(E58=0,"",X58*IF('Marginal Capacity Costs Inputs'!J51="Default",'Marginal Capacity Costs Inputs'!K51,'Marginal Capacity Costs Inputs'!K52))</f>
        <v/>
      </c>
      <c r="Z58" s="196" t="str">
        <f t="shared" ref="Z58" si="215">IF(E58=0,"",Y58+S58)</f>
        <v/>
      </c>
      <c r="AA58" s="197" t="str">
        <f t="shared" ref="AA58" si="216">IF(E58=0,"",(M58-I58)/I58)</f>
        <v/>
      </c>
      <c r="AB58" s="197" t="str">
        <f>IF(E58=0,"",AA58*SUMIFS($N$13:$N$14,$D$13:$D$14,$E$19))</f>
        <v/>
      </c>
      <c r="AC58" s="198" t="str">
        <f>IF(E58=0,"",K58*IF('Marginal Capacity Costs Inputs'!R51="Default",'Marginal Capacity Costs Inputs'!S51,'Marginal Capacity Costs Inputs'!S52)*2)</f>
        <v/>
      </c>
      <c r="AD58" s="195" t="str">
        <f t="shared" ref="AD58" si="217">IF(E58=0,"",AC58/2)</f>
        <v/>
      </c>
      <c r="AE58" s="198" t="str">
        <f>IF(E58=0,"",AD58*IF('Marginal Capacity Costs Inputs'!U51="Default",'Marginal Capacity Costs Inputs'!V51,'Marginal Capacity Costs Inputs'!V52))</f>
        <v/>
      </c>
      <c r="AF58" s="195" t="str">
        <f t="shared" ref="AF58" si="218">IF(E58=0,"",AB58*AE58)</f>
        <v/>
      </c>
      <c r="AG58" s="196" t="str">
        <f>IF(E58=0,"",AF58*'Marginal Capacity Costs Inputs'!T51)</f>
        <v/>
      </c>
      <c r="AH58" s="196" t="str">
        <f>IF(E58=0,"",AF58*'MOC - Calculations'!$E$6)</f>
        <v/>
      </c>
      <c r="AI58" s="199" t="str">
        <f t="shared" ref="AI58" si="219">IF(E58=0,"",Z58-AG58+AH58)</f>
        <v/>
      </c>
      <c r="AJ58" s="195" t="str">
        <f t="shared" ref="AJ58" si="220">IF(E58=0,"",IF(AI58&lt;0,0,AI58))</f>
        <v/>
      </c>
      <c r="AK58" s="195" t="str">
        <f>IF(E58=0,"",AJ58*'Marginal Capacity Costs Inputs'!G51*'MCC - Calculations'!F58)</f>
        <v/>
      </c>
    </row>
    <row r="59" spans="1:37" customFormat="1" ht="14.45"/>
    <row r="60" spans="1:37">
      <c r="A60" s="12"/>
      <c r="D60" s="32">
        <v>19</v>
      </c>
      <c r="E60" s="32">
        <f>IF($E$18="No",0,IF('Marginal Capacity Costs Inputs'!E53="No",0,1))</f>
        <v>0</v>
      </c>
      <c r="F60" s="24" t="str">
        <f>IF(E60=0,"",(1-'RF - Calculations'!$E$6))</f>
        <v/>
      </c>
      <c r="G60" s="24" t="str">
        <f>IF(E60=0,"",IF('Marginal Capacity Costs Inputs'!$H53=Lists!$D$21,SUMIFS($F$13:$F$14,$D$13:$D$14,$E$19)*'Inflation - Calculations'!$E$7,'Marginal Capacity Costs Inputs'!$I54))</f>
        <v/>
      </c>
      <c r="H60" s="24" t="str">
        <f>IF(E60=0,"",IF('Marginal Capacity Costs Inputs'!$J53=Lists!$D$21,SUMIFS($G$13:$G$14,$D$13:$D$14,$E$19)*'Inflation - Calculations'!$E$8,'Marginal Capacity Costs Inputs'!$K54))</f>
        <v/>
      </c>
      <c r="I60" s="24" t="str">
        <f>IF(E60=0,"",SUMIFS($M$13:$M$14,$D$13:$D$14,$E$19))</f>
        <v/>
      </c>
      <c r="J60" s="194" t="str">
        <f>IF(E60=0,"",IF('Marginal Capacity Costs Inputs'!N53="Default",'Marginal Capacity Costs Inputs'!O53,'Marginal Capacity Costs Inputs'!O54)/IF('Marginal Capacity Costs Inputs'!P53="Default",'Marginal Capacity Costs Inputs'!Q53,'Marginal Capacity Costs Inputs'!Q54))</f>
        <v/>
      </c>
      <c r="K60" s="194" t="str">
        <f t="shared" ref="K60" si="221">IF(E60=0,"",J60*I60)</f>
        <v/>
      </c>
      <c r="L60" s="194" t="str">
        <f>IF(E60=0,"",1/IF('Marginal Capacity Costs Inputs'!R53="Default",'Marginal Capacity Costs Inputs'!S53,'Marginal Capacity Costs Inputs'!S54))</f>
        <v/>
      </c>
      <c r="M60" s="194" t="str">
        <f>IF(E60=0,"",I60*((K60+L60)/K60)^SUMIFS($E$13:$E$14,$D$13:$D$14,$E$19))</f>
        <v/>
      </c>
      <c r="N60" s="194" t="str">
        <f>IF(E60=0,"",I60/((IF('Marginal Capacity Costs Inputs'!L53="Default",'Marginal Capacity Costs Inputs'!M53,'Marginal Capacity Costs Inputs'!M54)/(IF('Marginal Capacity Costs Inputs'!R53="Default",'Marginal Capacity Costs Inputs'!S53,'Marginal Capacity Costs Inputs'!S54)*2))))</f>
        <v/>
      </c>
      <c r="O60" s="194" t="str">
        <f t="shared" ref="O60" si="222">IF(E60=0,"",N60/2)</f>
        <v/>
      </c>
      <c r="P60" s="194" t="str">
        <f>IF(E60=0,"",M60/((IF('Marginal Capacity Costs Inputs'!L53="Default",'Marginal Capacity Costs Inputs'!M53,'Marginal Capacity Costs Inputs'!M54)/(IF('Marginal Capacity Costs Inputs'!R53="Default",'Marginal Capacity Costs Inputs'!S53,'Marginal Capacity Costs Inputs'!S54)*2))))</f>
        <v/>
      </c>
      <c r="Q60" s="194" t="str">
        <f t="shared" ref="Q60" si="223">IF(E60=0,"",P60/2)</f>
        <v/>
      </c>
      <c r="R60" s="194" t="str">
        <f t="shared" ref="R60" si="224">IF(E60=0,"",Q60-O60)</f>
        <v/>
      </c>
      <c r="S60" s="194" t="str">
        <f>IF(E60=0,"",(R60*IF('Marginal Capacity Costs Inputs'!H53="Default",'Marginal Capacity Costs Inputs'!I53,'Marginal Capacity Costs Inputs'!I54)))</f>
        <v/>
      </c>
      <c r="T60" s="194" t="str">
        <f>IF(E60=0,"",I60*IF('Marginal Capacity Costs Inputs'!R53="Default",'Marginal Capacity Costs Inputs'!S53,'Marginal Capacity Costs Inputs'!S54)*2)</f>
        <v/>
      </c>
      <c r="U60" s="194" t="str">
        <f t="shared" ref="U60" si="225">IF(E60=0,"",T60/2)</f>
        <v/>
      </c>
      <c r="V60" s="194" t="str">
        <f>IF(E60=0,"",M60*IF('Marginal Capacity Costs Inputs'!R53="Default",'Marginal Capacity Costs Inputs'!S53,'Marginal Capacity Costs Inputs'!S54)*2)</f>
        <v/>
      </c>
      <c r="W60" s="194" t="str">
        <f t="shared" ref="W60" si="226">IF(E60=0,"",V60/2)</f>
        <v/>
      </c>
      <c r="X60" s="194" t="str">
        <f t="shared" ref="X60" si="227">IF(E60=0,"",W60-U60)</f>
        <v/>
      </c>
      <c r="Y60" s="195" t="str">
        <f>IF(E60=0,"",X60*IF('Marginal Capacity Costs Inputs'!J53="Default",'Marginal Capacity Costs Inputs'!K53,'Marginal Capacity Costs Inputs'!K54))</f>
        <v/>
      </c>
      <c r="Z60" s="196" t="str">
        <f t="shared" ref="Z60" si="228">IF(E60=0,"",Y60+S60)</f>
        <v/>
      </c>
      <c r="AA60" s="197" t="str">
        <f t="shared" ref="AA60" si="229">IF(E60=0,"",(M60-I60)/I60)</f>
        <v/>
      </c>
      <c r="AB60" s="197" t="str">
        <f>IF(E60=0,"",AA60*SUMIFS($N$13:$N$14,$D$13:$D$14,$E$19))</f>
        <v/>
      </c>
      <c r="AC60" s="198" t="str">
        <f>IF(E60=0,"",K60*IF('Marginal Capacity Costs Inputs'!R53="Default",'Marginal Capacity Costs Inputs'!S53,'Marginal Capacity Costs Inputs'!S54)*2)</f>
        <v/>
      </c>
      <c r="AD60" s="195" t="str">
        <f t="shared" ref="AD60" si="230">IF(E60=0,"",AC60/2)</f>
        <v/>
      </c>
      <c r="AE60" s="198" t="str">
        <f>IF(E60=0,"",AD60*IF('Marginal Capacity Costs Inputs'!U53="Default",'Marginal Capacity Costs Inputs'!V53,'Marginal Capacity Costs Inputs'!V54))</f>
        <v/>
      </c>
      <c r="AF60" s="195" t="str">
        <f t="shared" ref="AF60" si="231">IF(E60=0,"",AB60*AE60)</f>
        <v/>
      </c>
      <c r="AG60" s="196" t="str">
        <f>IF(E60=0,"",AF60*'Marginal Capacity Costs Inputs'!T53)</f>
        <v/>
      </c>
      <c r="AH60" s="196" t="str">
        <f>IF(E60=0,"",AF60*'MOC - Calculations'!$E$6)</f>
        <v/>
      </c>
      <c r="AI60" s="199" t="str">
        <f t="shared" ref="AI60" si="232">IF(E60=0,"",Z60-AG60+AH60)</f>
        <v/>
      </c>
      <c r="AJ60" s="195" t="str">
        <f t="shared" ref="AJ60" si="233">IF(E60=0,"",IF(AI60&lt;0,0,AI60))</f>
        <v/>
      </c>
      <c r="AK60" s="195" t="str">
        <f>IF(E60=0,"",AJ60*'Marginal Capacity Costs Inputs'!G53*'MCC - Calculations'!F60)</f>
        <v/>
      </c>
    </row>
    <row r="61" spans="1:37" customFormat="1" ht="14.45"/>
    <row r="62" spans="1:37">
      <c r="A62" s="12"/>
      <c r="D62" s="32">
        <v>20</v>
      </c>
      <c r="E62" s="32">
        <f>IF($E$18="No",0,IF('Marginal Capacity Costs Inputs'!E55="No",0,1))</f>
        <v>0</v>
      </c>
      <c r="F62" s="24" t="str">
        <f>IF(E62=0,"",(1-'RF - Calculations'!$E$6))</f>
        <v/>
      </c>
      <c r="G62" s="24" t="str">
        <f>IF(E62=0,"",IF('Marginal Capacity Costs Inputs'!$H55=Lists!$D$21,SUMIFS($F$13:$F$14,$D$13:$D$14,$E$19)*'Inflation - Calculations'!$E$7,'Marginal Capacity Costs Inputs'!$I56))</f>
        <v/>
      </c>
      <c r="H62" s="24" t="str">
        <f>IF(E62=0,"",IF('Marginal Capacity Costs Inputs'!$J55=Lists!$D$21,SUMIFS($G$13:$G$14,$D$13:$D$14,$E$19)*'Inflation - Calculations'!$E$8,'Marginal Capacity Costs Inputs'!$K56))</f>
        <v/>
      </c>
      <c r="I62" s="24" t="str">
        <f>IF(E62=0,"",SUMIFS($M$13:$M$14,$D$13:$D$14,$E$19))</f>
        <v/>
      </c>
      <c r="J62" s="194" t="str">
        <f>IF(E62=0,"",IF('Marginal Capacity Costs Inputs'!N55="Default",'Marginal Capacity Costs Inputs'!O55,'Marginal Capacity Costs Inputs'!O56)/IF('Marginal Capacity Costs Inputs'!P55="Default",'Marginal Capacity Costs Inputs'!Q55,'Marginal Capacity Costs Inputs'!Q56))</f>
        <v/>
      </c>
      <c r="K62" s="194" t="str">
        <f t="shared" ref="K62" si="234">IF(E62=0,"",J62*I62)</f>
        <v/>
      </c>
      <c r="L62" s="194" t="str">
        <f>IF(E62=0,"",1/IF('Marginal Capacity Costs Inputs'!R55="Default",'Marginal Capacity Costs Inputs'!S55,'Marginal Capacity Costs Inputs'!S56))</f>
        <v/>
      </c>
      <c r="M62" s="194" t="str">
        <f>IF(E62=0,"",I62*((K62+L62)/K62)^SUMIFS($E$13:$E$14,$D$13:$D$14,$E$19))</f>
        <v/>
      </c>
      <c r="N62" s="194" t="str">
        <f>IF(E62=0,"",I62/((IF('Marginal Capacity Costs Inputs'!L55="Default",'Marginal Capacity Costs Inputs'!M55,'Marginal Capacity Costs Inputs'!M56)/(IF('Marginal Capacity Costs Inputs'!R55="Default",'Marginal Capacity Costs Inputs'!S55,'Marginal Capacity Costs Inputs'!S56)*2))))</f>
        <v/>
      </c>
      <c r="O62" s="194" t="str">
        <f t="shared" ref="O62" si="235">IF(E62=0,"",N62/2)</f>
        <v/>
      </c>
      <c r="P62" s="194" t="str">
        <f>IF(E62=0,"",M62/((IF('Marginal Capacity Costs Inputs'!L55="Default",'Marginal Capacity Costs Inputs'!M55,'Marginal Capacity Costs Inputs'!M56)/(IF('Marginal Capacity Costs Inputs'!R55="Default",'Marginal Capacity Costs Inputs'!S55,'Marginal Capacity Costs Inputs'!S56)*2))))</f>
        <v/>
      </c>
      <c r="Q62" s="194" t="str">
        <f t="shared" ref="Q62" si="236">IF(E62=0,"",P62/2)</f>
        <v/>
      </c>
      <c r="R62" s="194" t="str">
        <f t="shared" ref="R62" si="237">IF(E62=0,"",Q62-O62)</f>
        <v/>
      </c>
      <c r="S62" s="194" t="str">
        <f>IF(E62=0,"",(R62*IF('Marginal Capacity Costs Inputs'!H55="Default",'Marginal Capacity Costs Inputs'!I55,'Marginal Capacity Costs Inputs'!I56)))</f>
        <v/>
      </c>
      <c r="T62" s="194" t="str">
        <f>IF(E62=0,"",I62*IF('Marginal Capacity Costs Inputs'!R55="Default",'Marginal Capacity Costs Inputs'!S55,'Marginal Capacity Costs Inputs'!S56)*2)</f>
        <v/>
      </c>
      <c r="U62" s="194" t="str">
        <f t="shared" ref="U62" si="238">IF(E62=0,"",T62/2)</f>
        <v/>
      </c>
      <c r="V62" s="194" t="str">
        <f>IF(E62=0,"",M62*IF('Marginal Capacity Costs Inputs'!R55="Default",'Marginal Capacity Costs Inputs'!S55,'Marginal Capacity Costs Inputs'!S56)*2)</f>
        <v/>
      </c>
      <c r="W62" s="194" t="str">
        <f t="shared" ref="W62" si="239">IF(E62=0,"",V62/2)</f>
        <v/>
      </c>
      <c r="X62" s="194" t="str">
        <f t="shared" ref="X62" si="240">IF(E62=0,"",W62-U62)</f>
        <v/>
      </c>
      <c r="Y62" s="195" t="str">
        <f>IF(E62=0,"",X62*IF('Marginal Capacity Costs Inputs'!J55="Default",'Marginal Capacity Costs Inputs'!K55,'Marginal Capacity Costs Inputs'!K56))</f>
        <v/>
      </c>
      <c r="Z62" s="196" t="str">
        <f t="shared" ref="Z62" si="241">IF(E62=0,"",Y62+S62)</f>
        <v/>
      </c>
      <c r="AA62" s="197" t="str">
        <f t="shared" ref="AA62" si="242">IF(E62=0,"",(M62-I62)/I62)</f>
        <v/>
      </c>
      <c r="AB62" s="197" t="str">
        <f>IF(E62=0,"",AA62*SUMIFS($N$13:$N$14,$D$13:$D$14,$E$19))</f>
        <v/>
      </c>
      <c r="AC62" s="198" t="str">
        <f>IF(E62=0,"",K62*IF('Marginal Capacity Costs Inputs'!R55="Default",'Marginal Capacity Costs Inputs'!S55,'Marginal Capacity Costs Inputs'!S56)*2)</f>
        <v/>
      </c>
      <c r="AD62" s="195" t="str">
        <f t="shared" ref="AD62" si="243">IF(E62=0,"",AC62/2)</f>
        <v/>
      </c>
      <c r="AE62" s="198" t="str">
        <f>IF(E62=0,"",AD62*IF('Marginal Capacity Costs Inputs'!U55="Default",'Marginal Capacity Costs Inputs'!V55,'Marginal Capacity Costs Inputs'!V56))</f>
        <v/>
      </c>
      <c r="AF62" s="195" t="str">
        <f t="shared" ref="AF62" si="244">IF(E62=0,"",AB62*AE62)</f>
        <v/>
      </c>
      <c r="AG62" s="196" t="str">
        <f>IF(E62=0,"",AF62*'Marginal Capacity Costs Inputs'!T55)</f>
        <v/>
      </c>
      <c r="AH62" s="196" t="str">
        <f>IF(E62=0,"",AF62*'MOC - Calculations'!$E$6)</f>
        <v/>
      </c>
      <c r="AI62" s="199" t="str">
        <f t="shared" ref="AI62" si="245">IF(E62=0,"",Z62-AG62+AH62)</f>
        <v/>
      </c>
      <c r="AJ62" s="195" t="str">
        <f t="shared" ref="AJ62" si="246">IF(E62=0,"",IF(AI62&lt;0,0,AI62))</f>
        <v/>
      </c>
      <c r="AK62" s="195" t="str">
        <f>IF(E62=0,"",AJ62*'Marginal Capacity Costs Inputs'!G55*'MCC - Calculations'!F62)</f>
        <v/>
      </c>
    </row>
    <row r="63" spans="1:37" customFormat="1" ht="14.45"/>
    <row r="64" spans="1:37">
      <c r="A64" s="12"/>
      <c r="D64" s="32">
        <v>21</v>
      </c>
      <c r="E64" s="32">
        <f>IF($E$18="No",0,IF('Marginal Capacity Costs Inputs'!E57="No",0,1))</f>
        <v>0</v>
      </c>
      <c r="F64" s="24" t="str">
        <f>IF(E64=0,"",(1-'RF - Calculations'!$E$6))</f>
        <v/>
      </c>
      <c r="G64" s="24" t="str">
        <f>IF(E64=0,"",IF('Marginal Capacity Costs Inputs'!$H57=Lists!$D$21,SUMIFS($F$13:$F$14,$D$13:$D$14,$E$19)*'Inflation - Calculations'!$E$7,'Marginal Capacity Costs Inputs'!$I58))</f>
        <v/>
      </c>
      <c r="H64" s="24" t="str">
        <f>IF(E64=0,"",IF('Marginal Capacity Costs Inputs'!$J57=Lists!$D$21,SUMIFS($G$13:$G$14,$D$13:$D$14,$E$19)*'Inflation - Calculations'!$E$8,'Marginal Capacity Costs Inputs'!$K58))</f>
        <v/>
      </c>
      <c r="I64" s="24" t="str">
        <f>IF(E64=0,"",SUMIFS($M$13:$M$14,$D$13:$D$14,$E$19))</f>
        <v/>
      </c>
      <c r="J64" s="194" t="str">
        <f>IF(E64=0,"",IF('Marginal Capacity Costs Inputs'!N57="Default",'Marginal Capacity Costs Inputs'!O57,'Marginal Capacity Costs Inputs'!O58)/IF('Marginal Capacity Costs Inputs'!P57="Default",'Marginal Capacity Costs Inputs'!Q57,'Marginal Capacity Costs Inputs'!Q58))</f>
        <v/>
      </c>
      <c r="K64" s="194" t="str">
        <f t="shared" ref="K64" si="247">IF(E64=0,"",J64*I64)</f>
        <v/>
      </c>
      <c r="L64" s="194" t="str">
        <f>IF(E64=0,"",1/IF('Marginal Capacity Costs Inputs'!R57="Default",'Marginal Capacity Costs Inputs'!S57,'Marginal Capacity Costs Inputs'!S58))</f>
        <v/>
      </c>
      <c r="M64" s="194" t="str">
        <f>IF(E64=0,"",I64*((K64+L64)/K64)^SUMIFS($E$13:$E$14,$D$13:$D$14,$E$19))</f>
        <v/>
      </c>
      <c r="N64" s="194" t="str">
        <f>IF(E64=0,"",I64/((IF('Marginal Capacity Costs Inputs'!L57="Default",'Marginal Capacity Costs Inputs'!M57,'Marginal Capacity Costs Inputs'!M58)/(IF('Marginal Capacity Costs Inputs'!R57="Default",'Marginal Capacity Costs Inputs'!S57,'Marginal Capacity Costs Inputs'!S58)*2))))</f>
        <v/>
      </c>
      <c r="O64" s="194" t="str">
        <f t="shared" ref="O64" si="248">IF(E64=0,"",N64/2)</f>
        <v/>
      </c>
      <c r="P64" s="194" t="str">
        <f>IF(E64=0,"",M64/((IF('Marginal Capacity Costs Inputs'!L57="Default",'Marginal Capacity Costs Inputs'!M57,'Marginal Capacity Costs Inputs'!M58)/(IF('Marginal Capacity Costs Inputs'!R57="Default",'Marginal Capacity Costs Inputs'!S57,'Marginal Capacity Costs Inputs'!S58)*2))))</f>
        <v/>
      </c>
      <c r="Q64" s="194" t="str">
        <f t="shared" ref="Q64" si="249">IF(E64=0,"",P64/2)</f>
        <v/>
      </c>
      <c r="R64" s="194" t="str">
        <f t="shared" ref="R64" si="250">IF(E64=0,"",Q64-O64)</f>
        <v/>
      </c>
      <c r="S64" s="194" t="str">
        <f>IF(E64=0,"",(R64*IF('Marginal Capacity Costs Inputs'!H57="Default",'Marginal Capacity Costs Inputs'!I57,'Marginal Capacity Costs Inputs'!I58)))</f>
        <v/>
      </c>
      <c r="T64" s="194" t="str">
        <f>IF(E64=0,"",I64*IF('Marginal Capacity Costs Inputs'!R57="Default",'Marginal Capacity Costs Inputs'!S57,'Marginal Capacity Costs Inputs'!S58)*2)</f>
        <v/>
      </c>
      <c r="U64" s="194" t="str">
        <f t="shared" ref="U64" si="251">IF(E64=0,"",T64/2)</f>
        <v/>
      </c>
      <c r="V64" s="194" t="str">
        <f>IF(E64=0,"",M64*IF('Marginal Capacity Costs Inputs'!R57="Default",'Marginal Capacity Costs Inputs'!S57,'Marginal Capacity Costs Inputs'!S58)*2)</f>
        <v/>
      </c>
      <c r="W64" s="194" t="str">
        <f t="shared" ref="W64" si="252">IF(E64=0,"",V64/2)</f>
        <v/>
      </c>
      <c r="X64" s="194" t="str">
        <f t="shared" ref="X64" si="253">IF(E64=0,"",W64-U64)</f>
        <v/>
      </c>
      <c r="Y64" s="195" t="str">
        <f>IF(E64=0,"",X64*IF('Marginal Capacity Costs Inputs'!J57="Default",'Marginal Capacity Costs Inputs'!K57,'Marginal Capacity Costs Inputs'!K58))</f>
        <v/>
      </c>
      <c r="Z64" s="196" t="str">
        <f t="shared" ref="Z64" si="254">IF(E64=0,"",Y64+S64)</f>
        <v/>
      </c>
      <c r="AA64" s="197" t="str">
        <f t="shared" ref="AA64" si="255">IF(E64=0,"",(M64-I64)/I64)</f>
        <v/>
      </c>
      <c r="AB64" s="197" t="str">
        <f>IF(E64=0,"",AA64*SUMIFS($N$13:$N$14,$D$13:$D$14,$E$19))</f>
        <v/>
      </c>
      <c r="AC64" s="198" t="str">
        <f>IF(E64=0,"",K64*IF('Marginal Capacity Costs Inputs'!R57="Default",'Marginal Capacity Costs Inputs'!S57,'Marginal Capacity Costs Inputs'!S58)*2)</f>
        <v/>
      </c>
      <c r="AD64" s="195" t="str">
        <f t="shared" ref="AD64" si="256">IF(E64=0,"",AC64/2)</f>
        <v/>
      </c>
      <c r="AE64" s="198" t="str">
        <f>IF(E64=0,"",AD64*IF('Marginal Capacity Costs Inputs'!U57="Default",'Marginal Capacity Costs Inputs'!V57,'Marginal Capacity Costs Inputs'!V58))</f>
        <v/>
      </c>
      <c r="AF64" s="195" t="str">
        <f t="shared" ref="AF64" si="257">IF(E64=0,"",AB64*AE64)</f>
        <v/>
      </c>
      <c r="AG64" s="196" t="str">
        <f>IF(E64=0,"",AF64*'Marginal Capacity Costs Inputs'!T57)</f>
        <v/>
      </c>
      <c r="AH64" s="196" t="str">
        <f>IF(E64=0,"",AF64*'MOC - Calculations'!$E$6)</f>
        <v/>
      </c>
      <c r="AI64" s="199" t="str">
        <f t="shared" ref="AI64" si="258">IF(E64=0,"",Z64-AG64+AH64)</f>
        <v/>
      </c>
      <c r="AJ64" s="195" t="str">
        <f t="shared" ref="AJ64" si="259">IF(E64=0,"",IF(AI64&lt;0,0,AI64))</f>
        <v/>
      </c>
      <c r="AK64" s="195" t="str">
        <f>IF(E64=0,"",AJ64*'Marginal Capacity Costs Inputs'!G57*'MCC - Calculations'!F64)</f>
        <v/>
      </c>
    </row>
    <row r="65" spans="1:37" customFormat="1" ht="14.45"/>
    <row r="66" spans="1:37">
      <c r="A66" s="12"/>
      <c r="D66" s="32">
        <v>22</v>
      </c>
      <c r="E66" s="32">
        <f>IF($E$18="No",0,IF('Marginal Capacity Costs Inputs'!E59="No",0,1))</f>
        <v>0</v>
      </c>
      <c r="F66" s="24" t="str">
        <f>IF(E66=0,"",(1-'RF - Calculations'!$E$6))</f>
        <v/>
      </c>
      <c r="G66" s="24" t="str">
        <f>IF(E66=0,"",IF('Marginal Capacity Costs Inputs'!$H59=Lists!$D$21,SUMIFS($F$13:$F$14,$D$13:$D$14,$E$19)*'Inflation - Calculations'!$E$7,'Marginal Capacity Costs Inputs'!$I60))</f>
        <v/>
      </c>
      <c r="H66" s="24" t="str">
        <f>IF(E66=0,"",IF('Marginal Capacity Costs Inputs'!$J59=Lists!$D$21,SUMIFS($G$13:$G$14,$D$13:$D$14,$E$19)*'Inflation - Calculations'!$E$8,'Marginal Capacity Costs Inputs'!$K60))</f>
        <v/>
      </c>
      <c r="I66" s="24" t="str">
        <f>IF(E66=0,"",SUMIFS($M$13:$M$14,$D$13:$D$14,$E$19))</f>
        <v/>
      </c>
      <c r="J66" s="194" t="str">
        <f>IF(E66=0,"",IF('Marginal Capacity Costs Inputs'!N59="Default",'Marginal Capacity Costs Inputs'!O59,'Marginal Capacity Costs Inputs'!O60)/IF('Marginal Capacity Costs Inputs'!P59="Default",'Marginal Capacity Costs Inputs'!Q59,'Marginal Capacity Costs Inputs'!Q60))</f>
        <v/>
      </c>
      <c r="K66" s="194" t="str">
        <f t="shared" ref="K66" si="260">IF(E66=0,"",J66*I66)</f>
        <v/>
      </c>
      <c r="L66" s="194" t="str">
        <f>IF(E66=0,"",1/IF('Marginal Capacity Costs Inputs'!R59="Default",'Marginal Capacity Costs Inputs'!S59,'Marginal Capacity Costs Inputs'!S60))</f>
        <v/>
      </c>
      <c r="M66" s="194" t="str">
        <f>IF(E66=0,"",I66*((K66+L66)/K66)^SUMIFS($E$13:$E$14,$D$13:$D$14,$E$19))</f>
        <v/>
      </c>
      <c r="N66" s="194" t="str">
        <f>IF(E66=0,"",I66/((IF('Marginal Capacity Costs Inputs'!L59="Default",'Marginal Capacity Costs Inputs'!M59,'Marginal Capacity Costs Inputs'!M60)/(IF('Marginal Capacity Costs Inputs'!R59="Default",'Marginal Capacity Costs Inputs'!S59,'Marginal Capacity Costs Inputs'!S60)*2))))</f>
        <v/>
      </c>
      <c r="O66" s="194" t="str">
        <f t="shared" ref="O66" si="261">IF(E66=0,"",N66/2)</f>
        <v/>
      </c>
      <c r="P66" s="194" t="str">
        <f>IF(E66=0,"",M66/((IF('Marginal Capacity Costs Inputs'!L59="Default",'Marginal Capacity Costs Inputs'!M59,'Marginal Capacity Costs Inputs'!M60)/(IF('Marginal Capacity Costs Inputs'!R59="Default",'Marginal Capacity Costs Inputs'!S59,'Marginal Capacity Costs Inputs'!S60)*2))))</f>
        <v/>
      </c>
      <c r="Q66" s="194" t="str">
        <f t="shared" ref="Q66" si="262">IF(E66=0,"",P66/2)</f>
        <v/>
      </c>
      <c r="R66" s="194" t="str">
        <f t="shared" ref="R66" si="263">IF(E66=0,"",Q66-O66)</f>
        <v/>
      </c>
      <c r="S66" s="194" t="str">
        <f>IF(E66=0,"",(R66*IF('Marginal Capacity Costs Inputs'!H59="Default",'Marginal Capacity Costs Inputs'!I59,'Marginal Capacity Costs Inputs'!I60)))</f>
        <v/>
      </c>
      <c r="T66" s="194" t="str">
        <f>IF(E66=0,"",I66*IF('Marginal Capacity Costs Inputs'!R59="Default",'Marginal Capacity Costs Inputs'!S59,'Marginal Capacity Costs Inputs'!S60)*2)</f>
        <v/>
      </c>
      <c r="U66" s="194" t="str">
        <f t="shared" ref="U66" si="264">IF(E66=0,"",T66/2)</f>
        <v/>
      </c>
      <c r="V66" s="194" t="str">
        <f>IF(E66=0,"",M66*IF('Marginal Capacity Costs Inputs'!R59="Default",'Marginal Capacity Costs Inputs'!S59,'Marginal Capacity Costs Inputs'!S60)*2)</f>
        <v/>
      </c>
      <c r="W66" s="194" t="str">
        <f t="shared" ref="W66" si="265">IF(E66=0,"",V66/2)</f>
        <v/>
      </c>
      <c r="X66" s="194" t="str">
        <f t="shared" ref="X66" si="266">IF(E66=0,"",W66-U66)</f>
        <v/>
      </c>
      <c r="Y66" s="195" t="str">
        <f>IF(E66=0,"",X66*IF('Marginal Capacity Costs Inputs'!J59="Default",'Marginal Capacity Costs Inputs'!K59,'Marginal Capacity Costs Inputs'!K60))</f>
        <v/>
      </c>
      <c r="Z66" s="196" t="str">
        <f t="shared" ref="Z66" si="267">IF(E66=0,"",Y66+S66)</f>
        <v/>
      </c>
      <c r="AA66" s="197" t="str">
        <f t="shared" ref="AA66" si="268">IF(E66=0,"",(M66-I66)/I66)</f>
        <v/>
      </c>
      <c r="AB66" s="197" t="str">
        <f>IF(E66=0,"",AA66*SUMIFS($N$13:$N$14,$D$13:$D$14,$E$19))</f>
        <v/>
      </c>
      <c r="AC66" s="198" t="str">
        <f>IF(E66=0,"",K66*IF('Marginal Capacity Costs Inputs'!R59="Default",'Marginal Capacity Costs Inputs'!S59,'Marginal Capacity Costs Inputs'!S60)*2)</f>
        <v/>
      </c>
      <c r="AD66" s="195" t="str">
        <f t="shared" ref="AD66" si="269">IF(E66=0,"",AC66/2)</f>
        <v/>
      </c>
      <c r="AE66" s="198" t="str">
        <f>IF(E66=0,"",AD66*IF('Marginal Capacity Costs Inputs'!U59="Default",'Marginal Capacity Costs Inputs'!V59,'Marginal Capacity Costs Inputs'!V60))</f>
        <v/>
      </c>
      <c r="AF66" s="195" t="str">
        <f t="shared" ref="AF66" si="270">IF(E66=0,"",AB66*AE66)</f>
        <v/>
      </c>
      <c r="AG66" s="196" t="str">
        <f>IF(E66=0,"",AF66*'Marginal Capacity Costs Inputs'!T59)</f>
        <v/>
      </c>
      <c r="AH66" s="196" t="str">
        <f>IF(E66=0,"",AF66*'MOC - Calculations'!$E$6)</f>
        <v/>
      </c>
      <c r="AI66" s="199" t="str">
        <f t="shared" ref="AI66" si="271">IF(E66=0,"",Z66-AG66+AH66)</f>
        <v/>
      </c>
      <c r="AJ66" s="195" t="str">
        <f t="shared" ref="AJ66" si="272">IF(E66=0,"",IF(AI66&lt;0,0,AI66))</f>
        <v/>
      </c>
      <c r="AK66" s="195" t="str">
        <f>IF(E66=0,"",AJ66*'Marginal Capacity Costs Inputs'!G59*'MCC - Calculations'!F66)</f>
        <v/>
      </c>
    </row>
    <row r="67" spans="1:37" customFormat="1" ht="14.45"/>
    <row r="68" spans="1:37">
      <c r="A68" s="12"/>
      <c r="D68" s="32">
        <v>23</v>
      </c>
      <c r="E68" s="32">
        <f>IF($E$18="No",0,IF('Marginal Capacity Costs Inputs'!E61="No",0,1))</f>
        <v>0</v>
      </c>
      <c r="F68" s="24" t="str">
        <f>IF(E68=0,"",(1-'RF - Calculations'!$E$6))</f>
        <v/>
      </c>
      <c r="G68" s="24" t="str">
        <f>IF(E68=0,"",IF('Marginal Capacity Costs Inputs'!$H61=Lists!$D$21,SUMIFS($F$13:$F$14,$D$13:$D$14,$E$19)*'Inflation - Calculations'!$E$7,'Marginal Capacity Costs Inputs'!$I62))</f>
        <v/>
      </c>
      <c r="H68" s="24" t="str">
        <f>IF(E68=0,"",IF('Marginal Capacity Costs Inputs'!$J61=Lists!$D$21,SUMIFS($G$13:$G$14,$D$13:$D$14,$E$19)*'Inflation - Calculations'!$E$8,'Marginal Capacity Costs Inputs'!$K62))</f>
        <v/>
      </c>
      <c r="I68" s="24" t="str">
        <f>IF(E68=0,"",SUMIFS($M$13:$M$14,$D$13:$D$14,$E$19))</f>
        <v/>
      </c>
      <c r="J68" s="194" t="str">
        <f>IF(E68=0,"",IF('Marginal Capacity Costs Inputs'!N61="Default",'Marginal Capacity Costs Inputs'!O61,'Marginal Capacity Costs Inputs'!O62)/IF('Marginal Capacity Costs Inputs'!P61="Default",'Marginal Capacity Costs Inputs'!Q61,'Marginal Capacity Costs Inputs'!Q62))</f>
        <v/>
      </c>
      <c r="K68" s="194" t="str">
        <f t="shared" ref="K68" si="273">IF(E68=0,"",J68*I68)</f>
        <v/>
      </c>
      <c r="L68" s="194" t="str">
        <f>IF(E68=0,"",1/IF('Marginal Capacity Costs Inputs'!R61="Default",'Marginal Capacity Costs Inputs'!S61,'Marginal Capacity Costs Inputs'!S62))</f>
        <v/>
      </c>
      <c r="M68" s="194" t="str">
        <f>IF(E68=0,"",I68*((K68+L68)/K68)^SUMIFS($E$13:$E$14,$D$13:$D$14,$E$19))</f>
        <v/>
      </c>
      <c r="N68" s="194" t="str">
        <f>IF(E68=0,"",I68/((IF('Marginal Capacity Costs Inputs'!L61="Default",'Marginal Capacity Costs Inputs'!M61,'Marginal Capacity Costs Inputs'!M62)/(IF('Marginal Capacity Costs Inputs'!R61="Default",'Marginal Capacity Costs Inputs'!S61,'Marginal Capacity Costs Inputs'!S62)*2))))</f>
        <v/>
      </c>
      <c r="O68" s="194" t="str">
        <f t="shared" ref="O68" si="274">IF(E68=0,"",N68/2)</f>
        <v/>
      </c>
      <c r="P68" s="194" t="str">
        <f>IF(E68=0,"",M68/((IF('Marginal Capacity Costs Inputs'!L61="Default",'Marginal Capacity Costs Inputs'!M61,'Marginal Capacity Costs Inputs'!M62)/(IF('Marginal Capacity Costs Inputs'!R61="Default",'Marginal Capacity Costs Inputs'!S61,'Marginal Capacity Costs Inputs'!S62)*2))))</f>
        <v/>
      </c>
      <c r="Q68" s="194" t="str">
        <f t="shared" ref="Q68" si="275">IF(E68=0,"",P68/2)</f>
        <v/>
      </c>
      <c r="R68" s="194" t="str">
        <f t="shared" ref="R68" si="276">IF(E68=0,"",Q68-O68)</f>
        <v/>
      </c>
      <c r="S68" s="194" t="str">
        <f>IF(E68=0,"",(R68*IF('Marginal Capacity Costs Inputs'!H61="Default",'Marginal Capacity Costs Inputs'!I61,'Marginal Capacity Costs Inputs'!I62)))</f>
        <v/>
      </c>
      <c r="T68" s="194" t="str">
        <f>IF(E68=0,"",I68*IF('Marginal Capacity Costs Inputs'!R61="Default",'Marginal Capacity Costs Inputs'!S61,'Marginal Capacity Costs Inputs'!S62)*2)</f>
        <v/>
      </c>
      <c r="U68" s="194" t="str">
        <f t="shared" ref="U68" si="277">IF(E68=0,"",T68/2)</f>
        <v/>
      </c>
      <c r="V68" s="194" t="str">
        <f>IF(E68=0,"",M68*IF('Marginal Capacity Costs Inputs'!R61="Default",'Marginal Capacity Costs Inputs'!S61,'Marginal Capacity Costs Inputs'!S62)*2)</f>
        <v/>
      </c>
      <c r="W68" s="194" t="str">
        <f t="shared" ref="W68" si="278">IF(E68=0,"",V68/2)</f>
        <v/>
      </c>
      <c r="X68" s="194" t="str">
        <f t="shared" ref="X68" si="279">IF(E68=0,"",W68-U68)</f>
        <v/>
      </c>
      <c r="Y68" s="195" t="str">
        <f>IF(E68=0,"",X68*IF('Marginal Capacity Costs Inputs'!J61="Default",'Marginal Capacity Costs Inputs'!K61,'Marginal Capacity Costs Inputs'!K62))</f>
        <v/>
      </c>
      <c r="Z68" s="196" t="str">
        <f t="shared" ref="Z68" si="280">IF(E68=0,"",Y68+S68)</f>
        <v/>
      </c>
      <c r="AA68" s="197" t="str">
        <f t="shared" ref="AA68" si="281">IF(E68=0,"",(M68-I68)/I68)</f>
        <v/>
      </c>
      <c r="AB68" s="197" t="str">
        <f>IF(E68=0,"",AA68*SUMIFS($N$13:$N$14,$D$13:$D$14,$E$19))</f>
        <v/>
      </c>
      <c r="AC68" s="198" t="str">
        <f>IF(E68=0,"",K68*IF('Marginal Capacity Costs Inputs'!R61="Default",'Marginal Capacity Costs Inputs'!S61,'Marginal Capacity Costs Inputs'!S62)*2)</f>
        <v/>
      </c>
      <c r="AD68" s="195" t="str">
        <f t="shared" ref="AD68" si="282">IF(E68=0,"",AC68/2)</f>
        <v/>
      </c>
      <c r="AE68" s="198" t="str">
        <f>IF(E68=0,"",AD68*IF('Marginal Capacity Costs Inputs'!U61="Default",'Marginal Capacity Costs Inputs'!V61,'Marginal Capacity Costs Inputs'!V62))</f>
        <v/>
      </c>
      <c r="AF68" s="195" t="str">
        <f t="shared" ref="AF68" si="283">IF(E68=0,"",AB68*AE68)</f>
        <v/>
      </c>
      <c r="AG68" s="196" t="str">
        <f>IF(E68=0,"",AF68*'Marginal Capacity Costs Inputs'!T61)</f>
        <v/>
      </c>
      <c r="AH68" s="196" t="str">
        <f>IF(E68=0,"",AF68*'MOC - Calculations'!$E$6)</f>
        <v/>
      </c>
      <c r="AI68" s="199" t="str">
        <f t="shared" ref="AI68" si="284">IF(E68=0,"",Z68-AG68+AH68)</f>
        <v/>
      </c>
      <c r="AJ68" s="195" t="str">
        <f t="shared" ref="AJ68" si="285">IF(E68=0,"",IF(AI68&lt;0,0,AI68))</f>
        <v/>
      </c>
      <c r="AK68" s="195" t="str">
        <f>IF(E68=0,"",AJ68*'Marginal Capacity Costs Inputs'!G61*'MCC - Calculations'!F68)</f>
        <v/>
      </c>
    </row>
    <row r="69" spans="1:37" customFormat="1" ht="14.45"/>
    <row r="70" spans="1:37">
      <c r="A70" s="12"/>
      <c r="D70" s="32">
        <v>24</v>
      </c>
      <c r="E70" s="32">
        <f>IF($E$18="No",0,IF('Marginal Capacity Costs Inputs'!E63="No",0,1))</f>
        <v>0</v>
      </c>
      <c r="F70" s="24" t="str">
        <f>IF(E70=0,"",(1-'RF - Calculations'!$E$6))</f>
        <v/>
      </c>
      <c r="G70" s="24" t="str">
        <f>IF(E70=0,"",IF('Marginal Capacity Costs Inputs'!$H63=Lists!$D$21,SUMIFS($F$13:$F$14,$D$13:$D$14,$E$19)*'Inflation - Calculations'!$E$7,'Marginal Capacity Costs Inputs'!$I64))</f>
        <v/>
      </c>
      <c r="H70" s="24" t="str">
        <f>IF(E70=0,"",IF('Marginal Capacity Costs Inputs'!$J63=Lists!$D$21,SUMIFS($G$13:$G$14,$D$13:$D$14,$E$19)*'Inflation - Calculations'!$E$8,'Marginal Capacity Costs Inputs'!$K64))</f>
        <v/>
      </c>
      <c r="I70" s="24" t="str">
        <f>IF(E70=0,"",SUMIFS($M$13:$M$14,$D$13:$D$14,$E$19))</f>
        <v/>
      </c>
      <c r="J70" s="194" t="str">
        <f>IF(E70=0,"",IF('Marginal Capacity Costs Inputs'!N63="Default",'Marginal Capacity Costs Inputs'!O63,'Marginal Capacity Costs Inputs'!O64)/IF('Marginal Capacity Costs Inputs'!P63="Default",'Marginal Capacity Costs Inputs'!Q63,'Marginal Capacity Costs Inputs'!Q64))</f>
        <v/>
      </c>
      <c r="K70" s="194" t="str">
        <f t="shared" ref="K70" si="286">IF(E70=0,"",J70*I70)</f>
        <v/>
      </c>
      <c r="L70" s="194" t="str">
        <f>IF(E70=0,"",1/IF('Marginal Capacity Costs Inputs'!R63="Default",'Marginal Capacity Costs Inputs'!S63,'Marginal Capacity Costs Inputs'!S64))</f>
        <v/>
      </c>
      <c r="M70" s="194" t="str">
        <f>IF(E70=0,"",I70*((K70+L70)/K70)^SUMIFS($E$13:$E$14,$D$13:$D$14,$E$19))</f>
        <v/>
      </c>
      <c r="N70" s="194" t="str">
        <f>IF(E70=0,"",I70/((IF('Marginal Capacity Costs Inputs'!L63="Default",'Marginal Capacity Costs Inputs'!M63,'Marginal Capacity Costs Inputs'!M64)/(IF('Marginal Capacity Costs Inputs'!R63="Default",'Marginal Capacity Costs Inputs'!S63,'Marginal Capacity Costs Inputs'!S64)*2))))</f>
        <v/>
      </c>
      <c r="O70" s="194" t="str">
        <f t="shared" ref="O70" si="287">IF(E70=0,"",N70/2)</f>
        <v/>
      </c>
      <c r="P70" s="194" t="str">
        <f>IF(E70=0,"",M70/((IF('Marginal Capacity Costs Inputs'!L63="Default",'Marginal Capacity Costs Inputs'!M63,'Marginal Capacity Costs Inputs'!M64)/(IF('Marginal Capacity Costs Inputs'!R63="Default",'Marginal Capacity Costs Inputs'!S63,'Marginal Capacity Costs Inputs'!S64)*2))))</f>
        <v/>
      </c>
      <c r="Q70" s="194" t="str">
        <f t="shared" ref="Q70" si="288">IF(E70=0,"",P70/2)</f>
        <v/>
      </c>
      <c r="R70" s="194" t="str">
        <f t="shared" ref="R70" si="289">IF(E70=0,"",Q70-O70)</f>
        <v/>
      </c>
      <c r="S70" s="194" t="str">
        <f>IF(E70=0,"",(R70*IF('Marginal Capacity Costs Inputs'!H63="Default",'Marginal Capacity Costs Inputs'!I63,'Marginal Capacity Costs Inputs'!I64)))</f>
        <v/>
      </c>
      <c r="T70" s="194" t="str">
        <f>IF(E70=0,"",I70*IF('Marginal Capacity Costs Inputs'!R63="Default",'Marginal Capacity Costs Inputs'!S63,'Marginal Capacity Costs Inputs'!S64)*2)</f>
        <v/>
      </c>
      <c r="U70" s="194" t="str">
        <f t="shared" ref="U70" si="290">IF(E70=0,"",T70/2)</f>
        <v/>
      </c>
      <c r="V70" s="194" t="str">
        <f>IF(E70=0,"",M70*IF('Marginal Capacity Costs Inputs'!R63="Default",'Marginal Capacity Costs Inputs'!S63,'Marginal Capacity Costs Inputs'!S64)*2)</f>
        <v/>
      </c>
      <c r="W70" s="194" t="str">
        <f t="shared" ref="W70" si="291">IF(E70=0,"",V70/2)</f>
        <v/>
      </c>
      <c r="X70" s="194" t="str">
        <f t="shared" ref="X70" si="292">IF(E70=0,"",W70-U70)</f>
        <v/>
      </c>
      <c r="Y70" s="195" t="str">
        <f>IF(E70=0,"",X70*IF('Marginal Capacity Costs Inputs'!J63="Default",'Marginal Capacity Costs Inputs'!K63,'Marginal Capacity Costs Inputs'!K64))</f>
        <v/>
      </c>
      <c r="Z70" s="196" t="str">
        <f t="shared" ref="Z70" si="293">IF(E70=0,"",Y70+S70)</f>
        <v/>
      </c>
      <c r="AA70" s="197" t="str">
        <f t="shared" ref="AA70" si="294">IF(E70=0,"",(M70-I70)/I70)</f>
        <v/>
      </c>
      <c r="AB70" s="197" t="str">
        <f>IF(E70=0,"",AA70*SUMIFS($N$13:$N$14,$D$13:$D$14,$E$19))</f>
        <v/>
      </c>
      <c r="AC70" s="198" t="str">
        <f>IF(E70=0,"",K70*IF('Marginal Capacity Costs Inputs'!R63="Default",'Marginal Capacity Costs Inputs'!S63,'Marginal Capacity Costs Inputs'!S64)*2)</f>
        <v/>
      </c>
      <c r="AD70" s="195" t="str">
        <f t="shared" ref="AD70" si="295">IF(E70=0,"",AC70/2)</f>
        <v/>
      </c>
      <c r="AE70" s="198" t="str">
        <f>IF(E70=0,"",AD70*IF('Marginal Capacity Costs Inputs'!U63="Default",'Marginal Capacity Costs Inputs'!V63,'Marginal Capacity Costs Inputs'!V64))</f>
        <v/>
      </c>
      <c r="AF70" s="195" t="str">
        <f t="shared" ref="AF70" si="296">IF(E70=0,"",AB70*AE70)</f>
        <v/>
      </c>
      <c r="AG70" s="196" t="str">
        <f>IF(E70=0,"",AF70*'Marginal Capacity Costs Inputs'!T63)</f>
        <v/>
      </c>
      <c r="AH70" s="196" t="str">
        <f>IF(E70=0,"",AF70*'MOC - Calculations'!$E$6)</f>
        <v/>
      </c>
      <c r="AI70" s="199" t="str">
        <f t="shared" ref="AI70" si="297">IF(E70=0,"",Z70-AG70+AH70)</f>
        <v/>
      </c>
      <c r="AJ70" s="195" t="str">
        <f t="shared" ref="AJ70" si="298">IF(E70=0,"",IF(AI70&lt;0,0,AI70))</f>
        <v/>
      </c>
      <c r="AK70" s="195" t="str">
        <f>IF(E70=0,"",AJ70*'Marginal Capacity Costs Inputs'!G63*'MCC - Calculations'!F70)</f>
        <v/>
      </c>
    </row>
    <row r="71" spans="1:37" customFormat="1" ht="14.45"/>
    <row r="72" spans="1:37">
      <c r="A72" s="12"/>
      <c r="D72" s="32">
        <v>25</v>
      </c>
      <c r="E72" s="32">
        <f>IF($E$18="No",0,IF('Marginal Capacity Costs Inputs'!E65="No",0,1))</f>
        <v>0</v>
      </c>
      <c r="F72" s="24" t="str">
        <f>IF(E72=0,"",(1-'RF - Calculations'!$E$6))</f>
        <v/>
      </c>
      <c r="G72" s="24" t="str">
        <f>IF(E72=0,"",IF('Marginal Capacity Costs Inputs'!$H65=Lists!$D$21,SUMIFS($F$13:$F$14,$D$13:$D$14,$E$19)*'Inflation - Calculations'!$E$7,'Marginal Capacity Costs Inputs'!$I66))</f>
        <v/>
      </c>
      <c r="H72" s="24" t="str">
        <f>IF(E72=0,"",IF('Marginal Capacity Costs Inputs'!$J65=Lists!$D$21,SUMIFS($G$13:$G$14,$D$13:$D$14,$E$19)*'Inflation - Calculations'!$E$8,'Marginal Capacity Costs Inputs'!$K66))</f>
        <v/>
      </c>
      <c r="I72" s="24" t="str">
        <f>IF(E72=0,"",SUMIFS($M$13:$M$14,$D$13:$D$14,$E$19))</f>
        <v/>
      </c>
      <c r="J72" s="194" t="str">
        <f>IF(E72=0,"",IF('Marginal Capacity Costs Inputs'!N65="Default",'Marginal Capacity Costs Inputs'!O65,'Marginal Capacity Costs Inputs'!O66)/IF('Marginal Capacity Costs Inputs'!P65="Default",'Marginal Capacity Costs Inputs'!Q65,'Marginal Capacity Costs Inputs'!Q66))</f>
        <v/>
      </c>
      <c r="K72" s="194" t="str">
        <f t="shared" ref="K72" si="299">IF(E72=0,"",J72*I72)</f>
        <v/>
      </c>
      <c r="L72" s="194" t="str">
        <f>IF(E72=0,"",1/IF('Marginal Capacity Costs Inputs'!R65="Default",'Marginal Capacity Costs Inputs'!S65,'Marginal Capacity Costs Inputs'!S66))</f>
        <v/>
      </c>
      <c r="M72" s="194" t="str">
        <f>IF(E72=0,"",I72*((K72+L72)/K72)^SUMIFS($E$13:$E$14,$D$13:$D$14,$E$19))</f>
        <v/>
      </c>
      <c r="N72" s="194" t="str">
        <f>IF(E72=0,"",I72/((IF('Marginal Capacity Costs Inputs'!L65="Default",'Marginal Capacity Costs Inputs'!M65,'Marginal Capacity Costs Inputs'!M66)/(IF('Marginal Capacity Costs Inputs'!R65="Default",'Marginal Capacity Costs Inputs'!S65,'Marginal Capacity Costs Inputs'!S66)*2))))</f>
        <v/>
      </c>
      <c r="O72" s="194" t="str">
        <f t="shared" ref="O72" si="300">IF(E72=0,"",N72/2)</f>
        <v/>
      </c>
      <c r="P72" s="194" t="str">
        <f>IF(E72=0,"",M72/((IF('Marginal Capacity Costs Inputs'!L65="Default",'Marginal Capacity Costs Inputs'!M65,'Marginal Capacity Costs Inputs'!M66)/(IF('Marginal Capacity Costs Inputs'!R65="Default",'Marginal Capacity Costs Inputs'!S65,'Marginal Capacity Costs Inputs'!S66)*2))))</f>
        <v/>
      </c>
      <c r="Q72" s="194" t="str">
        <f t="shared" ref="Q72" si="301">IF(E72=0,"",P72/2)</f>
        <v/>
      </c>
      <c r="R72" s="194" t="str">
        <f t="shared" ref="R72" si="302">IF(E72=0,"",Q72-O72)</f>
        <v/>
      </c>
      <c r="S72" s="194" t="str">
        <f>IF(E72=0,"",(R72*IF('Marginal Capacity Costs Inputs'!H65="Default",'Marginal Capacity Costs Inputs'!I65,'Marginal Capacity Costs Inputs'!I66)))</f>
        <v/>
      </c>
      <c r="T72" s="194" t="str">
        <f>IF(E72=0,"",I72*IF('Marginal Capacity Costs Inputs'!R65="Default",'Marginal Capacity Costs Inputs'!S65,'Marginal Capacity Costs Inputs'!S66)*2)</f>
        <v/>
      </c>
      <c r="U72" s="194" t="str">
        <f t="shared" ref="U72" si="303">IF(E72=0,"",T72/2)</f>
        <v/>
      </c>
      <c r="V72" s="194" t="str">
        <f>IF(E72=0,"",M72*IF('Marginal Capacity Costs Inputs'!R65="Default",'Marginal Capacity Costs Inputs'!S65,'Marginal Capacity Costs Inputs'!S66)*2)</f>
        <v/>
      </c>
      <c r="W72" s="194" t="str">
        <f t="shared" ref="W72" si="304">IF(E72=0,"",V72/2)</f>
        <v/>
      </c>
      <c r="X72" s="194" t="str">
        <f t="shared" ref="X72" si="305">IF(E72=0,"",W72-U72)</f>
        <v/>
      </c>
      <c r="Y72" s="195" t="str">
        <f>IF(E72=0,"",X72*IF('Marginal Capacity Costs Inputs'!J65="Default",'Marginal Capacity Costs Inputs'!K65,'Marginal Capacity Costs Inputs'!K66))</f>
        <v/>
      </c>
      <c r="Z72" s="196" t="str">
        <f t="shared" ref="Z72" si="306">IF(E72=0,"",Y72+S72)</f>
        <v/>
      </c>
      <c r="AA72" s="197" t="str">
        <f t="shared" ref="AA72" si="307">IF(E72=0,"",(M72-I72)/I72)</f>
        <v/>
      </c>
      <c r="AB72" s="197" t="str">
        <f>IF(E72=0,"",AA72*SUMIFS($N$13:$N$14,$D$13:$D$14,$E$19))</f>
        <v/>
      </c>
      <c r="AC72" s="198" t="str">
        <f>IF(E72=0,"",K72*IF('Marginal Capacity Costs Inputs'!R65="Default",'Marginal Capacity Costs Inputs'!S65,'Marginal Capacity Costs Inputs'!S66)*2)</f>
        <v/>
      </c>
      <c r="AD72" s="195" t="str">
        <f t="shared" ref="AD72" si="308">IF(E72=0,"",AC72/2)</f>
        <v/>
      </c>
      <c r="AE72" s="198" t="str">
        <f>IF(E72=0,"",AD72*IF('Marginal Capacity Costs Inputs'!U65="Default",'Marginal Capacity Costs Inputs'!V65,'Marginal Capacity Costs Inputs'!V66))</f>
        <v/>
      </c>
      <c r="AF72" s="195" t="str">
        <f t="shared" ref="AF72" si="309">IF(E72=0,"",AB72*AE72)</f>
        <v/>
      </c>
      <c r="AG72" s="196" t="str">
        <f>IF(E72=0,"",AF72*'Marginal Capacity Costs Inputs'!T65)</f>
        <v/>
      </c>
      <c r="AH72" s="196" t="str">
        <f>IF(E72=0,"",AF72*'MOC - Calculations'!$E$6)</f>
        <v/>
      </c>
      <c r="AI72" s="199" t="str">
        <f t="shared" ref="AI72" si="310">IF(E72=0,"",Z72-AG72+AH72)</f>
        <v/>
      </c>
      <c r="AJ72" s="195" t="str">
        <f t="shared" ref="AJ72" si="311">IF(E72=0,"",IF(AI72&lt;0,0,AI72))</f>
        <v/>
      </c>
      <c r="AK72" s="195" t="str">
        <f>IF(E72=0,"",AJ72*'Marginal Capacity Costs Inputs'!G65*'MCC - Calculations'!F72)</f>
        <v/>
      </c>
    </row>
    <row r="73" spans="1:37" customFormat="1" ht="14.45"/>
    <row r="74" spans="1:37">
      <c r="A74" s="12"/>
      <c r="D74" s="32">
        <v>26</v>
      </c>
      <c r="E74" s="32">
        <f>IF($E$18="No",0,IF('Marginal Capacity Costs Inputs'!E67="No",0,1))</f>
        <v>0</v>
      </c>
      <c r="F74" s="24" t="str">
        <f>IF(E74=0,"",(1-'RF - Calculations'!$E$6))</f>
        <v/>
      </c>
      <c r="G74" s="24" t="str">
        <f>IF(E74=0,"",IF('Marginal Capacity Costs Inputs'!$H67=Lists!$D$21,SUMIFS($F$13:$F$14,$D$13:$D$14,$E$19)*'Inflation - Calculations'!$E$7,'Marginal Capacity Costs Inputs'!$I68))</f>
        <v/>
      </c>
      <c r="H74" s="24" t="str">
        <f>IF(E74=0,"",IF('Marginal Capacity Costs Inputs'!$J67=Lists!$D$21,SUMIFS($G$13:$G$14,$D$13:$D$14,$E$19)*'Inflation - Calculations'!$E$8,'Marginal Capacity Costs Inputs'!$K68))</f>
        <v/>
      </c>
      <c r="I74" s="24" t="str">
        <f>IF(E74=0,"",SUMIFS($M$13:$M$14,$D$13:$D$14,$E$19))</f>
        <v/>
      </c>
      <c r="J74" s="194" t="str">
        <f>IF(E74=0,"",IF('Marginal Capacity Costs Inputs'!N67="Default",'Marginal Capacity Costs Inputs'!O67,'Marginal Capacity Costs Inputs'!O68)/IF('Marginal Capacity Costs Inputs'!P67="Default",'Marginal Capacity Costs Inputs'!Q67,'Marginal Capacity Costs Inputs'!Q68))</f>
        <v/>
      </c>
      <c r="K74" s="194" t="str">
        <f t="shared" ref="K74" si="312">IF(E74=0,"",J74*I74)</f>
        <v/>
      </c>
      <c r="L74" s="194" t="str">
        <f>IF(E74=0,"",1/IF('Marginal Capacity Costs Inputs'!R67="Default",'Marginal Capacity Costs Inputs'!S67,'Marginal Capacity Costs Inputs'!S68))</f>
        <v/>
      </c>
      <c r="M74" s="194" t="str">
        <f>IF(E74=0,"",I74*((K74+L74)/K74)^SUMIFS($E$13:$E$14,$D$13:$D$14,$E$19))</f>
        <v/>
      </c>
      <c r="N74" s="194" t="str">
        <f>IF(E74=0,"",I74/((IF('Marginal Capacity Costs Inputs'!L67="Default",'Marginal Capacity Costs Inputs'!M67,'Marginal Capacity Costs Inputs'!M68)/(IF('Marginal Capacity Costs Inputs'!R67="Default",'Marginal Capacity Costs Inputs'!S67,'Marginal Capacity Costs Inputs'!S68)*2))))</f>
        <v/>
      </c>
      <c r="O74" s="194" t="str">
        <f t="shared" ref="O74" si="313">IF(E74=0,"",N74/2)</f>
        <v/>
      </c>
      <c r="P74" s="194" t="str">
        <f>IF(E74=0,"",M74/((IF('Marginal Capacity Costs Inputs'!L67="Default",'Marginal Capacity Costs Inputs'!M67,'Marginal Capacity Costs Inputs'!M68)/(IF('Marginal Capacity Costs Inputs'!R67="Default",'Marginal Capacity Costs Inputs'!S67,'Marginal Capacity Costs Inputs'!S68)*2))))</f>
        <v/>
      </c>
      <c r="Q74" s="194" t="str">
        <f t="shared" ref="Q74" si="314">IF(E74=0,"",P74/2)</f>
        <v/>
      </c>
      <c r="R74" s="194" t="str">
        <f t="shared" ref="R74" si="315">IF(E74=0,"",Q74-O74)</f>
        <v/>
      </c>
      <c r="S74" s="194" t="str">
        <f>IF(E74=0,"",(R74*IF('Marginal Capacity Costs Inputs'!H67="Default",'Marginal Capacity Costs Inputs'!I67,'Marginal Capacity Costs Inputs'!I68)))</f>
        <v/>
      </c>
      <c r="T74" s="194" t="str">
        <f>IF(E74=0,"",I74*IF('Marginal Capacity Costs Inputs'!R67="Default",'Marginal Capacity Costs Inputs'!S67,'Marginal Capacity Costs Inputs'!S68)*2)</f>
        <v/>
      </c>
      <c r="U74" s="194" t="str">
        <f t="shared" ref="U74" si="316">IF(E74=0,"",T74/2)</f>
        <v/>
      </c>
      <c r="V74" s="194" t="str">
        <f>IF(E74=0,"",M74*IF('Marginal Capacity Costs Inputs'!R67="Default",'Marginal Capacity Costs Inputs'!S67,'Marginal Capacity Costs Inputs'!S68)*2)</f>
        <v/>
      </c>
      <c r="W74" s="194" t="str">
        <f t="shared" ref="W74" si="317">IF(E74=0,"",V74/2)</f>
        <v/>
      </c>
      <c r="X74" s="194" t="str">
        <f t="shared" ref="X74" si="318">IF(E74=0,"",W74-U74)</f>
        <v/>
      </c>
      <c r="Y74" s="195" t="str">
        <f>IF(E74=0,"",X74*IF('Marginal Capacity Costs Inputs'!J67="Default",'Marginal Capacity Costs Inputs'!K67,'Marginal Capacity Costs Inputs'!K68))</f>
        <v/>
      </c>
      <c r="Z74" s="196" t="str">
        <f t="shared" ref="Z74" si="319">IF(E74=0,"",Y74+S74)</f>
        <v/>
      </c>
      <c r="AA74" s="197" t="str">
        <f t="shared" ref="AA74" si="320">IF(E74=0,"",(M74-I74)/I74)</f>
        <v/>
      </c>
      <c r="AB74" s="197" t="str">
        <f>IF(E74=0,"",AA74*SUMIFS($N$13:$N$14,$D$13:$D$14,$E$19))</f>
        <v/>
      </c>
      <c r="AC74" s="198" t="str">
        <f>IF(E74=0,"",K74*IF('Marginal Capacity Costs Inputs'!R67="Default",'Marginal Capacity Costs Inputs'!S67,'Marginal Capacity Costs Inputs'!S68)*2)</f>
        <v/>
      </c>
      <c r="AD74" s="195" t="str">
        <f t="shared" ref="AD74" si="321">IF(E74=0,"",AC74/2)</f>
        <v/>
      </c>
      <c r="AE74" s="198" t="str">
        <f>IF(E74=0,"",AD74*IF('Marginal Capacity Costs Inputs'!U67="Default",'Marginal Capacity Costs Inputs'!V67,'Marginal Capacity Costs Inputs'!V68))</f>
        <v/>
      </c>
      <c r="AF74" s="195" t="str">
        <f t="shared" ref="AF74" si="322">IF(E74=0,"",AB74*AE74)</f>
        <v/>
      </c>
      <c r="AG74" s="196" t="str">
        <f>IF(E74=0,"",AF74*'Marginal Capacity Costs Inputs'!T67)</f>
        <v/>
      </c>
      <c r="AH74" s="196" t="str">
        <f>IF(E74=0,"",AF74*'MOC - Calculations'!$E$6)</f>
        <v/>
      </c>
      <c r="AI74" s="199" t="str">
        <f t="shared" ref="AI74" si="323">IF(E74=0,"",Z74-AG74+AH74)</f>
        <v/>
      </c>
      <c r="AJ74" s="195" t="str">
        <f t="shared" ref="AJ74" si="324">IF(E74=0,"",IF(AI74&lt;0,0,AI74))</f>
        <v/>
      </c>
      <c r="AK74" s="195" t="str">
        <f>IF(E74=0,"",AJ74*'Marginal Capacity Costs Inputs'!G67*'MCC - Calculations'!F74)</f>
        <v/>
      </c>
    </row>
    <row r="75" spans="1:37" customFormat="1" ht="14.45"/>
    <row r="76" spans="1:37">
      <c r="A76" s="12"/>
      <c r="D76" s="32">
        <v>27</v>
      </c>
      <c r="E76" s="32">
        <f>IF($E$18="No",0,IF('Marginal Capacity Costs Inputs'!E69="No",0,1))</f>
        <v>0</v>
      </c>
      <c r="F76" s="24" t="str">
        <f>IF(E76=0,"",(1-'RF - Calculations'!$E$6))</f>
        <v/>
      </c>
      <c r="G76" s="24" t="str">
        <f>IF(E76=0,"",IF('Marginal Capacity Costs Inputs'!$H69=Lists!$D$21,SUMIFS($F$13:$F$14,$D$13:$D$14,$E$19)*'Inflation - Calculations'!$E$7,'Marginal Capacity Costs Inputs'!$I70))</f>
        <v/>
      </c>
      <c r="H76" s="24" t="str">
        <f>IF(E76=0,"",IF('Marginal Capacity Costs Inputs'!$J69=Lists!$D$21,SUMIFS($G$13:$G$14,$D$13:$D$14,$E$19)*'Inflation - Calculations'!$E$8,'Marginal Capacity Costs Inputs'!$K70))</f>
        <v/>
      </c>
      <c r="I76" s="24" t="str">
        <f>IF(E76=0,"",SUMIFS($M$13:$M$14,$D$13:$D$14,$E$19))</f>
        <v/>
      </c>
      <c r="J76" s="194" t="str">
        <f>IF(E76=0,"",IF('Marginal Capacity Costs Inputs'!N69="Default",'Marginal Capacity Costs Inputs'!O69,'Marginal Capacity Costs Inputs'!O70)/IF('Marginal Capacity Costs Inputs'!P69="Default",'Marginal Capacity Costs Inputs'!Q69,'Marginal Capacity Costs Inputs'!Q70))</f>
        <v/>
      </c>
      <c r="K76" s="194" t="str">
        <f t="shared" ref="K76" si="325">IF(E76=0,"",J76*I76)</f>
        <v/>
      </c>
      <c r="L76" s="194" t="str">
        <f>IF(E76=0,"",1/IF('Marginal Capacity Costs Inputs'!R69="Default",'Marginal Capacity Costs Inputs'!S69,'Marginal Capacity Costs Inputs'!S70))</f>
        <v/>
      </c>
      <c r="M76" s="194" t="str">
        <f>IF(E76=0,"",I76*((K76+L76)/K76)^SUMIFS($E$13:$E$14,$D$13:$D$14,$E$19))</f>
        <v/>
      </c>
      <c r="N76" s="194" t="str">
        <f>IF(E76=0,"",I76/((IF('Marginal Capacity Costs Inputs'!L69="Default",'Marginal Capacity Costs Inputs'!M69,'Marginal Capacity Costs Inputs'!M70)/(IF('Marginal Capacity Costs Inputs'!R69="Default",'Marginal Capacity Costs Inputs'!S69,'Marginal Capacity Costs Inputs'!S70)*2))))</f>
        <v/>
      </c>
      <c r="O76" s="194" t="str">
        <f t="shared" ref="O76" si="326">IF(E76=0,"",N76/2)</f>
        <v/>
      </c>
      <c r="P76" s="194" t="str">
        <f>IF(E76=0,"",M76/((IF('Marginal Capacity Costs Inputs'!L69="Default",'Marginal Capacity Costs Inputs'!M69,'Marginal Capacity Costs Inputs'!M70)/(IF('Marginal Capacity Costs Inputs'!R69="Default",'Marginal Capacity Costs Inputs'!S69,'Marginal Capacity Costs Inputs'!S70)*2))))</f>
        <v/>
      </c>
      <c r="Q76" s="194" t="str">
        <f t="shared" ref="Q76" si="327">IF(E76=0,"",P76/2)</f>
        <v/>
      </c>
      <c r="R76" s="194" t="str">
        <f t="shared" ref="R76" si="328">IF(E76=0,"",Q76-O76)</f>
        <v/>
      </c>
      <c r="S76" s="194" t="str">
        <f>IF(E76=0,"",(R76*IF('Marginal Capacity Costs Inputs'!H69="Default",'Marginal Capacity Costs Inputs'!I69,'Marginal Capacity Costs Inputs'!I70)))</f>
        <v/>
      </c>
      <c r="T76" s="194" t="str">
        <f>IF(E76=0,"",I76*IF('Marginal Capacity Costs Inputs'!R69="Default",'Marginal Capacity Costs Inputs'!S69,'Marginal Capacity Costs Inputs'!S70)*2)</f>
        <v/>
      </c>
      <c r="U76" s="194" t="str">
        <f t="shared" ref="U76" si="329">IF(E76=0,"",T76/2)</f>
        <v/>
      </c>
      <c r="V76" s="194" t="str">
        <f>IF(E76=0,"",M76*IF('Marginal Capacity Costs Inputs'!R69="Default",'Marginal Capacity Costs Inputs'!S69,'Marginal Capacity Costs Inputs'!S70)*2)</f>
        <v/>
      </c>
      <c r="W76" s="194" t="str">
        <f t="shared" ref="W76" si="330">IF(E76=0,"",V76/2)</f>
        <v/>
      </c>
      <c r="X76" s="194" t="str">
        <f t="shared" ref="X76" si="331">IF(E76=0,"",W76-U76)</f>
        <v/>
      </c>
      <c r="Y76" s="195" t="str">
        <f>IF(E76=0,"",X76*IF('Marginal Capacity Costs Inputs'!J69="Default",'Marginal Capacity Costs Inputs'!K69,'Marginal Capacity Costs Inputs'!K70))</f>
        <v/>
      </c>
      <c r="Z76" s="196" t="str">
        <f t="shared" ref="Z76" si="332">IF(E76=0,"",Y76+S76)</f>
        <v/>
      </c>
      <c r="AA76" s="197" t="str">
        <f t="shared" ref="AA76" si="333">IF(E76=0,"",(M76-I76)/I76)</f>
        <v/>
      </c>
      <c r="AB76" s="197" t="str">
        <f>IF(E76=0,"",AA76*SUMIFS($N$13:$N$14,$D$13:$D$14,$E$19))</f>
        <v/>
      </c>
      <c r="AC76" s="198" t="str">
        <f>IF(E76=0,"",K76*IF('Marginal Capacity Costs Inputs'!R69="Default",'Marginal Capacity Costs Inputs'!S69,'Marginal Capacity Costs Inputs'!S70)*2)</f>
        <v/>
      </c>
      <c r="AD76" s="195" t="str">
        <f t="shared" ref="AD76" si="334">IF(E76=0,"",AC76/2)</f>
        <v/>
      </c>
      <c r="AE76" s="198" t="str">
        <f>IF(E76=0,"",AD76*IF('Marginal Capacity Costs Inputs'!U69="Default",'Marginal Capacity Costs Inputs'!V69,'Marginal Capacity Costs Inputs'!V70))</f>
        <v/>
      </c>
      <c r="AF76" s="195" t="str">
        <f t="shared" ref="AF76" si="335">IF(E76=0,"",AB76*AE76)</f>
        <v/>
      </c>
      <c r="AG76" s="196" t="str">
        <f>IF(E76=0,"",AF76*'Marginal Capacity Costs Inputs'!T69)</f>
        <v/>
      </c>
      <c r="AH76" s="196" t="str">
        <f>IF(E76=0,"",AF76*'MOC - Calculations'!$E$6)</f>
        <v/>
      </c>
      <c r="AI76" s="199" t="str">
        <f t="shared" ref="AI76" si="336">IF(E76=0,"",Z76-AG76+AH76)</f>
        <v/>
      </c>
      <c r="AJ76" s="195" t="str">
        <f t="shared" ref="AJ76" si="337">IF(E76=0,"",IF(AI76&lt;0,0,AI76))</f>
        <v/>
      </c>
      <c r="AK76" s="195" t="str">
        <f>IF(E76=0,"",AJ76*'Marginal Capacity Costs Inputs'!G69*'MCC - Calculations'!F76)</f>
        <v/>
      </c>
    </row>
    <row r="77" spans="1:37" customFormat="1" ht="14.45"/>
    <row r="78" spans="1:37">
      <c r="A78" s="12"/>
      <c r="D78" s="32">
        <v>28</v>
      </c>
      <c r="E78" s="32">
        <f>IF($E$18="No",0,IF('Marginal Capacity Costs Inputs'!E71="No",0,1))</f>
        <v>0</v>
      </c>
      <c r="F78" s="24" t="str">
        <f>IF(E78=0,"",(1-'RF - Calculations'!$E$6))</f>
        <v/>
      </c>
      <c r="G78" s="24" t="str">
        <f>IF(E78=0,"",IF('Marginal Capacity Costs Inputs'!$H71=Lists!$D$21,SUMIFS($F$13:$F$14,$D$13:$D$14,$E$19)*'Inflation - Calculations'!$E$7,'Marginal Capacity Costs Inputs'!$I72))</f>
        <v/>
      </c>
      <c r="H78" s="24" t="str">
        <f>IF(E78=0,"",IF('Marginal Capacity Costs Inputs'!$J71=Lists!$D$21,SUMIFS($G$13:$G$14,$D$13:$D$14,$E$19)*'Inflation - Calculations'!$E$8,'Marginal Capacity Costs Inputs'!$K72))</f>
        <v/>
      </c>
      <c r="I78" s="24" t="str">
        <f>IF(E78=0,"",SUMIFS($M$13:$M$14,$D$13:$D$14,$E$19))</f>
        <v/>
      </c>
      <c r="J78" s="194" t="str">
        <f>IF(E78=0,"",IF('Marginal Capacity Costs Inputs'!N71="Default",'Marginal Capacity Costs Inputs'!O71,'Marginal Capacity Costs Inputs'!O72)/IF('Marginal Capacity Costs Inputs'!P71="Default",'Marginal Capacity Costs Inputs'!Q71,'Marginal Capacity Costs Inputs'!Q72))</f>
        <v/>
      </c>
      <c r="K78" s="194" t="str">
        <f t="shared" ref="K78" si="338">IF(E78=0,"",J78*I78)</f>
        <v/>
      </c>
      <c r="L78" s="194" t="str">
        <f>IF(E78=0,"",1/IF('Marginal Capacity Costs Inputs'!R71="Default",'Marginal Capacity Costs Inputs'!S71,'Marginal Capacity Costs Inputs'!S72))</f>
        <v/>
      </c>
      <c r="M78" s="194" t="str">
        <f>IF(E78=0,"",I78*((K78+L78)/K78)^SUMIFS($E$13:$E$14,$D$13:$D$14,$E$19))</f>
        <v/>
      </c>
      <c r="N78" s="194" t="str">
        <f>IF(E78=0,"",I78/((IF('Marginal Capacity Costs Inputs'!L71="Default",'Marginal Capacity Costs Inputs'!M71,'Marginal Capacity Costs Inputs'!M72)/(IF('Marginal Capacity Costs Inputs'!R71="Default",'Marginal Capacity Costs Inputs'!S71,'Marginal Capacity Costs Inputs'!S72)*2))))</f>
        <v/>
      </c>
      <c r="O78" s="194" t="str">
        <f t="shared" ref="O78" si="339">IF(E78=0,"",N78/2)</f>
        <v/>
      </c>
      <c r="P78" s="194" t="str">
        <f>IF(E78=0,"",M78/((IF('Marginal Capacity Costs Inputs'!L71="Default",'Marginal Capacity Costs Inputs'!M71,'Marginal Capacity Costs Inputs'!M72)/(IF('Marginal Capacity Costs Inputs'!R71="Default",'Marginal Capacity Costs Inputs'!S71,'Marginal Capacity Costs Inputs'!S72)*2))))</f>
        <v/>
      </c>
      <c r="Q78" s="194" t="str">
        <f t="shared" ref="Q78" si="340">IF(E78=0,"",P78/2)</f>
        <v/>
      </c>
      <c r="R78" s="194" t="str">
        <f t="shared" ref="R78" si="341">IF(E78=0,"",Q78-O78)</f>
        <v/>
      </c>
      <c r="S78" s="194" t="str">
        <f>IF(E78=0,"",(R78*IF('Marginal Capacity Costs Inputs'!H71="Default",'Marginal Capacity Costs Inputs'!I71,'Marginal Capacity Costs Inputs'!I72)))</f>
        <v/>
      </c>
      <c r="T78" s="194" t="str">
        <f>IF(E78=0,"",I78*IF('Marginal Capacity Costs Inputs'!R71="Default",'Marginal Capacity Costs Inputs'!S71,'Marginal Capacity Costs Inputs'!S72)*2)</f>
        <v/>
      </c>
      <c r="U78" s="194" t="str">
        <f t="shared" ref="U78" si="342">IF(E78=0,"",T78/2)</f>
        <v/>
      </c>
      <c r="V78" s="194" t="str">
        <f>IF(E78=0,"",M78*IF('Marginal Capacity Costs Inputs'!R71="Default",'Marginal Capacity Costs Inputs'!S71,'Marginal Capacity Costs Inputs'!S72)*2)</f>
        <v/>
      </c>
      <c r="W78" s="194" t="str">
        <f t="shared" ref="W78" si="343">IF(E78=0,"",V78/2)</f>
        <v/>
      </c>
      <c r="X78" s="194" t="str">
        <f t="shared" ref="X78" si="344">IF(E78=0,"",W78-U78)</f>
        <v/>
      </c>
      <c r="Y78" s="195" t="str">
        <f>IF(E78=0,"",X78*IF('Marginal Capacity Costs Inputs'!J71="Default",'Marginal Capacity Costs Inputs'!K71,'Marginal Capacity Costs Inputs'!K72))</f>
        <v/>
      </c>
      <c r="Z78" s="196" t="str">
        <f t="shared" ref="Z78" si="345">IF(E78=0,"",Y78+S78)</f>
        <v/>
      </c>
      <c r="AA78" s="197" t="str">
        <f t="shared" ref="AA78" si="346">IF(E78=0,"",(M78-I78)/I78)</f>
        <v/>
      </c>
      <c r="AB78" s="197" t="str">
        <f>IF(E78=0,"",AA78*SUMIFS($N$13:$N$14,$D$13:$D$14,$E$19))</f>
        <v/>
      </c>
      <c r="AC78" s="198" t="str">
        <f>IF(E78=0,"",K78*IF('Marginal Capacity Costs Inputs'!R71="Default",'Marginal Capacity Costs Inputs'!S71,'Marginal Capacity Costs Inputs'!S72)*2)</f>
        <v/>
      </c>
      <c r="AD78" s="195" t="str">
        <f t="shared" ref="AD78" si="347">IF(E78=0,"",AC78/2)</f>
        <v/>
      </c>
      <c r="AE78" s="198" t="str">
        <f>IF(E78=0,"",AD78*IF('Marginal Capacity Costs Inputs'!U71="Default",'Marginal Capacity Costs Inputs'!V71,'Marginal Capacity Costs Inputs'!V72))</f>
        <v/>
      </c>
      <c r="AF78" s="195" t="str">
        <f t="shared" ref="AF78" si="348">IF(E78=0,"",AB78*AE78)</f>
        <v/>
      </c>
      <c r="AG78" s="196" t="str">
        <f>IF(E78=0,"",AF78*'Marginal Capacity Costs Inputs'!T71)</f>
        <v/>
      </c>
      <c r="AH78" s="196" t="str">
        <f>IF(E78=0,"",AF78*'MOC - Calculations'!$E$6)</f>
        <v/>
      </c>
      <c r="AI78" s="199" t="str">
        <f t="shared" ref="AI78" si="349">IF(E78=0,"",Z78-AG78+AH78)</f>
        <v/>
      </c>
      <c r="AJ78" s="195" t="str">
        <f t="shared" ref="AJ78" si="350">IF(E78=0,"",IF(AI78&lt;0,0,AI78))</f>
        <v/>
      </c>
      <c r="AK78" s="195" t="str">
        <f>IF(E78=0,"",AJ78*'Marginal Capacity Costs Inputs'!G71*'MCC - Calculations'!F78)</f>
        <v/>
      </c>
    </row>
    <row r="79" spans="1:37" customFormat="1" ht="14.45"/>
    <row r="80" spans="1:37">
      <c r="A80" s="12"/>
      <c r="D80" s="32">
        <v>29</v>
      </c>
      <c r="E80" s="32">
        <f>IF($E$18="No",0,IF('Marginal Capacity Costs Inputs'!E73="No",0,1))</f>
        <v>0</v>
      </c>
      <c r="F80" s="24" t="str">
        <f>IF(E80=0,"",(1-'RF - Calculations'!$E$6))</f>
        <v/>
      </c>
      <c r="G80" s="24" t="str">
        <f>IF(E80=0,"",IF('Marginal Capacity Costs Inputs'!$H73=Lists!$D$21,SUMIFS($F$13:$F$14,$D$13:$D$14,$E$19)*'Inflation - Calculations'!$E$7,'Marginal Capacity Costs Inputs'!$I74))</f>
        <v/>
      </c>
      <c r="H80" s="24" t="str">
        <f>IF(E80=0,"",IF('Marginal Capacity Costs Inputs'!$J73=Lists!$D$21,SUMIFS($G$13:$G$14,$D$13:$D$14,$E$19)*'Inflation - Calculations'!$E$8,'Marginal Capacity Costs Inputs'!$K74))</f>
        <v/>
      </c>
      <c r="I80" s="24" t="str">
        <f>IF(E80=0,"",SUMIFS($M$13:$M$14,$D$13:$D$14,$E$19))</f>
        <v/>
      </c>
      <c r="J80" s="194" t="str">
        <f>IF(E80=0,"",IF('Marginal Capacity Costs Inputs'!N73="Default",'Marginal Capacity Costs Inputs'!O73,'Marginal Capacity Costs Inputs'!O74)/IF('Marginal Capacity Costs Inputs'!P73="Default",'Marginal Capacity Costs Inputs'!Q73,'Marginal Capacity Costs Inputs'!Q74))</f>
        <v/>
      </c>
      <c r="K80" s="194" t="str">
        <f t="shared" ref="K80" si="351">IF(E80=0,"",J80*I80)</f>
        <v/>
      </c>
      <c r="L80" s="194" t="str">
        <f>IF(E80=0,"",1/IF('Marginal Capacity Costs Inputs'!R73="Default",'Marginal Capacity Costs Inputs'!S73,'Marginal Capacity Costs Inputs'!S74))</f>
        <v/>
      </c>
      <c r="M80" s="194" t="str">
        <f>IF(E80=0,"",I80*((K80+L80)/K80)^SUMIFS($E$13:$E$14,$D$13:$D$14,$E$19))</f>
        <v/>
      </c>
      <c r="N80" s="194" t="str">
        <f>IF(E80=0,"",I80/((IF('Marginal Capacity Costs Inputs'!L73="Default",'Marginal Capacity Costs Inputs'!M73,'Marginal Capacity Costs Inputs'!M74)/(IF('Marginal Capacity Costs Inputs'!R73="Default",'Marginal Capacity Costs Inputs'!S73,'Marginal Capacity Costs Inputs'!S74)*2))))</f>
        <v/>
      </c>
      <c r="O80" s="194" t="str">
        <f t="shared" ref="O80" si="352">IF(E80=0,"",N80/2)</f>
        <v/>
      </c>
      <c r="P80" s="194" t="str">
        <f>IF(E80=0,"",M80/((IF('Marginal Capacity Costs Inputs'!L73="Default",'Marginal Capacity Costs Inputs'!M73,'Marginal Capacity Costs Inputs'!M74)/(IF('Marginal Capacity Costs Inputs'!R73="Default",'Marginal Capacity Costs Inputs'!S73,'Marginal Capacity Costs Inputs'!S74)*2))))</f>
        <v/>
      </c>
      <c r="Q80" s="194" t="str">
        <f t="shared" ref="Q80" si="353">IF(E80=0,"",P80/2)</f>
        <v/>
      </c>
      <c r="R80" s="194" t="str">
        <f t="shared" ref="R80" si="354">IF(E80=0,"",Q80-O80)</f>
        <v/>
      </c>
      <c r="S80" s="194" t="str">
        <f>IF(E80=0,"",(R80*IF('Marginal Capacity Costs Inputs'!H73="Default",'Marginal Capacity Costs Inputs'!I73,'Marginal Capacity Costs Inputs'!I74)))</f>
        <v/>
      </c>
      <c r="T80" s="194" t="str">
        <f>IF(E80=0,"",I80*IF('Marginal Capacity Costs Inputs'!R73="Default",'Marginal Capacity Costs Inputs'!S73,'Marginal Capacity Costs Inputs'!S74)*2)</f>
        <v/>
      </c>
      <c r="U80" s="194" t="str">
        <f t="shared" ref="U80" si="355">IF(E80=0,"",T80/2)</f>
        <v/>
      </c>
      <c r="V80" s="194" t="str">
        <f>IF(E80=0,"",M80*IF('Marginal Capacity Costs Inputs'!R73="Default",'Marginal Capacity Costs Inputs'!S73,'Marginal Capacity Costs Inputs'!S74)*2)</f>
        <v/>
      </c>
      <c r="W80" s="194" t="str">
        <f t="shared" ref="W80" si="356">IF(E80=0,"",V80/2)</f>
        <v/>
      </c>
      <c r="X80" s="194" t="str">
        <f t="shared" ref="X80" si="357">IF(E80=0,"",W80-U80)</f>
        <v/>
      </c>
      <c r="Y80" s="195" t="str">
        <f>IF(E80=0,"",X80*IF('Marginal Capacity Costs Inputs'!J73="Default",'Marginal Capacity Costs Inputs'!K73,'Marginal Capacity Costs Inputs'!K74))</f>
        <v/>
      </c>
      <c r="Z80" s="196" t="str">
        <f t="shared" ref="Z80" si="358">IF(E80=0,"",Y80+S80)</f>
        <v/>
      </c>
      <c r="AA80" s="197" t="str">
        <f t="shared" ref="AA80" si="359">IF(E80=0,"",(M80-I80)/I80)</f>
        <v/>
      </c>
      <c r="AB80" s="197" t="str">
        <f>IF(E80=0,"",AA80*SUMIFS($N$13:$N$14,$D$13:$D$14,$E$19))</f>
        <v/>
      </c>
      <c r="AC80" s="198" t="str">
        <f>IF(E80=0,"",K80*IF('Marginal Capacity Costs Inputs'!R73="Default",'Marginal Capacity Costs Inputs'!S73,'Marginal Capacity Costs Inputs'!S74)*2)</f>
        <v/>
      </c>
      <c r="AD80" s="195" t="str">
        <f t="shared" ref="AD80" si="360">IF(E80=0,"",AC80/2)</f>
        <v/>
      </c>
      <c r="AE80" s="198" t="str">
        <f>IF(E80=0,"",AD80*IF('Marginal Capacity Costs Inputs'!U73="Default",'Marginal Capacity Costs Inputs'!V73,'Marginal Capacity Costs Inputs'!V74))</f>
        <v/>
      </c>
      <c r="AF80" s="195" t="str">
        <f t="shared" ref="AF80" si="361">IF(E80=0,"",AB80*AE80)</f>
        <v/>
      </c>
      <c r="AG80" s="196" t="str">
        <f>IF(E80=0,"",AF80*'Marginal Capacity Costs Inputs'!T73)</f>
        <v/>
      </c>
      <c r="AH80" s="196" t="str">
        <f>IF(E80=0,"",AF80*'MOC - Calculations'!$E$6)</f>
        <v/>
      </c>
      <c r="AI80" s="199" t="str">
        <f t="shared" ref="AI80" si="362">IF(E80=0,"",Z80-AG80+AH80)</f>
        <v/>
      </c>
      <c r="AJ80" s="195" t="str">
        <f t="shared" ref="AJ80" si="363">IF(E80=0,"",IF(AI80&lt;0,0,AI80))</f>
        <v/>
      </c>
      <c r="AK80" s="195" t="str">
        <f>IF(E80=0,"",AJ80*'Marginal Capacity Costs Inputs'!G73*'MCC - Calculations'!F80)</f>
        <v/>
      </c>
    </row>
    <row r="81" spans="1:37" customFormat="1" ht="14.45"/>
    <row r="82" spans="1:37">
      <c r="A82" s="12"/>
      <c r="D82" s="32">
        <v>30</v>
      </c>
      <c r="E82" s="32">
        <f>IF($E$18="No",0,IF('Marginal Capacity Costs Inputs'!E75="No",0,1))</f>
        <v>0</v>
      </c>
      <c r="F82" s="24" t="str">
        <f>IF(E82=0,"",(1-'RF - Calculations'!$E$6))</f>
        <v/>
      </c>
      <c r="G82" s="24" t="str">
        <f>IF(E82=0,"",IF('Marginal Capacity Costs Inputs'!$H75=Lists!$D$21,SUMIFS($F$13:$F$14,$D$13:$D$14,$E$19)*'Inflation - Calculations'!$E$7,'Marginal Capacity Costs Inputs'!$I76))</f>
        <v/>
      </c>
      <c r="H82" s="24" t="str">
        <f>IF(E82=0,"",IF('Marginal Capacity Costs Inputs'!$J75=Lists!$D$21,SUMIFS($G$13:$G$14,$D$13:$D$14,$E$19)*'Inflation - Calculations'!$E$8,'Marginal Capacity Costs Inputs'!$K76))</f>
        <v/>
      </c>
      <c r="I82" s="24" t="str">
        <f>IF(E82=0,"",SUMIFS($M$13:$M$14,$D$13:$D$14,$E$19))</f>
        <v/>
      </c>
      <c r="J82" s="194" t="str">
        <f>IF(E82=0,"",IF('Marginal Capacity Costs Inputs'!N75="Default",'Marginal Capacity Costs Inputs'!O75,'Marginal Capacity Costs Inputs'!O76)/IF('Marginal Capacity Costs Inputs'!P75="Default",'Marginal Capacity Costs Inputs'!Q75,'Marginal Capacity Costs Inputs'!Q76))</f>
        <v/>
      </c>
      <c r="K82" s="194" t="str">
        <f t="shared" ref="K82" si="364">IF(E82=0,"",J82*I82)</f>
        <v/>
      </c>
      <c r="L82" s="194" t="str">
        <f>IF(E82=0,"",1/IF('Marginal Capacity Costs Inputs'!R75="Default",'Marginal Capacity Costs Inputs'!S75,'Marginal Capacity Costs Inputs'!S76))</f>
        <v/>
      </c>
      <c r="M82" s="194" t="str">
        <f>IF(E82=0,"",I82*((K82+L82)/K82)^SUMIFS($E$13:$E$14,$D$13:$D$14,$E$19))</f>
        <v/>
      </c>
      <c r="N82" s="194" t="str">
        <f>IF(E82=0,"",I82/((IF('Marginal Capacity Costs Inputs'!L75="Default",'Marginal Capacity Costs Inputs'!M75,'Marginal Capacity Costs Inputs'!M76)/(IF('Marginal Capacity Costs Inputs'!R75="Default",'Marginal Capacity Costs Inputs'!S75,'Marginal Capacity Costs Inputs'!S76)*2))))</f>
        <v/>
      </c>
      <c r="O82" s="194" t="str">
        <f t="shared" ref="O82" si="365">IF(E82=0,"",N82/2)</f>
        <v/>
      </c>
      <c r="P82" s="194" t="str">
        <f>IF(E82=0,"",M82/((IF('Marginal Capacity Costs Inputs'!L75="Default",'Marginal Capacity Costs Inputs'!M75,'Marginal Capacity Costs Inputs'!M76)/(IF('Marginal Capacity Costs Inputs'!R75="Default",'Marginal Capacity Costs Inputs'!S75,'Marginal Capacity Costs Inputs'!S76)*2))))</f>
        <v/>
      </c>
      <c r="Q82" s="194" t="str">
        <f t="shared" ref="Q82" si="366">IF(E82=0,"",P82/2)</f>
        <v/>
      </c>
      <c r="R82" s="194" t="str">
        <f t="shared" ref="R82" si="367">IF(E82=0,"",Q82-O82)</f>
        <v/>
      </c>
      <c r="S82" s="194" t="str">
        <f>IF(E82=0,"",(R82*IF('Marginal Capacity Costs Inputs'!H75="Default",'Marginal Capacity Costs Inputs'!I75,'Marginal Capacity Costs Inputs'!I76)))</f>
        <v/>
      </c>
      <c r="T82" s="194" t="str">
        <f>IF(E82=0,"",I82*IF('Marginal Capacity Costs Inputs'!R75="Default",'Marginal Capacity Costs Inputs'!S75,'Marginal Capacity Costs Inputs'!S76)*2)</f>
        <v/>
      </c>
      <c r="U82" s="194" t="str">
        <f t="shared" ref="U82" si="368">IF(E82=0,"",T82/2)</f>
        <v/>
      </c>
      <c r="V82" s="194" t="str">
        <f>IF(E82=0,"",M82*IF('Marginal Capacity Costs Inputs'!R75="Default",'Marginal Capacity Costs Inputs'!S75,'Marginal Capacity Costs Inputs'!S76)*2)</f>
        <v/>
      </c>
      <c r="W82" s="194" t="str">
        <f t="shared" ref="W82" si="369">IF(E82=0,"",V82/2)</f>
        <v/>
      </c>
      <c r="X82" s="194" t="str">
        <f t="shared" ref="X82" si="370">IF(E82=0,"",W82-U82)</f>
        <v/>
      </c>
      <c r="Y82" s="195" t="str">
        <f>IF(E82=0,"",X82*IF('Marginal Capacity Costs Inputs'!J75="Default",'Marginal Capacity Costs Inputs'!K75,'Marginal Capacity Costs Inputs'!K76))</f>
        <v/>
      </c>
      <c r="Z82" s="196" t="str">
        <f t="shared" ref="Z82" si="371">IF(E82=0,"",Y82+S82)</f>
        <v/>
      </c>
      <c r="AA82" s="197" t="str">
        <f t="shared" ref="AA82" si="372">IF(E82=0,"",(M82-I82)/I82)</f>
        <v/>
      </c>
      <c r="AB82" s="197" t="str">
        <f>IF(E82=0,"",AA82*SUMIFS($N$13:$N$14,$D$13:$D$14,$E$19))</f>
        <v/>
      </c>
      <c r="AC82" s="198" t="str">
        <f>IF(E82=0,"",K82*IF('Marginal Capacity Costs Inputs'!R75="Default",'Marginal Capacity Costs Inputs'!S75,'Marginal Capacity Costs Inputs'!S76)*2)</f>
        <v/>
      </c>
      <c r="AD82" s="195" t="str">
        <f t="shared" ref="AD82" si="373">IF(E82=0,"",AC82/2)</f>
        <v/>
      </c>
      <c r="AE82" s="198" t="str">
        <f>IF(E82=0,"",AD82*IF('Marginal Capacity Costs Inputs'!U75="Default",'Marginal Capacity Costs Inputs'!V75,'Marginal Capacity Costs Inputs'!V76))</f>
        <v/>
      </c>
      <c r="AF82" s="195" t="str">
        <f t="shared" ref="AF82" si="374">IF(E82=0,"",AB82*AE82)</f>
        <v/>
      </c>
      <c r="AG82" s="196" t="str">
        <f>IF(E82=0,"",AF82*'Marginal Capacity Costs Inputs'!T75)</f>
        <v/>
      </c>
      <c r="AH82" s="196" t="str">
        <f>IF(E82=0,"",AF82*'MOC - Calculations'!$E$6)</f>
        <v/>
      </c>
      <c r="AI82" s="199" t="str">
        <f t="shared" ref="AI82" si="375">IF(E82=0,"",Z82-AG82+AH82)</f>
        <v/>
      </c>
      <c r="AJ82" s="195" t="str">
        <f t="shared" ref="AJ82" si="376">IF(E82=0,"",IF(AI82&lt;0,0,AI82))</f>
        <v/>
      </c>
      <c r="AK82" s="195" t="str">
        <f>IF(E82=0,"",AJ82*'Marginal Capacity Costs Inputs'!G75*'MCC - Calculations'!F82)</f>
        <v/>
      </c>
    </row>
    <row r="83" spans="1:37" customFormat="1" ht="14.45"/>
    <row r="84" spans="1:37">
      <c r="A84" s="12"/>
      <c r="D84" s="32">
        <v>31</v>
      </c>
      <c r="E84" s="32">
        <f>IF($E$18="No",0,IF('Marginal Capacity Costs Inputs'!E77="No",0,1))</f>
        <v>0</v>
      </c>
      <c r="F84" s="24" t="str">
        <f>IF(E84=0,"",(1-'RF - Calculations'!$E$6))</f>
        <v/>
      </c>
      <c r="G84" s="24" t="str">
        <f>IF(E84=0,"",IF('Marginal Capacity Costs Inputs'!$H77=Lists!$D$21,SUMIFS($F$13:$F$14,$D$13:$D$14,$E$19)*'Inflation - Calculations'!$E$7,'Marginal Capacity Costs Inputs'!$I78))</f>
        <v/>
      </c>
      <c r="H84" s="24" t="str">
        <f>IF(E84=0,"",IF('Marginal Capacity Costs Inputs'!$J77=Lists!$D$21,SUMIFS($G$13:$G$14,$D$13:$D$14,$E$19)*'Inflation - Calculations'!$E$8,'Marginal Capacity Costs Inputs'!$K78))</f>
        <v/>
      </c>
      <c r="I84" s="24" t="str">
        <f>IF(E84=0,"",SUMIFS($M$13:$M$14,$D$13:$D$14,$E$19))</f>
        <v/>
      </c>
      <c r="J84" s="194" t="str">
        <f>IF(E84=0,"",IF('Marginal Capacity Costs Inputs'!N77="Default",'Marginal Capacity Costs Inputs'!O77,'Marginal Capacity Costs Inputs'!O78)/IF('Marginal Capacity Costs Inputs'!P77="Default",'Marginal Capacity Costs Inputs'!Q77,'Marginal Capacity Costs Inputs'!Q78))</f>
        <v/>
      </c>
      <c r="K84" s="194" t="str">
        <f t="shared" ref="K84" si="377">IF(E84=0,"",J84*I84)</f>
        <v/>
      </c>
      <c r="L84" s="194" t="str">
        <f>IF(E84=0,"",1/IF('Marginal Capacity Costs Inputs'!R77="Default",'Marginal Capacity Costs Inputs'!S77,'Marginal Capacity Costs Inputs'!S78))</f>
        <v/>
      </c>
      <c r="M84" s="194" t="str">
        <f>IF(E84=0,"",I84*((K84+L84)/K84)^SUMIFS($E$13:$E$14,$D$13:$D$14,$E$19))</f>
        <v/>
      </c>
      <c r="N84" s="194" t="str">
        <f>IF(E84=0,"",I84/((IF('Marginal Capacity Costs Inputs'!L77="Default",'Marginal Capacity Costs Inputs'!M77,'Marginal Capacity Costs Inputs'!M78)/(IF('Marginal Capacity Costs Inputs'!R77="Default",'Marginal Capacity Costs Inputs'!S77,'Marginal Capacity Costs Inputs'!S78)*2))))</f>
        <v/>
      </c>
      <c r="O84" s="194" t="str">
        <f t="shared" ref="O84" si="378">IF(E84=0,"",N84/2)</f>
        <v/>
      </c>
      <c r="P84" s="194" t="str">
        <f>IF(E84=0,"",M84/((IF('Marginal Capacity Costs Inputs'!L77="Default",'Marginal Capacity Costs Inputs'!M77,'Marginal Capacity Costs Inputs'!M78)/(IF('Marginal Capacity Costs Inputs'!R77="Default",'Marginal Capacity Costs Inputs'!S77,'Marginal Capacity Costs Inputs'!S78)*2))))</f>
        <v/>
      </c>
      <c r="Q84" s="194" t="str">
        <f t="shared" ref="Q84" si="379">IF(E84=0,"",P84/2)</f>
        <v/>
      </c>
      <c r="R84" s="194" t="str">
        <f t="shared" ref="R84" si="380">IF(E84=0,"",Q84-O84)</f>
        <v/>
      </c>
      <c r="S84" s="194" t="str">
        <f>IF(E84=0,"",(R84*IF('Marginal Capacity Costs Inputs'!H77="Default",'Marginal Capacity Costs Inputs'!I77,'Marginal Capacity Costs Inputs'!I78)))</f>
        <v/>
      </c>
      <c r="T84" s="194" t="str">
        <f>IF(E84=0,"",I84*IF('Marginal Capacity Costs Inputs'!R77="Default",'Marginal Capacity Costs Inputs'!S77,'Marginal Capacity Costs Inputs'!S78)*2)</f>
        <v/>
      </c>
      <c r="U84" s="194" t="str">
        <f t="shared" ref="U84" si="381">IF(E84=0,"",T84/2)</f>
        <v/>
      </c>
      <c r="V84" s="194" t="str">
        <f>IF(E84=0,"",M84*IF('Marginal Capacity Costs Inputs'!R77="Default",'Marginal Capacity Costs Inputs'!S77,'Marginal Capacity Costs Inputs'!S78)*2)</f>
        <v/>
      </c>
      <c r="W84" s="194" t="str">
        <f t="shared" ref="W84" si="382">IF(E84=0,"",V84/2)</f>
        <v/>
      </c>
      <c r="X84" s="194" t="str">
        <f t="shared" ref="X84" si="383">IF(E84=0,"",W84-U84)</f>
        <v/>
      </c>
      <c r="Y84" s="195" t="str">
        <f>IF(E84=0,"",X84*IF('Marginal Capacity Costs Inputs'!J77="Default",'Marginal Capacity Costs Inputs'!K77,'Marginal Capacity Costs Inputs'!K78))</f>
        <v/>
      </c>
      <c r="Z84" s="196" t="str">
        <f t="shared" ref="Z84" si="384">IF(E84=0,"",Y84+S84)</f>
        <v/>
      </c>
      <c r="AA84" s="197" t="str">
        <f t="shared" ref="AA84" si="385">IF(E84=0,"",(M84-I84)/I84)</f>
        <v/>
      </c>
      <c r="AB84" s="197" t="str">
        <f>IF(E84=0,"",AA84*SUMIFS($N$13:$N$14,$D$13:$D$14,$E$19))</f>
        <v/>
      </c>
      <c r="AC84" s="198" t="str">
        <f>IF(E84=0,"",K84*IF('Marginal Capacity Costs Inputs'!R77="Default",'Marginal Capacity Costs Inputs'!S77,'Marginal Capacity Costs Inputs'!S78)*2)</f>
        <v/>
      </c>
      <c r="AD84" s="195" t="str">
        <f t="shared" ref="AD84" si="386">IF(E84=0,"",AC84/2)</f>
        <v/>
      </c>
      <c r="AE84" s="198" t="str">
        <f>IF(E84=0,"",AD84*IF('Marginal Capacity Costs Inputs'!U77="Default",'Marginal Capacity Costs Inputs'!V77,'Marginal Capacity Costs Inputs'!V78))</f>
        <v/>
      </c>
      <c r="AF84" s="195" t="str">
        <f t="shared" ref="AF84" si="387">IF(E84=0,"",AB84*AE84)</f>
        <v/>
      </c>
      <c r="AG84" s="196" t="str">
        <f>IF(E84=0,"",AF84*'Marginal Capacity Costs Inputs'!T77)</f>
        <v/>
      </c>
      <c r="AH84" s="196" t="str">
        <f>IF(E84=0,"",AF84*'MOC - Calculations'!$E$6)</f>
        <v/>
      </c>
      <c r="AI84" s="199" t="str">
        <f t="shared" ref="AI84" si="388">IF(E84=0,"",Z84-AG84+AH84)</f>
        <v/>
      </c>
      <c r="AJ84" s="195" t="str">
        <f t="shared" ref="AJ84" si="389">IF(E84=0,"",IF(AI84&lt;0,0,AI84))</f>
        <v/>
      </c>
      <c r="AK84" s="195" t="str">
        <f>IF(E84=0,"",AJ84*'Marginal Capacity Costs Inputs'!G77*'MCC - Calculations'!F84)</f>
        <v/>
      </c>
    </row>
    <row r="85" spans="1:37" customFormat="1" ht="14.45"/>
    <row r="86" spans="1:37">
      <c r="A86" s="12"/>
      <c r="D86" s="32">
        <v>32</v>
      </c>
      <c r="E86" s="32">
        <f>IF($E$18="No",0,IF('Marginal Capacity Costs Inputs'!E79="No",0,1))</f>
        <v>0</v>
      </c>
      <c r="F86" s="24" t="str">
        <f>IF(E86=0,"",(1-'RF - Calculations'!$E$6))</f>
        <v/>
      </c>
      <c r="G86" s="24" t="str">
        <f>IF(E86=0,"",IF('Marginal Capacity Costs Inputs'!$H79=Lists!$D$21,SUMIFS($F$13:$F$14,$D$13:$D$14,$E$19)*'Inflation - Calculations'!$E$7,'Marginal Capacity Costs Inputs'!$I80))</f>
        <v/>
      </c>
      <c r="H86" s="24" t="str">
        <f>IF(E86=0,"",IF('Marginal Capacity Costs Inputs'!$J79=Lists!$D$21,SUMIFS($G$13:$G$14,$D$13:$D$14,$E$19)*'Inflation - Calculations'!$E$8,'Marginal Capacity Costs Inputs'!$K80))</f>
        <v/>
      </c>
      <c r="I86" s="24" t="str">
        <f>IF(E86=0,"",SUMIFS($M$13:$M$14,$D$13:$D$14,$E$19))</f>
        <v/>
      </c>
      <c r="J86" s="194" t="str">
        <f>IF(E86=0,"",IF('Marginal Capacity Costs Inputs'!N79="Default",'Marginal Capacity Costs Inputs'!O79,'Marginal Capacity Costs Inputs'!O80)/IF('Marginal Capacity Costs Inputs'!P79="Default",'Marginal Capacity Costs Inputs'!Q79,'Marginal Capacity Costs Inputs'!Q80))</f>
        <v/>
      </c>
      <c r="K86" s="194" t="str">
        <f t="shared" ref="K86" si="390">IF(E86=0,"",J86*I86)</f>
        <v/>
      </c>
      <c r="L86" s="194" t="str">
        <f>IF(E86=0,"",1/IF('Marginal Capacity Costs Inputs'!R79="Default",'Marginal Capacity Costs Inputs'!S79,'Marginal Capacity Costs Inputs'!S80))</f>
        <v/>
      </c>
      <c r="M86" s="194" t="str">
        <f>IF(E86=0,"",I86*((K86+L86)/K86)^SUMIFS($E$13:$E$14,$D$13:$D$14,$E$19))</f>
        <v/>
      </c>
      <c r="N86" s="194" t="str">
        <f>IF(E86=0,"",I86/((IF('Marginal Capacity Costs Inputs'!L79="Default",'Marginal Capacity Costs Inputs'!M79,'Marginal Capacity Costs Inputs'!M80)/(IF('Marginal Capacity Costs Inputs'!R79="Default",'Marginal Capacity Costs Inputs'!S79,'Marginal Capacity Costs Inputs'!S80)*2))))</f>
        <v/>
      </c>
      <c r="O86" s="194" t="str">
        <f t="shared" ref="O86" si="391">IF(E86=0,"",N86/2)</f>
        <v/>
      </c>
      <c r="P86" s="194" t="str">
        <f>IF(E86=0,"",M86/((IF('Marginal Capacity Costs Inputs'!L79="Default",'Marginal Capacity Costs Inputs'!M79,'Marginal Capacity Costs Inputs'!M80)/(IF('Marginal Capacity Costs Inputs'!R79="Default",'Marginal Capacity Costs Inputs'!S79,'Marginal Capacity Costs Inputs'!S80)*2))))</f>
        <v/>
      </c>
      <c r="Q86" s="194" t="str">
        <f t="shared" ref="Q86" si="392">IF(E86=0,"",P86/2)</f>
        <v/>
      </c>
      <c r="R86" s="194" t="str">
        <f t="shared" ref="R86" si="393">IF(E86=0,"",Q86-O86)</f>
        <v/>
      </c>
      <c r="S86" s="194" t="str">
        <f>IF(E86=0,"",(R86*IF('Marginal Capacity Costs Inputs'!H79="Default",'Marginal Capacity Costs Inputs'!I79,'Marginal Capacity Costs Inputs'!I80)))</f>
        <v/>
      </c>
      <c r="T86" s="194" t="str">
        <f>IF(E86=0,"",I86*IF('Marginal Capacity Costs Inputs'!R79="Default",'Marginal Capacity Costs Inputs'!S79,'Marginal Capacity Costs Inputs'!S80)*2)</f>
        <v/>
      </c>
      <c r="U86" s="194" t="str">
        <f t="shared" ref="U86" si="394">IF(E86=0,"",T86/2)</f>
        <v/>
      </c>
      <c r="V86" s="194" t="str">
        <f>IF(E86=0,"",M86*IF('Marginal Capacity Costs Inputs'!R79="Default",'Marginal Capacity Costs Inputs'!S79,'Marginal Capacity Costs Inputs'!S80)*2)</f>
        <v/>
      </c>
      <c r="W86" s="194" t="str">
        <f t="shared" ref="W86" si="395">IF(E86=0,"",V86/2)</f>
        <v/>
      </c>
      <c r="X86" s="194" t="str">
        <f t="shared" ref="X86" si="396">IF(E86=0,"",W86-U86)</f>
        <v/>
      </c>
      <c r="Y86" s="195" t="str">
        <f>IF(E86=0,"",X86*IF('Marginal Capacity Costs Inputs'!J79="Default",'Marginal Capacity Costs Inputs'!K79,'Marginal Capacity Costs Inputs'!K80))</f>
        <v/>
      </c>
      <c r="Z86" s="196" t="str">
        <f t="shared" ref="Z86" si="397">IF(E86=0,"",Y86+S86)</f>
        <v/>
      </c>
      <c r="AA86" s="197" t="str">
        <f t="shared" ref="AA86" si="398">IF(E86=0,"",(M86-I86)/I86)</f>
        <v/>
      </c>
      <c r="AB86" s="197" t="str">
        <f>IF(E86=0,"",AA86*SUMIFS($N$13:$N$14,$D$13:$D$14,$E$19))</f>
        <v/>
      </c>
      <c r="AC86" s="198" t="str">
        <f>IF(E86=0,"",K86*IF('Marginal Capacity Costs Inputs'!R79="Default",'Marginal Capacity Costs Inputs'!S79,'Marginal Capacity Costs Inputs'!S80)*2)</f>
        <v/>
      </c>
      <c r="AD86" s="195" t="str">
        <f t="shared" ref="AD86" si="399">IF(E86=0,"",AC86/2)</f>
        <v/>
      </c>
      <c r="AE86" s="198" t="str">
        <f>IF(E86=0,"",AD86*IF('Marginal Capacity Costs Inputs'!U79="Default",'Marginal Capacity Costs Inputs'!V79,'Marginal Capacity Costs Inputs'!V80))</f>
        <v/>
      </c>
      <c r="AF86" s="195" t="str">
        <f t="shared" ref="AF86" si="400">IF(E86=0,"",AB86*AE86)</f>
        <v/>
      </c>
      <c r="AG86" s="196" t="str">
        <f>IF(E86=0,"",AF86*'Marginal Capacity Costs Inputs'!T79)</f>
        <v/>
      </c>
      <c r="AH86" s="196" t="str">
        <f>IF(E86=0,"",AF86*'MOC - Calculations'!$E$6)</f>
        <v/>
      </c>
      <c r="AI86" s="199" t="str">
        <f t="shared" ref="AI86" si="401">IF(E86=0,"",Z86-AG86+AH86)</f>
        <v/>
      </c>
      <c r="AJ86" s="195" t="str">
        <f t="shared" ref="AJ86" si="402">IF(E86=0,"",IF(AI86&lt;0,0,AI86))</f>
        <v/>
      </c>
      <c r="AK86" s="195" t="str">
        <f>IF(E86=0,"",AJ86*'Marginal Capacity Costs Inputs'!G79*'MCC - Calculations'!F86)</f>
        <v/>
      </c>
    </row>
    <row r="87" spans="1:37" customFormat="1" ht="14.45"/>
    <row r="88" spans="1:37">
      <c r="A88" s="12"/>
      <c r="D88" s="32">
        <v>33</v>
      </c>
      <c r="E88" s="32">
        <f>IF($E$18="No",0,IF('Marginal Capacity Costs Inputs'!E81="No",0,1))</f>
        <v>0</v>
      </c>
      <c r="F88" s="24" t="str">
        <f>IF(E88=0,"",(1-'RF - Calculations'!$E$6))</f>
        <v/>
      </c>
      <c r="G88" s="24" t="str">
        <f>IF(E88=0,"",IF('Marginal Capacity Costs Inputs'!$H81=Lists!$D$21,SUMIFS($F$13:$F$14,$D$13:$D$14,$E$19)*'Inflation - Calculations'!$E$7,'Marginal Capacity Costs Inputs'!$I82))</f>
        <v/>
      </c>
      <c r="H88" s="24" t="str">
        <f>IF(E88=0,"",IF('Marginal Capacity Costs Inputs'!$J81=Lists!$D$21,SUMIFS($G$13:$G$14,$D$13:$D$14,$E$19)*'Inflation - Calculations'!$E$8,'Marginal Capacity Costs Inputs'!$K82))</f>
        <v/>
      </c>
      <c r="I88" s="24" t="str">
        <f>IF(E88=0,"",SUMIFS($M$13:$M$14,$D$13:$D$14,$E$19))</f>
        <v/>
      </c>
      <c r="J88" s="194" t="str">
        <f>IF(E88=0,"",IF('Marginal Capacity Costs Inputs'!N81="Default",'Marginal Capacity Costs Inputs'!O81,'Marginal Capacity Costs Inputs'!O82)/IF('Marginal Capacity Costs Inputs'!P81="Default",'Marginal Capacity Costs Inputs'!Q81,'Marginal Capacity Costs Inputs'!Q82))</f>
        <v/>
      </c>
      <c r="K88" s="194" t="str">
        <f t="shared" ref="K88" si="403">IF(E88=0,"",J88*I88)</f>
        <v/>
      </c>
      <c r="L88" s="194" t="str">
        <f>IF(E88=0,"",1/IF('Marginal Capacity Costs Inputs'!R81="Default",'Marginal Capacity Costs Inputs'!S81,'Marginal Capacity Costs Inputs'!S82))</f>
        <v/>
      </c>
      <c r="M88" s="194" t="str">
        <f>IF(E88=0,"",I88*((K88+L88)/K88)^SUMIFS($E$13:$E$14,$D$13:$D$14,$E$19))</f>
        <v/>
      </c>
      <c r="N88" s="194" t="str">
        <f>IF(E88=0,"",I88/((IF('Marginal Capacity Costs Inputs'!L81="Default",'Marginal Capacity Costs Inputs'!M81,'Marginal Capacity Costs Inputs'!M82)/(IF('Marginal Capacity Costs Inputs'!R81="Default",'Marginal Capacity Costs Inputs'!S81,'Marginal Capacity Costs Inputs'!S82)*2))))</f>
        <v/>
      </c>
      <c r="O88" s="194" t="str">
        <f t="shared" ref="O88" si="404">IF(E88=0,"",N88/2)</f>
        <v/>
      </c>
      <c r="P88" s="194" t="str">
        <f>IF(E88=0,"",M88/((IF('Marginal Capacity Costs Inputs'!L81="Default",'Marginal Capacity Costs Inputs'!M81,'Marginal Capacity Costs Inputs'!M82)/(IF('Marginal Capacity Costs Inputs'!R81="Default",'Marginal Capacity Costs Inputs'!S81,'Marginal Capacity Costs Inputs'!S82)*2))))</f>
        <v/>
      </c>
      <c r="Q88" s="194" t="str">
        <f t="shared" ref="Q88" si="405">IF(E88=0,"",P88/2)</f>
        <v/>
      </c>
      <c r="R88" s="194" t="str">
        <f t="shared" ref="R88" si="406">IF(E88=0,"",Q88-O88)</f>
        <v/>
      </c>
      <c r="S88" s="194" t="str">
        <f>IF(E88=0,"",(R88*IF('Marginal Capacity Costs Inputs'!H81="Default",'Marginal Capacity Costs Inputs'!I81,'Marginal Capacity Costs Inputs'!I82)))</f>
        <v/>
      </c>
      <c r="T88" s="194" t="str">
        <f>IF(E88=0,"",I88*IF('Marginal Capacity Costs Inputs'!R81="Default",'Marginal Capacity Costs Inputs'!S81,'Marginal Capacity Costs Inputs'!S82)*2)</f>
        <v/>
      </c>
      <c r="U88" s="194" t="str">
        <f t="shared" ref="U88" si="407">IF(E88=0,"",T88/2)</f>
        <v/>
      </c>
      <c r="V88" s="194" t="str">
        <f>IF(E88=0,"",M88*IF('Marginal Capacity Costs Inputs'!R81="Default",'Marginal Capacity Costs Inputs'!S81,'Marginal Capacity Costs Inputs'!S82)*2)</f>
        <v/>
      </c>
      <c r="W88" s="194" t="str">
        <f t="shared" ref="W88" si="408">IF(E88=0,"",V88/2)</f>
        <v/>
      </c>
      <c r="X88" s="194" t="str">
        <f t="shared" ref="X88" si="409">IF(E88=0,"",W88-U88)</f>
        <v/>
      </c>
      <c r="Y88" s="195" t="str">
        <f>IF(E88=0,"",X88*IF('Marginal Capacity Costs Inputs'!J81="Default",'Marginal Capacity Costs Inputs'!K81,'Marginal Capacity Costs Inputs'!K82))</f>
        <v/>
      </c>
      <c r="Z88" s="196" t="str">
        <f t="shared" ref="Z88" si="410">IF(E88=0,"",Y88+S88)</f>
        <v/>
      </c>
      <c r="AA88" s="197" t="str">
        <f t="shared" ref="AA88" si="411">IF(E88=0,"",(M88-I88)/I88)</f>
        <v/>
      </c>
      <c r="AB88" s="197" t="str">
        <f>IF(E88=0,"",AA88*SUMIFS($N$13:$N$14,$D$13:$D$14,$E$19))</f>
        <v/>
      </c>
      <c r="AC88" s="198" t="str">
        <f>IF(E88=0,"",K88*IF('Marginal Capacity Costs Inputs'!R81="Default",'Marginal Capacity Costs Inputs'!S81,'Marginal Capacity Costs Inputs'!S82)*2)</f>
        <v/>
      </c>
      <c r="AD88" s="195" t="str">
        <f t="shared" ref="AD88" si="412">IF(E88=0,"",AC88/2)</f>
        <v/>
      </c>
      <c r="AE88" s="198" t="str">
        <f>IF(E88=0,"",AD88*IF('Marginal Capacity Costs Inputs'!U81="Default",'Marginal Capacity Costs Inputs'!V81,'Marginal Capacity Costs Inputs'!V82))</f>
        <v/>
      </c>
      <c r="AF88" s="195" t="str">
        <f t="shared" ref="AF88" si="413">IF(E88=0,"",AB88*AE88)</f>
        <v/>
      </c>
      <c r="AG88" s="196" t="str">
        <f>IF(E88=0,"",AF88*'Marginal Capacity Costs Inputs'!T81)</f>
        <v/>
      </c>
      <c r="AH88" s="196" t="str">
        <f>IF(E88=0,"",AF88*'MOC - Calculations'!$E$6)</f>
        <v/>
      </c>
      <c r="AI88" s="199" t="str">
        <f t="shared" ref="AI88" si="414">IF(E88=0,"",Z88-AG88+AH88)</f>
        <v/>
      </c>
      <c r="AJ88" s="195" t="str">
        <f t="shared" ref="AJ88" si="415">IF(E88=0,"",IF(AI88&lt;0,0,AI88))</f>
        <v/>
      </c>
      <c r="AK88" s="195" t="str">
        <f>IF(E88=0,"",AJ88*'Marginal Capacity Costs Inputs'!G81*'MCC - Calculations'!F88)</f>
        <v/>
      </c>
    </row>
    <row r="89" spans="1:37" customFormat="1" ht="14.45"/>
    <row r="90" spans="1:37">
      <c r="A90" s="12"/>
      <c r="D90" s="32">
        <v>34</v>
      </c>
      <c r="E90" s="32">
        <f>IF($E$18="No",0,IF('Marginal Capacity Costs Inputs'!E83="No",0,1))</f>
        <v>0</v>
      </c>
      <c r="F90" s="24" t="str">
        <f>IF(E90=0,"",(1-'RF - Calculations'!$E$6))</f>
        <v/>
      </c>
      <c r="G90" s="24" t="str">
        <f>IF(E90=0,"",IF('Marginal Capacity Costs Inputs'!$H83=Lists!$D$21,SUMIFS($F$13:$F$14,$D$13:$D$14,$E$19)*'Inflation - Calculations'!$E$7,'Marginal Capacity Costs Inputs'!$I84))</f>
        <v/>
      </c>
      <c r="H90" s="24" t="str">
        <f>IF(E90=0,"",IF('Marginal Capacity Costs Inputs'!$J83=Lists!$D$21,SUMIFS($G$13:$G$14,$D$13:$D$14,$E$19)*'Inflation - Calculations'!$E$8,'Marginal Capacity Costs Inputs'!$K84))</f>
        <v/>
      </c>
      <c r="I90" s="24" t="str">
        <f>IF(E90=0,"",SUMIFS($M$13:$M$14,$D$13:$D$14,$E$19))</f>
        <v/>
      </c>
      <c r="J90" s="194" t="str">
        <f>IF(E90=0,"",IF('Marginal Capacity Costs Inputs'!N83="Default",'Marginal Capacity Costs Inputs'!O83,'Marginal Capacity Costs Inputs'!O84)/IF('Marginal Capacity Costs Inputs'!P83="Default",'Marginal Capacity Costs Inputs'!Q83,'Marginal Capacity Costs Inputs'!Q84))</f>
        <v/>
      </c>
      <c r="K90" s="194" t="str">
        <f t="shared" ref="K90" si="416">IF(E90=0,"",J90*I90)</f>
        <v/>
      </c>
      <c r="L90" s="194" t="str">
        <f>IF(E90=0,"",1/IF('Marginal Capacity Costs Inputs'!R83="Default",'Marginal Capacity Costs Inputs'!S83,'Marginal Capacity Costs Inputs'!S84))</f>
        <v/>
      </c>
      <c r="M90" s="194" t="str">
        <f>IF(E90=0,"",I90*((K90+L90)/K90)^SUMIFS($E$13:$E$14,$D$13:$D$14,$E$19))</f>
        <v/>
      </c>
      <c r="N90" s="194" t="str">
        <f>IF(E90=0,"",I90/((IF('Marginal Capacity Costs Inputs'!L83="Default",'Marginal Capacity Costs Inputs'!M83,'Marginal Capacity Costs Inputs'!M84)/(IF('Marginal Capacity Costs Inputs'!R83="Default",'Marginal Capacity Costs Inputs'!S83,'Marginal Capacity Costs Inputs'!S84)*2))))</f>
        <v/>
      </c>
      <c r="O90" s="194" t="str">
        <f t="shared" ref="O90" si="417">IF(E90=0,"",N90/2)</f>
        <v/>
      </c>
      <c r="P90" s="194" t="str">
        <f>IF(E90=0,"",M90/((IF('Marginal Capacity Costs Inputs'!L83="Default",'Marginal Capacity Costs Inputs'!M83,'Marginal Capacity Costs Inputs'!M84)/(IF('Marginal Capacity Costs Inputs'!R83="Default",'Marginal Capacity Costs Inputs'!S83,'Marginal Capacity Costs Inputs'!S84)*2))))</f>
        <v/>
      </c>
      <c r="Q90" s="194" t="str">
        <f t="shared" ref="Q90" si="418">IF(E90=0,"",P90/2)</f>
        <v/>
      </c>
      <c r="R90" s="194" t="str">
        <f t="shared" ref="R90" si="419">IF(E90=0,"",Q90-O90)</f>
        <v/>
      </c>
      <c r="S90" s="194" t="str">
        <f>IF(E90=0,"",(R90*IF('Marginal Capacity Costs Inputs'!H83="Default",'Marginal Capacity Costs Inputs'!I83,'Marginal Capacity Costs Inputs'!I84)))</f>
        <v/>
      </c>
      <c r="T90" s="194" t="str">
        <f>IF(E90=0,"",I90*IF('Marginal Capacity Costs Inputs'!R83="Default",'Marginal Capacity Costs Inputs'!S83,'Marginal Capacity Costs Inputs'!S84)*2)</f>
        <v/>
      </c>
      <c r="U90" s="194" t="str">
        <f t="shared" ref="U90" si="420">IF(E90=0,"",T90/2)</f>
        <v/>
      </c>
      <c r="V90" s="194" t="str">
        <f>IF(E90=0,"",M90*IF('Marginal Capacity Costs Inputs'!R83="Default",'Marginal Capacity Costs Inputs'!S83,'Marginal Capacity Costs Inputs'!S84)*2)</f>
        <v/>
      </c>
      <c r="W90" s="194" t="str">
        <f t="shared" ref="W90" si="421">IF(E90=0,"",V90/2)</f>
        <v/>
      </c>
      <c r="X90" s="194" t="str">
        <f t="shared" ref="X90" si="422">IF(E90=0,"",W90-U90)</f>
        <v/>
      </c>
      <c r="Y90" s="195" t="str">
        <f>IF(E90=0,"",X90*IF('Marginal Capacity Costs Inputs'!J83="Default",'Marginal Capacity Costs Inputs'!K83,'Marginal Capacity Costs Inputs'!K84))</f>
        <v/>
      </c>
      <c r="Z90" s="196" t="str">
        <f t="shared" ref="Z90" si="423">IF(E90=0,"",Y90+S90)</f>
        <v/>
      </c>
      <c r="AA90" s="197" t="str">
        <f t="shared" ref="AA90" si="424">IF(E90=0,"",(M90-I90)/I90)</f>
        <v/>
      </c>
      <c r="AB90" s="197" t="str">
        <f>IF(E90=0,"",AA90*SUMIFS($N$13:$N$14,$D$13:$D$14,$E$19))</f>
        <v/>
      </c>
      <c r="AC90" s="198" t="str">
        <f>IF(E90=0,"",K90*IF('Marginal Capacity Costs Inputs'!R83="Default",'Marginal Capacity Costs Inputs'!S83,'Marginal Capacity Costs Inputs'!S84)*2)</f>
        <v/>
      </c>
      <c r="AD90" s="195" t="str">
        <f t="shared" ref="AD90" si="425">IF(E90=0,"",AC90/2)</f>
        <v/>
      </c>
      <c r="AE90" s="198" t="str">
        <f>IF(E90=0,"",AD90*IF('Marginal Capacity Costs Inputs'!U83="Default",'Marginal Capacity Costs Inputs'!V83,'Marginal Capacity Costs Inputs'!V84))</f>
        <v/>
      </c>
      <c r="AF90" s="195" t="str">
        <f t="shared" ref="AF90" si="426">IF(E90=0,"",AB90*AE90)</f>
        <v/>
      </c>
      <c r="AG90" s="196" t="str">
        <f>IF(E90=0,"",AF90*'Marginal Capacity Costs Inputs'!T83)</f>
        <v/>
      </c>
      <c r="AH90" s="196" t="str">
        <f>IF(E90=0,"",AF90*'MOC - Calculations'!$E$6)</f>
        <v/>
      </c>
      <c r="AI90" s="199" t="str">
        <f t="shared" ref="AI90" si="427">IF(E90=0,"",Z90-AG90+AH90)</f>
        <v/>
      </c>
      <c r="AJ90" s="195" t="str">
        <f t="shared" ref="AJ90" si="428">IF(E90=0,"",IF(AI90&lt;0,0,AI90))</f>
        <v/>
      </c>
      <c r="AK90" s="195" t="str">
        <f>IF(E90=0,"",AJ90*'Marginal Capacity Costs Inputs'!G83*'MCC - Calculations'!F90)</f>
        <v/>
      </c>
    </row>
    <row r="91" spans="1:37" customFormat="1" ht="14.45"/>
    <row r="92" spans="1:37">
      <c r="A92" s="12"/>
      <c r="D92" s="32">
        <v>35</v>
      </c>
      <c r="E92" s="32">
        <f>IF($E$18="No",0,IF('Marginal Capacity Costs Inputs'!E85="No",0,1))</f>
        <v>0</v>
      </c>
      <c r="F92" s="24" t="str">
        <f>IF(E92=0,"",(1-'RF - Calculations'!$E$6))</f>
        <v/>
      </c>
      <c r="G92" s="24" t="str">
        <f>IF(E92=0,"",IF('Marginal Capacity Costs Inputs'!$H85=Lists!$D$21,SUMIFS($F$13:$F$14,$D$13:$D$14,$E$19)*'Inflation - Calculations'!$E$7,'Marginal Capacity Costs Inputs'!$I86))</f>
        <v/>
      </c>
      <c r="H92" s="24" t="str">
        <f>IF(E92=0,"",IF('Marginal Capacity Costs Inputs'!$J85=Lists!$D$21,SUMIFS($G$13:$G$14,$D$13:$D$14,$E$19)*'Inflation - Calculations'!$E$8,'Marginal Capacity Costs Inputs'!$K86))</f>
        <v/>
      </c>
      <c r="I92" s="24" t="str">
        <f>IF(E92=0,"",SUMIFS($M$13:$M$14,$D$13:$D$14,$E$19))</f>
        <v/>
      </c>
      <c r="J92" s="194" t="str">
        <f>IF(E92=0,"",IF('Marginal Capacity Costs Inputs'!N85="Default",'Marginal Capacity Costs Inputs'!O85,'Marginal Capacity Costs Inputs'!O86)/IF('Marginal Capacity Costs Inputs'!P85="Default",'Marginal Capacity Costs Inputs'!Q85,'Marginal Capacity Costs Inputs'!Q86))</f>
        <v/>
      </c>
      <c r="K92" s="194" t="str">
        <f t="shared" ref="K92" si="429">IF(E92=0,"",J92*I92)</f>
        <v/>
      </c>
      <c r="L92" s="194" t="str">
        <f>IF(E92=0,"",1/IF('Marginal Capacity Costs Inputs'!R85="Default",'Marginal Capacity Costs Inputs'!S85,'Marginal Capacity Costs Inputs'!S86))</f>
        <v/>
      </c>
      <c r="M92" s="194" t="str">
        <f>IF(E92=0,"",I92*((K92+L92)/K92)^SUMIFS($E$13:$E$14,$D$13:$D$14,$E$19))</f>
        <v/>
      </c>
      <c r="N92" s="194" t="str">
        <f>IF(E92=0,"",I92/((IF('Marginal Capacity Costs Inputs'!L85="Default",'Marginal Capacity Costs Inputs'!M85,'Marginal Capacity Costs Inputs'!M86)/(IF('Marginal Capacity Costs Inputs'!R85="Default",'Marginal Capacity Costs Inputs'!S85,'Marginal Capacity Costs Inputs'!S86)*2))))</f>
        <v/>
      </c>
      <c r="O92" s="194" t="str">
        <f t="shared" ref="O92" si="430">IF(E92=0,"",N92/2)</f>
        <v/>
      </c>
      <c r="P92" s="194" t="str">
        <f>IF(E92=0,"",M92/((IF('Marginal Capacity Costs Inputs'!L85="Default",'Marginal Capacity Costs Inputs'!M85,'Marginal Capacity Costs Inputs'!M86)/(IF('Marginal Capacity Costs Inputs'!R85="Default",'Marginal Capacity Costs Inputs'!S85,'Marginal Capacity Costs Inputs'!S86)*2))))</f>
        <v/>
      </c>
      <c r="Q92" s="194" t="str">
        <f t="shared" ref="Q92" si="431">IF(E92=0,"",P92/2)</f>
        <v/>
      </c>
      <c r="R92" s="194" t="str">
        <f t="shared" ref="R92" si="432">IF(E92=0,"",Q92-O92)</f>
        <v/>
      </c>
      <c r="S92" s="194" t="str">
        <f>IF(E92=0,"",(R92*IF('Marginal Capacity Costs Inputs'!H85="Default",'Marginal Capacity Costs Inputs'!I85,'Marginal Capacity Costs Inputs'!I86)))</f>
        <v/>
      </c>
      <c r="T92" s="194" t="str">
        <f>IF(E92=0,"",I92*IF('Marginal Capacity Costs Inputs'!R85="Default",'Marginal Capacity Costs Inputs'!S85,'Marginal Capacity Costs Inputs'!S86)*2)</f>
        <v/>
      </c>
      <c r="U92" s="194" t="str">
        <f t="shared" ref="U92" si="433">IF(E92=0,"",T92/2)</f>
        <v/>
      </c>
      <c r="V92" s="194" t="str">
        <f>IF(E92=0,"",M92*IF('Marginal Capacity Costs Inputs'!R85="Default",'Marginal Capacity Costs Inputs'!S85,'Marginal Capacity Costs Inputs'!S86)*2)</f>
        <v/>
      </c>
      <c r="W92" s="194" t="str">
        <f t="shared" ref="W92" si="434">IF(E92=0,"",V92/2)</f>
        <v/>
      </c>
      <c r="X92" s="194" t="str">
        <f t="shared" ref="X92" si="435">IF(E92=0,"",W92-U92)</f>
        <v/>
      </c>
      <c r="Y92" s="195" t="str">
        <f>IF(E92=0,"",X92*IF('Marginal Capacity Costs Inputs'!J85="Default",'Marginal Capacity Costs Inputs'!K85,'Marginal Capacity Costs Inputs'!K86))</f>
        <v/>
      </c>
      <c r="Z92" s="196" t="str">
        <f t="shared" ref="Z92" si="436">IF(E92=0,"",Y92+S92)</f>
        <v/>
      </c>
      <c r="AA92" s="197" t="str">
        <f t="shared" ref="AA92" si="437">IF(E92=0,"",(M92-I92)/I92)</f>
        <v/>
      </c>
      <c r="AB92" s="197" t="str">
        <f>IF(E92=0,"",AA92*SUMIFS($N$13:$N$14,$D$13:$D$14,$E$19))</f>
        <v/>
      </c>
      <c r="AC92" s="198" t="str">
        <f>IF(E92=0,"",K92*IF('Marginal Capacity Costs Inputs'!R85="Default",'Marginal Capacity Costs Inputs'!S85,'Marginal Capacity Costs Inputs'!S86)*2)</f>
        <v/>
      </c>
      <c r="AD92" s="195" t="str">
        <f t="shared" ref="AD92" si="438">IF(E92=0,"",AC92/2)</f>
        <v/>
      </c>
      <c r="AE92" s="198" t="str">
        <f>IF(E92=0,"",AD92*IF('Marginal Capacity Costs Inputs'!U85="Default",'Marginal Capacity Costs Inputs'!V85,'Marginal Capacity Costs Inputs'!V86))</f>
        <v/>
      </c>
      <c r="AF92" s="195" t="str">
        <f t="shared" ref="AF92" si="439">IF(E92=0,"",AB92*AE92)</f>
        <v/>
      </c>
      <c r="AG92" s="196" t="str">
        <f>IF(E92=0,"",AF92*'Marginal Capacity Costs Inputs'!T85)</f>
        <v/>
      </c>
      <c r="AH92" s="196" t="str">
        <f>IF(E92=0,"",AF92*'MOC - Calculations'!$E$6)</f>
        <v/>
      </c>
      <c r="AI92" s="199" t="str">
        <f t="shared" ref="AI92" si="440">IF(E92=0,"",Z92-AG92+AH92)</f>
        <v/>
      </c>
      <c r="AJ92" s="195" t="str">
        <f t="shared" ref="AJ92" si="441">IF(E92=0,"",IF(AI92&lt;0,0,AI92))</f>
        <v/>
      </c>
      <c r="AK92" s="195" t="str">
        <f>IF(E92=0,"",AJ92*'Marginal Capacity Costs Inputs'!G85*'MCC - Calculations'!F92)</f>
        <v/>
      </c>
    </row>
    <row r="93" spans="1:37" customFormat="1" ht="14.45"/>
    <row r="94" spans="1:37">
      <c r="A94" s="12"/>
      <c r="D94" s="32">
        <v>36</v>
      </c>
      <c r="E94" s="32">
        <f>IF($E$18="No",0,IF('Marginal Capacity Costs Inputs'!E87="No",0,1))</f>
        <v>0</v>
      </c>
      <c r="F94" s="24" t="str">
        <f>IF(E94=0,"",(1-'RF - Calculations'!$E$6))</f>
        <v/>
      </c>
      <c r="G94" s="24" t="str">
        <f>IF(E94=0,"",IF('Marginal Capacity Costs Inputs'!$H87=Lists!$D$21,SUMIFS($F$13:$F$14,$D$13:$D$14,$E$19)*'Inflation - Calculations'!$E$7,'Marginal Capacity Costs Inputs'!$I88))</f>
        <v/>
      </c>
      <c r="H94" s="24" t="str">
        <f>IF(E94=0,"",IF('Marginal Capacity Costs Inputs'!$J87=Lists!$D$21,SUMIFS($G$13:$G$14,$D$13:$D$14,$E$19)*'Inflation - Calculations'!$E$8,'Marginal Capacity Costs Inputs'!$K88))</f>
        <v/>
      </c>
      <c r="I94" s="24" t="str">
        <f>IF(E94=0,"",SUMIFS($M$13:$M$14,$D$13:$D$14,$E$19))</f>
        <v/>
      </c>
      <c r="J94" s="194" t="str">
        <f>IF(E94=0,"",IF('Marginal Capacity Costs Inputs'!N87="Default",'Marginal Capacity Costs Inputs'!O87,'Marginal Capacity Costs Inputs'!O88)/IF('Marginal Capacity Costs Inputs'!P87="Default",'Marginal Capacity Costs Inputs'!Q87,'Marginal Capacity Costs Inputs'!Q88))</f>
        <v/>
      </c>
      <c r="K94" s="194" t="str">
        <f t="shared" ref="K94" si="442">IF(E94=0,"",J94*I94)</f>
        <v/>
      </c>
      <c r="L94" s="194" t="str">
        <f>IF(E94=0,"",1/IF('Marginal Capacity Costs Inputs'!R87="Default",'Marginal Capacity Costs Inputs'!S87,'Marginal Capacity Costs Inputs'!S88))</f>
        <v/>
      </c>
      <c r="M94" s="194" t="str">
        <f>IF(E94=0,"",I94*((K94+L94)/K94)^SUMIFS($E$13:$E$14,$D$13:$D$14,$E$19))</f>
        <v/>
      </c>
      <c r="N94" s="194" t="str">
        <f>IF(E94=0,"",I94/((IF('Marginal Capacity Costs Inputs'!L87="Default",'Marginal Capacity Costs Inputs'!M87,'Marginal Capacity Costs Inputs'!M88)/(IF('Marginal Capacity Costs Inputs'!R87="Default",'Marginal Capacity Costs Inputs'!S87,'Marginal Capacity Costs Inputs'!S88)*2))))</f>
        <v/>
      </c>
      <c r="O94" s="194" t="str">
        <f t="shared" ref="O94" si="443">IF(E94=0,"",N94/2)</f>
        <v/>
      </c>
      <c r="P94" s="194" t="str">
        <f>IF(E94=0,"",M94/((IF('Marginal Capacity Costs Inputs'!L87="Default",'Marginal Capacity Costs Inputs'!M87,'Marginal Capacity Costs Inputs'!M88)/(IF('Marginal Capacity Costs Inputs'!R87="Default",'Marginal Capacity Costs Inputs'!S87,'Marginal Capacity Costs Inputs'!S88)*2))))</f>
        <v/>
      </c>
      <c r="Q94" s="194" t="str">
        <f t="shared" ref="Q94" si="444">IF(E94=0,"",P94/2)</f>
        <v/>
      </c>
      <c r="R94" s="194" t="str">
        <f t="shared" ref="R94" si="445">IF(E94=0,"",Q94-O94)</f>
        <v/>
      </c>
      <c r="S94" s="194" t="str">
        <f>IF(E94=0,"",(R94*IF('Marginal Capacity Costs Inputs'!H87="Default",'Marginal Capacity Costs Inputs'!I87,'Marginal Capacity Costs Inputs'!I88)))</f>
        <v/>
      </c>
      <c r="T94" s="194" t="str">
        <f>IF(E94=0,"",I94*IF('Marginal Capacity Costs Inputs'!R87="Default",'Marginal Capacity Costs Inputs'!S87,'Marginal Capacity Costs Inputs'!S88)*2)</f>
        <v/>
      </c>
      <c r="U94" s="194" t="str">
        <f t="shared" ref="U94" si="446">IF(E94=0,"",T94/2)</f>
        <v/>
      </c>
      <c r="V94" s="194" t="str">
        <f>IF(E94=0,"",M94*IF('Marginal Capacity Costs Inputs'!R87="Default",'Marginal Capacity Costs Inputs'!S87,'Marginal Capacity Costs Inputs'!S88)*2)</f>
        <v/>
      </c>
      <c r="W94" s="194" t="str">
        <f t="shared" ref="W94" si="447">IF(E94=0,"",V94/2)</f>
        <v/>
      </c>
      <c r="X94" s="194" t="str">
        <f t="shared" ref="X94" si="448">IF(E94=0,"",W94-U94)</f>
        <v/>
      </c>
      <c r="Y94" s="195" t="str">
        <f>IF(E94=0,"",X94*IF('Marginal Capacity Costs Inputs'!J87="Default",'Marginal Capacity Costs Inputs'!K87,'Marginal Capacity Costs Inputs'!K88))</f>
        <v/>
      </c>
      <c r="Z94" s="196" t="str">
        <f t="shared" ref="Z94" si="449">IF(E94=0,"",Y94+S94)</f>
        <v/>
      </c>
      <c r="AA94" s="197" t="str">
        <f t="shared" ref="AA94" si="450">IF(E94=0,"",(M94-I94)/I94)</f>
        <v/>
      </c>
      <c r="AB94" s="197" t="str">
        <f>IF(E94=0,"",AA94*SUMIFS($N$13:$N$14,$D$13:$D$14,$E$19))</f>
        <v/>
      </c>
      <c r="AC94" s="198" t="str">
        <f>IF(E94=0,"",K94*IF('Marginal Capacity Costs Inputs'!R87="Default",'Marginal Capacity Costs Inputs'!S87,'Marginal Capacity Costs Inputs'!S88)*2)</f>
        <v/>
      </c>
      <c r="AD94" s="195" t="str">
        <f t="shared" ref="AD94" si="451">IF(E94=0,"",AC94/2)</f>
        <v/>
      </c>
      <c r="AE94" s="198" t="str">
        <f>IF(E94=0,"",AD94*IF('Marginal Capacity Costs Inputs'!U87="Default",'Marginal Capacity Costs Inputs'!V87,'Marginal Capacity Costs Inputs'!V88))</f>
        <v/>
      </c>
      <c r="AF94" s="195" t="str">
        <f t="shared" ref="AF94" si="452">IF(E94=0,"",AB94*AE94)</f>
        <v/>
      </c>
      <c r="AG94" s="196" t="str">
        <f>IF(E94=0,"",AF94*'Marginal Capacity Costs Inputs'!T87)</f>
        <v/>
      </c>
      <c r="AH94" s="196" t="str">
        <f>IF(E94=0,"",AF94*'MOC - Calculations'!$E$6)</f>
        <v/>
      </c>
      <c r="AI94" s="199" t="str">
        <f t="shared" ref="AI94" si="453">IF(E94=0,"",Z94-AG94+AH94)</f>
        <v/>
      </c>
      <c r="AJ94" s="195" t="str">
        <f t="shared" ref="AJ94" si="454">IF(E94=0,"",IF(AI94&lt;0,0,AI94))</f>
        <v/>
      </c>
      <c r="AK94" s="195" t="str">
        <f>IF(E94=0,"",AJ94*'Marginal Capacity Costs Inputs'!G87*'MCC - Calculations'!F94)</f>
        <v/>
      </c>
    </row>
    <row r="95" spans="1:37" customFormat="1" ht="14.45"/>
    <row r="96" spans="1:37">
      <c r="A96" s="12"/>
      <c r="D96" s="32">
        <v>37</v>
      </c>
      <c r="E96" s="32">
        <f>IF($E$18="No",0,IF('Marginal Capacity Costs Inputs'!E89="No",0,1))</f>
        <v>0</v>
      </c>
      <c r="F96" s="24" t="str">
        <f>IF(E96=0,"",(1-'RF - Calculations'!$E$6))</f>
        <v/>
      </c>
      <c r="G96" s="24" t="str">
        <f>IF(E96=0,"",IF('Marginal Capacity Costs Inputs'!$H89=Lists!$D$21,SUMIFS($F$13:$F$14,$D$13:$D$14,$E$19)*'Inflation - Calculations'!$E$7,'Marginal Capacity Costs Inputs'!$I90))</f>
        <v/>
      </c>
      <c r="H96" s="24" t="str">
        <f>IF(E96=0,"",IF('Marginal Capacity Costs Inputs'!$J89=Lists!$D$21,SUMIFS($G$13:$G$14,$D$13:$D$14,$E$19)*'Inflation - Calculations'!$E$8,'Marginal Capacity Costs Inputs'!$K90))</f>
        <v/>
      </c>
      <c r="I96" s="24" t="str">
        <f>IF(E96=0,"",SUMIFS($M$13:$M$14,$D$13:$D$14,$E$19))</f>
        <v/>
      </c>
      <c r="J96" s="194" t="str">
        <f>IF(E96=0,"",IF('Marginal Capacity Costs Inputs'!N89="Default",'Marginal Capacity Costs Inputs'!O89,'Marginal Capacity Costs Inputs'!O90)/IF('Marginal Capacity Costs Inputs'!P89="Default",'Marginal Capacity Costs Inputs'!Q89,'Marginal Capacity Costs Inputs'!Q90))</f>
        <v/>
      </c>
      <c r="K96" s="194" t="str">
        <f t="shared" ref="K96" si="455">IF(E96=0,"",J96*I96)</f>
        <v/>
      </c>
      <c r="L96" s="194" t="str">
        <f>IF(E96=0,"",1/IF('Marginal Capacity Costs Inputs'!R89="Default",'Marginal Capacity Costs Inputs'!S89,'Marginal Capacity Costs Inputs'!S90))</f>
        <v/>
      </c>
      <c r="M96" s="194" t="str">
        <f>IF(E96=0,"",I96*((K96+L96)/K96)^SUMIFS($E$13:$E$14,$D$13:$D$14,$E$19))</f>
        <v/>
      </c>
      <c r="N96" s="194" t="str">
        <f>IF(E96=0,"",I96/((IF('Marginal Capacity Costs Inputs'!L89="Default",'Marginal Capacity Costs Inputs'!M89,'Marginal Capacity Costs Inputs'!M90)/(IF('Marginal Capacity Costs Inputs'!R89="Default",'Marginal Capacity Costs Inputs'!S89,'Marginal Capacity Costs Inputs'!S90)*2))))</f>
        <v/>
      </c>
      <c r="O96" s="194" t="str">
        <f t="shared" ref="O96" si="456">IF(E96=0,"",N96/2)</f>
        <v/>
      </c>
      <c r="P96" s="194" t="str">
        <f>IF(E96=0,"",M96/((IF('Marginal Capacity Costs Inputs'!L89="Default",'Marginal Capacity Costs Inputs'!M89,'Marginal Capacity Costs Inputs'!M90)/(IF('Marginal Capacity Costs Inputs'!R89="Default",'Marginal Capacity Costs Inputs'!S89,'Marginal Capacity Costs Inputs'!S90)*2))))</f>
        <v/>
      </c>
      <c r="Q96" s="194" t="str">
        <f t="shared" ref="Q96" si="457">IF(E96=0,"",P96/2)</f>
        <v/>
      </c>
      <c r="R96" s="194" t="str">
        <f t="shared" ref="R96" si="458">IF(E96=0,"",Q96-O96)</f>
        <v/>
      </c>
      <c r="S96" s="194" t="str">
        <f>IF(E96=0,"",(R96*IF('Marginal Capacity Costs Inputs'!H89="Default",'Marginal Capacity Costs Inputs'!I89,'Marginal Capacity Costs Inputs'!I90)))</f>
        <v/>
      </c>
      <c r="T96" s="194" t="str">
        <f>IF(E96=0,"",I96*IF('Marginal Capacity Costs Inputs'!R89="Default",'Marginal Capacity Costs Inputs'!S89,'Marginal Capacity Costs Inputs'!S90)*2)</f>
        <v/>
      </c>
      <c r="U96" s="194" t="str">
        <f t="shared" ref="U96" si="459">IF(E96=0,"",T96/2)</f>
        <v/>
      </c>
      <c r="V96" s="194" t="str">
        <f>IF(E96=0,"",M96*IF('Marginal Capacity Costs Inputs'!R89="Default",'Marginal Capacity Costs Inputs'!S89,'Marginal Capacity Costs Inputs'!S90)*2)</f>
        <v/>
      </c>
      <c r="W96" s="194" t="str">
        <f t="shared" ref="W96" si="460">IF(E96=0,"",V96/2)</f>
        <v/>
      </c>
      <c r="X96" s="194" t="str">
        <f t="shared" ref="X96" si="461">IF(E96=0,"",W96-U96)</f>
        <v/>
      </c>
      <c r="Y96" s="195" t="str">
        <f>IF(E96=0,"",X96*IF('Marginal Capacity Costs Inputs'!J89="Default",'Marginal Capacity Costs Inputs'!K89,'Marginal Capacity Costs Inputs'!K90))</f>
        <v/>
      </c>
      <c r="Z96" s="196" t="str">
        <f t="shared" ref="Z96" si="462">IF(E96=0,"",Y96+S96)</f>
        <v/>
      </c>
      <c r="AA96" s="197" t="str">
        <f t="shared" ref="AA96" si="463">IF(E96=0,"",(M96-I96)/I96)</f>
        <v/>
      </c>
      <c r="AB96" s="197" t="str">
        <f>IF(E96=0,"",AA96*SUMIFS($N$13:$N$14,$D$13:$D$14,$E$19))</f>
        <v/>
      </c>
      <c r="AC96" s="198" t="str">
        <f>IF(E96=0,"",K96*IF('Marginal Capacity Costs Inputs'!R89="Default",'Marginal Capacity Costs Inputs'!S89,'Marginal Capacity Costs Inputs'!S90)*2)</f>
        <v/>
      </c>
      <c r="AD96" s="195" t="str">
        <f t="shared" ref="AD96" si="464">IF(E96=0,"",AC96/2)</f>
        <v/>
      </c>
      <c r="AE96" s="198" t="str">
        <f>IF(E96=0,"",AD96*IF('Marginal Capacity Costs Inputs'!U89="Default",'Marginal Capacity Costs Inputs'!V89,'Marginal Capacity Costs Inputs'!V90))</f>
        <v/>
      </c>
      <c r="AF96" s="195" t="str">
        <f t="shared" ref="AF96" si="465">IF(E96=0,"",AB96*AE96)</f>
        <v/>
      </c>
      <c r="AG96" s="196" t="str">
        <f>IF(E96=0,"",AF96*'Marginal Capacity Costs Inputs'!T89)</f>
        <v/>
      </c>
      <c r="AH96" s="196" t="str">
        <f>IF(E96=0,"",AF96*'MOC - Calculations'!$E$6)</f>
        <v/>
      </c>
      <c r="AI96" s="199" t="str">
        <f t="shared" ref="AI96" si="466">IF(E96=0,"",Z96-AG96+AH96)</f>
        <v/>
      </c>
      <c r="AJ96" s="195" t="str">
        <f t="shared" ref="AJ96" si="467">IF(E96=0,"",IF(AI96&lt;0,0,AI96))</f>
        <v/>
      </c>
      <c r="AK96" s="195" t="str">
        <f>IF(E96=0,"",AJ96*'Marginal Capacity Costs Inputs'!G89*'MCC - Calculations'!F96)</f>
        <v/>
      </c>
    </row>
    <row r="97" spans="1:37" customFormat="1" ht="14.45"/>
    <row r="98" spans="1:37">
      <c r="A98" s="12"/>
      <c r="D98" s="32">
        <v>38</v>
      </c>
      <c r="E98" s="32">
        <f>IF($E$18="No",0,IF('Marginal Capacity Costs Inputs'!E91="No",0,1))</f>
        <v>0</v>
      </c>
      <c r="F98" s="24" t="str">
        <f>IF(E98=0,"",(1-'RF - Calculations'!$E$6))</f>
        <v/>
      </c>
      <c r="G98" s="24" t="str">
        <f>IF(E98=0,"",IF('Marginal Capacity Costs Inputs'!$H91=Lists!$D$21,SUMIFS($F$13:$F$14,$D$13:$D$14,$E$19)*'Inflation - Calculations'!$E$7,'Marginal Capacity Costs Inputs'!$I92))</f>
        <v/>
      </c>
      <c r="H98" s="24" t="str">
        <f>IF(E98=0,"",IF('Marginal Capacity Costs Inputs'!$J91=Lists!$D$21,SUMIFS($G$13:$G$14,$D$13:$D$14,$E$19)*'Inflation - Calculations'!$E$8,'Marginal Capacity Costs Inputs'!$K92))</f>
        <v/>
      </c>
      <c r="I98" s="24" t="str">
        <f>IF(E98=0,"",SUMIFS($M$13:$M$14,$D$13:$D$14,$E$19))</f>
        <v/>
      </c>
      <c r="J98" s="194" t="str">
        <f>IF(E98=0,"",IF('Marginal Capacity Costs Inputs'!N91="Default",'Marginal Capacity Costs Inputs'!O91,'Marginal Capacity Costs Inputs'!O92)/IF('Marginal Capacity Costs Inputs'!P91="Default",'Marginal Capacity Costs Inputs'!Q91,'Marginal Capacity Costs Inputs'!Q92))</f>
        <v/>
      </c>
      <c r="K98" s="194" t="str">
        <f t="shared" ref="K98" si="468">IF(E98=0,"",J98*I98)</f>
        <v/>
      </c>
      <c r="L98" s="194" t="str">
        <f>IF(E98=0,"",1/IF('Marginal Capacity Costs Inputs'!R91="Default",'Marginal Capacity Costs Inputs'!S91,'Marginal Capacity Costs Inputs'!S92))</f>
        <v/>
      </c>
      <c r="M98" s="194" t="str">
        <f>IF(E98=0,"",I98*((K98+L98)/K98)^SUMIFS($E$13:$E$14,$D$13:$D$14,$E$19))</f>
        <v/>
      </c>
      <c r="N98" s="194" t="str">
        <f>IF(E98=0,"",I98/((IF('Marginal Capacity Costs Inputs'!L91="Default",'Marginal Capacity Costs Inputs'!M91,'Marginal Capacity Costs Inputs'!M92)/(IF('Marginal Capacity Costs Inputs'!R91="Default",'Marginal Capacity Costs Inputs'!S91,'Marginal Capacity Costs Inputs'!S92)*2))))</f>
        <v/>
      </c>
      <c r="O98" s="194" t="str">
        <f t="shared" ref="O98" si="469">IF(E98=0,"",N98/2)</f>
        <v/>
      </c>
      <c r="P98" s="194" t="str">
        <f>IF(E98=0,"",M98/((IF('Marginal Capacity Costs Inputs'!L91="Default",'Marginal Capacity Costs Inputs'!M91,'Marginal Capacity Costs Inputs'!M92)/(IF('Marginal Capacity Costs Inputs'!R91="Default",'Marginal Capacity Costs Inputs'!S91,'Marginal Capacity Costs Inputs'!S92)*2))))</f>
        <v/>
      </c>
      <c r="Q98" s="194" t="str">
        <f t="shared" ref="Q98" si="470">IF(E98=0,"",P98/2)</f>
        <v/>
      </c>
      <c r="R98" s="194" t="str">
        <f t="shared" ref="R98" si="471">IF(E98=0,"",Q98-O98)</f>
        <v/>
      </c>
      <c r="S98" s="194" t="str">
        <f>IF(E98=0,"",(R98*IF('Marginal Capacity Costs Inputs'!H91="Default",'Marginal Capacity Costs Inputs'!I91,'Marginal Capacity Costs Inputs'!I92)))</f>
        <v/>
      </c>
      <c r="T98" s="194" t="str">
        <f>IF(E98=0,"",I98*IF('Marginal Capacity Costs Inputs'!R91="Default",'Marginal Capacity Costs Inputs'!S91,'Marginal Capacity Costs Inputs'!S92)*2)</f>
        <v/>
      </c>
      <c r="U98" s="194" t="str">
        <f t="shared" ref="U98" si="472">IF(E98=0,"",T98/2)</f>
        <v/>
      </c>
      <c r="V98" s="194" t="str">
        <f>IF(E98=0,"",M98*IF('Marginal Capacity Costs Inputs'!R91="Default",'Marginal Capacity Costs Inputs'!S91,'Marginal Capacity Costs Inputs'!S92)*2)</f>
        <v/>
      </c>
      <c r="W98" s="194" t="str">
        <f t="shared" ref="W98" si="473">IF(E98=0,"",V98/2)</f>
        <v/>
      </c>
      <c r="X98" s="194" t="str">
        <f t="shared" ref="X98" si="474">IF(E98=0,"",W98-U98)</f>
        <v/>
      </c>
      <c r="Y98" s="195" t="str">
        <f>IF(E98=0,"",X98*IF('Marginal Capacity Costs Inputs'!J91="Default",'Marginal Capacity Costs Inputs'!K91,'Marginal Capacity Costs Inputs'!K92))</f>
        <v/>
      </c>
      <c r="Z98" s="196" t="str">
        <f t="shared" ref="Z98" si="475">IF(E98=0,"",Y98+S98)</f>
        <v/>
      </c>
      <c r="AA98" s="197" t="str">
        <f t="shared" ref="AA98" si="476">IF(E98=0,"",(M98-I98)/I98)</f>
        <v/>
      </c>
      <c r="AB98" s="197" t="str">
        <f>IF(E98=0,"",AA98*SUMIFS($N$13:$N$14,$D$13:$D$14,$E$19))</f>
        <v/>
      </c>
      <c r="AC98" s="198" t="str">
        <f>IF(E98=0,"",K98*IF('Marginal Capacity Costs Inputs'!R91="Default",'Marginal Capacity Costs Inputs'!S91,'Marginal Capacity Costs Inputs'!S92)*2)</f>
        <v/>
      </c>
      <c r="AD98" s="195" t="str">
        <f t="shared" ref="AD98" si="477">IF(E98=0,"",AC98/2)</f>
        <v/>
      </c>
      <c r="AE98" s="198" t="str">
        <f>IF(E98=0,"",AD98*IF('Marginal Capacity Costs Inputs'!U91="Default",'Marginal Capacity Costs Inputs'!V91,'Marginal Capacity Costs Inputs'!V92))</f>
        <v/>
      </c>
      <c r="AF98" s="195" t="str">
        <f t="shared" ref="AF98" si="478">IF(E98=0,"",AB98*AE98)</f>
        <v/>
      </c>
      <c r="AG98" s="196" t="str">
        <f>IF(E98=0,"",AF98*'Marginal Capacity Costs Inputs'!T91)</f>
        <v/>
      </c>
      <c r="AH98" s="196" t="str">
        <f>IF(E98=0,"",AF98*'MOC - Calculations'!$E$6)</f>
        <v/>
      </c>
      <c r="AI98" s="199" t="str">
        <f t="shared" ref="AI98" si="479">IF(E98=0,"",Z98-AG98+AH98)</f>
        <v/>
      </c>
      <c r="AJ98" s="195" t="str">
        <f t="shared" ref="AJ98" si="480">IF(E98=0,"",IF(AI98&lt;0,0,AI98))</f>
        <v/>
      </c>
      <c r="AK98" s="195" t="str">
        <f>IF(E98=0,"",AJ98*'Marginal Capacity Costs Inputs'!G91*'MCC - Calculations'!F98)</f>
        <v/>
      </c>
    </row>
    <row r="99" spans="1:37" customFormat="1" ht="14.45"/>
    <row r="100" spans="1:37">
      <c r="A100" s="12"/>
      <c r="D100" s="32">
        <v>39</v>
      </c>
      <c r="E100" s="32">
        <f>IF($E$18="No",0,IF('Marginal Capacity Costs Inputs'!E93="No",0,1))</f>
        <v>0</v>
      </c>
      <c r="F100" s="24" t="str">
        <f>IF(E100=0,"",(1-'RF - Calculations'!$E$6))</f>
        <v/>
      </c>
      <c r="G100" s="24" t="str">
        <f>IF(E100=0,"",IF('Marginal Capacity Costs Inputs'!$H93=Lists!$D$21,SUMIFS($F$13:$F$14,$D$13:$D$14,$E$19)*'Inflation - Calculations'!$E$7,'Marginal Capacity Costs Inputs'!$I94))</f>
        <v/>
      </c>
      <c r="H100" s="24" t="str">
        <f>IF(E100=0,"",IF('Marginal Capacity Costs Inputs'!$J93=Lists!$D$21,SUMIFS($G$13:$G$14,$D$13:$D$14,$E$19)*'Inflation - Calculations'!$E$8,'Marginal Capacity Costs Inputs'!$K94))</f>
        <v/>
      </c>
      <c r="I100" s="24" t="str">
        <f>IF(E100=0,"",SUMIFS($M$13:$M$14,$D$13:$D$14,$E$19))</f>
        <v/>
      </c>
      <c r="J100" s="194" t="str">
        <f>IF(E100=0,"",IF('Marginal Capacity Costs Inputs'!N93="Default",'Marginal Capacity Costs Inputs'!O93,'Marginal Capacity Costs Inputs'!O94)/IF('Marginal Capacity Costs Inputs'!P93="Default",'Marginal Capacity Costs Inputs'!Q93,'Marginal Capacity Costs Inputs'!Q94))</f>
        <v/>
      </c>
      <c r="K100" s="194" t="str">
        <f t="shared" ref="K100" si="481">IF(E100=0,"",J100*I100)</f>
        <v/>
      </c>
      <c r="L100" s="194" t="str">
        <f>IF(E100=0,"",1/IF('Marginal Capacity Costs Inputs'!R93="Default",'Marginal Capacity Costs Inputs'!S93,'Marginal Capacity Costs Inputs'!S94))</f>
        <v/>
      </c>
      <c r="M100" s="194" t="str">
        <f>IF(E100=0,"",I100*((K100+L100)/K100)^SUMIFS($E$13:$E$14,$D$13:$D$14,$E$19))</f>
        <v/>
      </c>
      <c r="N100" s="194" t="str">
        <f>IF(E100=0,"",I100/((IF('Marginal Capacity Costs Inputs'!L93="Default",'Marginal Capacity Costs Inputs'!M93,'Marginal Capacity Costs Inputs'!M94)/(IF('Marginal Capacity Costs Inputs'!R93="Default",'Marginal Capacity Costs Inputs'!S93,'Marginal Capacity Costs Inputs'!S94)*2))))</f>
        <v/>
      </c>
      <c r="O100" s="194" t="str">
        <f t="shared" ref="O100" si="482">IF(E100=0,"",N100/2)</f>
        <v/>
      </c>
      <c r="P100" s="194" t="str">
        <f>IF(E100=0,"",M100/((IF('Marginal Capacity Costs Inputs'!L93="Default",'Marginal Capacity Costs Inputs'!M93,'Marginal Capacity Costs Inputs'!M94)/(IF('Marginal Capacity Costs Inputs'!R93="Default",'Marginal Capacity Costs Inputs'!S93,'Marginal Capacity Costs Inputs'!S94)*2))))</f>
        <v/>
      </c>
      <c r="Q100" s="194" t="str">
        <f t="shared" ref="Q100" si="483">IF(E100=0,"",P100/2)</f>
        <v/>
      </c>
      <c r="R100" s="194" t="str">
        <f t="shared" ref="R100" si="484">IF(E100=0,"",Q100-O100)</f>
        <v/>
      </c>
      <c r="S100" s="194" t="str">
        <f>IF(E100=0,"",(R100*IF('Marginal Capacity Costs Inputs'!H93="Default",'Marginal Capacity Costs Inputs'!I93,'Marginal Capacity Costs Inputs'!I94)))</f>
        <v/>
      </c>
      <c r="T100" s="194" t="str">
        <f>IF(E100=0,"",I100*IF('Marginal Capacity Costs Inputs'!R93="Default",'Marginal Capacity Costs Inputs'!S93,'Marginal Capacity Costs Inputs'!S94)*2)</f>
        <v/>
      </c>
      <c r="U100" s="194" t="str">
        <f t="shared" ref="U100" si="485">IF(E100=0,"",T100/2)</f>
        <v/>
      </c>
      <c r="V100" s="194" t="str">
        <f>IF(E100=0,"",M100*IF('Marginal Capacity Costs Inputs'!R93="Default",'Marginal Capacity Costs Inputs'!S93,'Marginal Capacity Costs Inputs'!S94)*2)</f>
        <v/>
      </c>
      <c r="W100" s="194" t="str">
        <f t="shared" ref="W100" si="486">IF(E100=0,"",V100/2)</f>
        <v/>
      </c>
      <c r="X100" s="194" t="str">
        <f t="shared" ref="X100" si="487">IF(E100=0,"",W100-U100)</f>
        <v/>
      </c>
      <c r="Y100" s="195" t="str">
        <f>IF(E100=0,"",X100*IF('Marginal Capacity Costs Inputs'!J93="Default",'Marginal Capacity Costs Inputs'!K93,'Marginal Capacity Costs Inputs'!K94))</f>
        <v/>
      </c>
      <c r="Z100" s="196" t="str">
        <f t="shared" ref="Z100" si="488">IF(E100=0,"",Y100+S100)</f>
        <v/>
      </c>
      <c r="AA100" s="197" t="str">
        <f t="shared" ref="AA100" si="489">IF(E100=0,"",(M100-I100)/I100)</f>
        <v/>
      </c>
      <c r="AB100" s="197" t="str">
        <f>IF(E100=0,"",AA100*SUMIFS($N$13:$N$14,$D$13:$D$14,$E$19))</f>
        <v/>
      </c>
      <c r="AC100" s="198" t="str">
        <f>IF(E100=0,"",K100*IF('Marginal Capacity Costs Inputs'!R93="Default",'Marginal Capacity Costs Inputs'!S93,'Marginal Capacity Costs Inputs'!S94)*2)</f>
        <v/>
      </c>
      <c r="AD100" s="195" t="str">
        <f t="shared" ref="AD100" si="490">IF(E100=0,"",AC100/2)</f>
        <v/>
      </c>
      <c r="AE100" s="198" t="str">
        <f>IF(E100=0,"",AD100*IF('Marginal Capacity Costs Inputs'!U93="Default",'Marginal Capacity Costs Inputs'!V93,'Marginal Capacity Costs Inputs'!V94))</f>
        <v/>
      </c>
      <c r="AF100" s="195" t="str">
        <f t="shared" ref="AF100" si="491">IF(E100=0,"",AB100*AE100)</f>
        <v/>
      </c>
      <c r="AG100" s="196" t="str">
        <f>IF(E100=0,"",AF100*'Marginal Capacity Costs Inputs'!T93)</f>
        <v/>
      </c>
      <c r="AH100" s="196" t="str">
        <f>IF(E100=0,"",AF100*'MOC - Calculations'!$E$6)</f>
        <v/>
      </c>
      <c r="AI100" s="199" t="str">
        <f t="shared" ref="AI100" si="492">IF(E100=0,"",Z100-AG100+AH100)</f>
        <v/>
      </c>
      <c r="AJ100" s="195" t="str">
        <f t="shared" ref="AJ100" si="493">IF(E100=0,"",IF(AI100&lt;0,0,AI100))</f>
        <v/>
      </c>
      <c r="AK100" s="195" t="str">
        <f>IF(E100=0,"",AJ100*'Marginal Capacity Costs Inputs'!G93*'MCC - Calculations'!F100)</f>
        <v/>
      </c>
    </row>
    <row r="101" spans="1:37" customFormat="1" ht="14.45"/>
    <row r="102" spans="1:37">
      <c r="A102" s="12"/>
      <c r="D102" s="32">
        <v>40</v>
      </c>
      <c r="E102" s="32">
        <f>IF($E$18="No",0,IF('Marginal Capacity Costs Inputs'!E95="No",0,1))</f>
        <v>0</v>
      </c>
      <c r="F102" s="24" t="str">
        <f>IF(E102=0,"",(1-'RF - Calculations'!$E$6))</f>
        <v/>
      </c>
      <c r="G102" s="24" t="str">
        <f>IF(E102=0,"",IF('Marginal Capacity Costs Inputs'!$H95=Lists!$D$21,SUMIFS($F$13:$F$14,$D$13:$D$14,$E$19)*'Inflation - Calculations'!$E$7,'Marginal Capacity Costs Inputs'!$I96))</f>
        <v/>
      </c>
      <c r="H102" s="24" t="str">
        <f>IF(E102=0,"",IF('Marginal Capacity Costs Inputs'!$J95=Lists!$D$21,SUMIFS($G$13:$G$14,$D$13:$D$14,$E$19)*'Inflation - Calculations'!$E$8,'Marginal Capacity Costs Inputs'!$K96))</f>
        <v/>
      </c>
      <c r="I102" s="24" t="str">
        <f>IF(E102=0,"",SUMIFS($M$13:$M$14,$D$13:$D$14,$E$19))</f>
        <v/>
      </c>
      <c r="J102" s="194" t="str">
        <f>IF(E102=0,"",IF('Marginal Capacity Costs Inputs'!N95="Default",'Marginal Capacity Costs Inputs'!O95,'Marginal Capacity Costs Inputs'!O96)/IF('Marginal Capacity Costs Inputs'!P95="Default",'Marginal Capacity Costs Inputs'!Q95,'Marginal Capacity Costs Inputs'!Q96))</f>
        <v/>
      </c>
      <c r="K102" s="194" t="str">
        <f t="shared" ref="K102" si="494">IF(E102=0,"",J102*I102)</f>
        <v/>
      </c>
      <c r="L102" s="194" t="str">
        <f>IF(E102=0,"",1/IF('Marginal Capacity Costs Inputs'!R95="Default",'Marginal Capacity Costs Inputs'!S95,'Marginal Capacity Costs Inputs'!S96))</f>
        <v/>
      </c>
      <c r="M102" s="194" t="str">
        <f>IF(E102=0,"",I102*((K102+L102)/K102)^SUMIFS($E$13:$E$14,$D$13:$D$14,$E$19))</f>
        <v/>
      </c>
      <c r="N102" s="194" t="str">
        <f>IF(E102=0,"",I102/((IF('Marginal Capacity Costs Inputs'!L95="Default",'Marginal Capacity Costs Inputs'!M95,'Marginal Capacity Costs Inputs'!M96)/(IF('Marginal Capacity Costs Inputs'!R95="Default",'Marginal Capacity Costs Inputs'!S95,'Marginal Capacity Costs Inputs'!S96)*2))))</f>
        <v/>
      </c>
      <c r="O102" s="194" t="str">
        <f t="shared" ref="O102" si="495">IF(E102=0,"",N102/2)</f>
        <v/>
      </c>
      <c r="P102" s="194" t="str">
        <f>IF(E102=0,"",M102/((IF('Marginal Capacity Costs Inputs'!L95="Default",'Marginal Capacity Costs Inputs'!M95,'Marginal Capacity Costs Inputs'!M96)/(IF('Marginal Capacity Costs Inputs'!R95="Default",'Marginal Capacity Costs Inputs'!S95,'Marginal Capacity Costs Inputs'!S96)*2))))</f>
        <v/>
      </c>
      <c r="Q102" s="194" t="str">
        <f t="shared" ref="Q102" si="496">IF(E102=0,"",P102/2)</f>
        <v/>
      </c>
      <c r="R102" s="194" t="str">
        <f t="shared" ref="R102" si="497">IF(E102=0,"",Q102-O102)</f>
        <v/>
      </c>
      <c r="S102" s="194" t="str">
        <f>IF(E102=0,"",(R102*IF('Marginal Capacity Costs Inputs'!H95="Default",'Marginal Capacity Costs Inputs'!I95,'Marginal Capacity Costs Inputs'!I96)))</f>
        <v/>
      </c>
      <c r="T102" s="194" t="str">
        <f>IF(E102=0,"",I102*IF('Marginal Capacity Costs Inputs'!R95="Default",'Marginal Capacity Costs Inputs'!S95,'Marginal Capacity Costs Inputs'!S96)*2)</f>
        <v/>
      </c>
      <c r="U102" s="194" t="str">
        <f t="shared" ref="U102" si="498">IF(E102=0,"",T102/2)</f>
        <v/>
      </c>
      <c r="V102" s="194" t="str">
        <f>IF(E102=0,"",M102*IF('Marginal Capacity Costs Inputs'!R95="Default",'Marginal Capacity Costs Inputs'!S95,'Marginal Capacity Costs Inputs'!S96)*2)</f>
        <v/>
      </c>
      <c r="W102" s="194" t="str">
        <f t="shared" ref="W102" si="499">IF(E102=0,"",V102/2)</f>
        <v/>
      </c>
      <c r="X102" s="194" t="str">
        <f t="shared" ref="X102" si="500">IF(E102=0,"",W102-U102)</f>
        <v/>
      </c>
      <c r="Y102" s="195" t="str">
        <f>IF(E102=0,"",X102*IF('Marginal Capacity Costs Inputs'!J95="Default",'Marginal Capacity Costs Inputs'!K95,'Marginal Capacity Costs Inputs'!K96))</f>
        <v/>
      </c>
      <c r="Z102" s="196" t="str">
        <f t="shared" ref="Z102" si="501">IF(E102=0,"",Y102+S102)</f>
        <v/>
      </c>
      <c r="AA102" s="197" t="str">
        <f t="shared" ref="AA102" si="502">IF(E102=0,"",(M102-I102)/I102)</f>
        <v/>
      </c>
      <c r="AB102" s="197" t="str">
        <f>IF(E102=0,"",AA102*SUMIFS($N$13:$N$14,$D$13:$D$14,$E$19))</f>
        <v/>
      </c>
      <c r="AC102" s="198" t="str">
        <f>IF(E102=0,"",K102*IF('Marginal Capacity Costs Inputs'!R95="Default",'Marginal Capacity Costs Inputs'!S95,'Marginal Capacity Costs Inputs'!S96)*2)</f>
        <v/>
      </c>
      <c r="AD102" s="195" t="str">
        <f t="shared" ref="AD102" si="503">IF(E102=0,"",AC102/2)</f>
        <v/>
      </c>
      <c r="AE102" s="198" t="str">
        <f>IF(E102=0,"",AD102*IF('Marginal Capacity Costs Inputs'!U95="Default",'Marginal Capacity Costs Inputs'!V95,'Marginal Capacity Costs Inputs'!V96))</f>
        <v/>
      </c>
      <c r="AF102" s="195" t="str">
        <f t="shared" ref="AF102" si="504">IF(E102=0,"",AB102*AE102)</f>
        <v/>
      </c>
      <c r="AG102" s="196" t="str">
        <f>IF(E102=0,"",AF102*'Marginal Capacity Costs Inputs'!T95)</f>
        <v/>
      </c>
      <c r="AH102" s="196" t="str">
        <f>IF(E102=0,"",AF102*'MOC - Calculations'!$E$6)</f>
        <v/>
      </c>
      <c r="AI102" s="199" t="str">
        <f t="shared" ref="AI102" si="505">IF(E102=0,"",Z102-AG102+AH102)</f>
        <v/>
      </c>
      <c r="AJ102" s="195" t="str">
        <f t="shared" ref="AJ102" si="506">IF(E102=0,"",IF(AI102&lt;0,0,AI102))</f>
        <v/>
      </c>
      <c r="AK102" s="195" t="str">
        <f>IF(E102=0,"",AJ102*'Marginal Capacity Costs Inputs'!G95*'MCC - Calculations'!F102)</f>
        <v/>
      </c>
    </row>
    <row r="103" spans="1:37" customFormat="1" ht="14.45"/>
    <row r="104" spans="1:37">
      <c r="A104" s="12"/>
      <c r="D104" s="32">
        <v>41</v>
      </c>
      <c r="E104" s="32">
        <f>IF($E$18="No",0,IF('Marginal Capacity Costs Inputs'!E97="No",0,1))</f>
        <v>0</v>
      </c>
      <c r="F104" s="24" t="str">
        <f>IF(E104=0,"",(1-'RF - Calculations'!$E$6))</f>
        <v/>
      </c>
      <c r="G104" s="24" t="str">
        <f>IF(E104=0,"",IF('Marginal Capacity Costs Inputs'!$H97=Lists!$D$21,SUMIFS($F$13:$F$14,$D$13:$D$14,$E$19)*'Inflation - Calculations'!$E$7,'Marginal Capacity Costs Inputs'!$I98))</f>
        <v/>
      </c>
      <c r="H104" s="24" t="str">
        <f>IF(E104=0,"",IF('Marginal Capacity Costs Inputs'!$J97=Lists!$D$21,SUMIFS($G$13:$G$14,$D$13:$D$14,$E$19)*'Inflation - Calculations'!$E$8,'Marginal Capacity Costs Inputs'!$K98))</f>
        <v/>
      </c>
      <c r="I104" s="24" t="str">
        <f>IF(E104=0,"",SUMIFS($M$13:$M$14,$D$13:$D$14,$E$19))</f>
        <v/>
      </c>
      <c r="J104" s="194" t="str">
        <f>IF(E104=0,"",IF('Marginal Capacity Costs Inputs'!N97="Default",'Marginal Capacity Costs Inputs'!O97,'Marginal Capacity Costs Inputs'!O98)/IF('Marginal Capacity Costs Inputs'!P97="Default",'Marginal Capacity Costs Inputs'!Q97,'Marginal Capacity Costs Inputs'!Q98))</f>
        <v/>
      </c>
      <c r="K104" s="194" t="str">
        <f t="shared" ref="K104" si="507">IF(E104=0,"",J104*I104)</f>
        <v/>
      </c>
      <c r="L104" s="194" t="str">
        <f>IF(E104=0,"",1/IF('Marginal Capacity Costs Inputs'!R97="Default",'Marginal Capacity Costs Inputs'!S97,'Marginal Capacity Costs Inputs'!S98))</f>
        <v/>
      </c>
      <c r="M104" s="194" t="str">
        <f>IF(E104=0,"",I104*((K104+L104)/K104)^SUMIFS($E$13:$E$14,$D$13:$D$14,$E$19))</f>
        <v/>
      </c>
      <c r="N104" s="194" t="str">
        <f>IF(E104=0,"",I104/((IF('Marginal Capacity Costs Inputs'!L97="Default",'Marginal Capacity Costs Inputs'!M97,'Marginal Capacity Costs Inputs'!M98)/(IF('Marginal Capacity Costs Inputs'!R97="Default",'Marginal Capacity Costs Inputs'!S97,'Marginal Capacity Costs Inputs'!S98)*2))))</f>
        <v/>
      </c>
      <c r="O104" s="194" t="str">
        <f t="shared" ref="O104" si="508">IF(E104=0,"",N104/2)</f>
        <v/>
      </c>
      <c r="P104" s="194" t="str">
        <f>IF(E104=0,"",M104/((IF('Marginal Capacity Costs Inputs'!L97="Default",'Marginal Capacity Costs Inputs'!M97,'Marginal Capacity Costs Inputs'!M98)/(IF('Marginal Capacity Costs Inputs'!R97="Default",'Marginal Capacity Costs Inputs'!S97,'Marginal Capacity Costs Inputs'!S98)*2))))</f>
        <v/>
      </c>
      <c r="Q104" s="194" t="str">
        <f t="shared" ref="Q104" si="509">IF(E104=0,"",P104/2)</f>
        <v/>
      </c>
      <c r="R104" s="194" t="str">
        <f t="shared" ref="R104" si="510">IF(E104=0,"",Q104-O104)</f>
        <v/>
      </c>
      <c r="S104" s="194" t="str">
        <f>IF(E104=0,"",(R104*IF('Marginal Capacity Costs Inputs'!H97="Default",'Marginal Capacity Costs Inputs'!I97,'Marginal Capacity Costs Inputs'!I98)))</f>
        <v/>
      </c>
      <c r="T104" s="194" t="str">
        <f>IF(E104=0,"",I104*IF('Marginal Capacity Costs Inputs'!R97="Default",'Marginal Capacity Costs Inputs'!S97,'Marginal Capacity Costs Inputs'!S98)*2)</f>
        <v/>
      </c>
      <c r="U104" s="194" t="str">
        <f t="shared" ref="U104" si="511">IF(E104=0,"",T104/2)</f>
        <v/>
      </c>
      <c r="V104" s="194" t="str">
        <f>IF(E104=0,"",M104*IF('Marginal Capacity Costs Inputs'!R97="Default",'Marginal Capacity Costs Inputs'!S97,'Marginal Capacity Costs Inputs'!S98)*2)</f>
        <v/>
      </c>
      <c r="W104" s="194" t="str">
        <f t="shared" ref="W104" si="512">IF(E104=0,"",V104/2)</f>
        <v/>
      </c>
      <c r="X104" s="194" t="str">
        <f t="shared" ref="X104" si="513">IF(E104=0,"",W104-U104)</f>
        <v/>
      </c>
      <c r="Y104" s="195" t="str">
        <f>IF(E104=0,"",X104*IF('Marginal Capacity Costs Inputs'!J97="Default",'Marginal Capacity Costs Inputs'!K97,'Marginal Capacity Costs Inputs'!K98))</f>
        <v/>
      </c>
      <c r="Z104" s="196" t="str">
        <f t="shared" ref="Z104" si="514">IF(E104=0,"",Y104+S104)</f>
        <v/>
      </c>
      <c r="AA104" s="197" t="str">
        <f t="shared" ref="AA104" si="515">IF(E104=0,"",(M104-I104)/I104)</f>
        <v/>
      </c>
      <c r="AB104" s="197" t="str">
        <f>IF(E104=0,"",AA104*SUMIFS($N$13:$N$14,$D$13:$D$14,$E$19))</f>
        <v/>
      </c>
      <c r="AC104" s="198" t="str">
        <f>IF(E104=0,"",K104*IF('Marginal Capacity Costs Inputs'!R97="Default",'Marginal Capacity Costs Inputs'!S97,'Marginal Capacity Costs Inputs'!S98)*2)</f>
        <v/>
      </c>
      <c r="AD104" s="195" t="str">
        <f t="shared" ref="AD104" si="516">IF(E104=0,"",AC104/2)</f>
        <v/>
      </c>
      <c r="AE104" s="198" t="str">
        <f>IF(E104=0,"",AD104*IF('Marginal Capacity Costs Inputs'!U97="Default",'Marginal Capacity Costs Inputs'!V97,'Marginal Capacity Costs Inputs'!V98))</f>
        <v/>
      </c>
      <c r="AF104" s="195" t="str">
        <f t="shared" ref="AF104" si="517">IF(E104=0,"",AB104*AE104)</f>
        <v/>
      </c>
      <c r="AG104" s="196" t="str">
        <f>IF(E104=0,"",AF104*'Marginal Capacity Costs Inputs'!T97)</f>
        <v/>
      </c>
      <c r="AH104" s="196" t="str">
        <f>IF(E104=0,"",AF104*'MOC - Calculations'!$E$6)</f>
        <v/>
      </c>
      <c r="AI104" s="199" t="str">
        <f t="shared" ref="AI104" si="518">IF(E104=0,"",Z104-AG104+AH104)</f>
        <v/>
      </c>
      <c r="AJ104" s="195" t="str">
        <f t="shared" ref="AJ104" si="519">IF(E104=0,"",IF(AI104&lt;0,0,AI104))</f>
        <v/>
      </c>
      <c r="AK104" s="195" t="str">
        <f>IF(E104=0,"",AJ104*'Marginal Capacity Costs Inputs'!G97*'MCC - Calculations'!F104)</f>
        <v/>
      </c>
    </row>
    <row r="105" spans="1:37" customFormat="1" ht="14.45"/>
    <row r="106" spans="1:37">
      <c r="A106" s="12"/>
      <c r="D106" s="32">
        <v>42</v>
      </c>
      <c r="E106" s="32">
        <f>IF($E$18="No",0,IF('Marginal Capacity Costs Inputs'!E99="No",0,1))</f>
        <v>0</v>
      </c>
      <c r="F106" s="24" t="str">
        <f>IF(E106=0,"",(1-'RF - Calculations'!$E$6))</f>
        <v/>
      </c>
      <c r="G106" s="24" t="str">
        <f>IF(E106=0,"",IF('Marginal Capacity Costs Inputs'!$H99=Lists!$D$21,SUMIFS($F$13:$F$14,$D$13:$D$14,$E$19)*'Inflation - Calculations'!$E$7,'Marginal Capacity Costs Inputs'!$I100))</f>
        <v/>
      </c>
      <c r="H106" s="24" t="str">
        <f>IF(E106=0,"",IF('Marginal Capacity Costs Inputs'!$J99=Lists!$D$21,SUMIFS($G$13:$G$14,$D$13:$D$14,$E$19)*'Inflation - Calculations'!$E$8,'Marginal Capacity Costs Inputs'!$K100))</f>
        <v/>
      </c>
      <c r="I106" s="24" t="str">
        <f>IF(E106=0,"",SUMIFS($M$13:$M$14,$D$13:$D$14,$E$19))</f>
        <v/>
      </c>
      <c r="J106" s="194" t="str">
        <f>IF(E106=0,"",IF('Marginal Capacity Costs Inputs'!N99="Default",'Marginal Capacity Costs Inputs'!O99,'Marginal Capacity Costs Inputs'!O100)/IF('Marginal Capacity Costs Inputs'!P99="Default",'Marginal Capacity Costs Inputs'!Q99,'Marginal Capacity Costs Inputs'!Q100))</f>
        <v/>
      </c>
      <c r="K106" s="194" t="str">
        <f t="shared" ref="K106" si="520">IF(E106=0,"",J106*I106)</f>
        <v/>
      </c>
      <c r="L106" s="194" t="str">
        <f>IF(E106=0,"",1/IF('Marginal Capacity Costs Inputs'!R99="Default",'Marginal Capacity Costs Inputs'!S99,'Marginal Capacity Costs Inputs'!S100))</f>
        <v/>
      </c>
      <c r="M106" s="194" t="str">
        <f>IF(E106=0,"",I106*((K106+L106)/K106)^SUMIFS($E$13:$E$14,$D$13:$D$14,$E$19))</f>
        <v/>
      </c>
      <c r="N106" s="194" t="str">
        <f>IF(E106=0,"",I106/((IF('Marginal Capacity Costs Inputs'!L99="Default",'Marginal Capacity Costs Inputs'!M99,'Marginal Capacity Costs Inputs'!M100)/(IF('Marginal Capacity Costs Inputs'!R99="Default",'Marginal Capacity Costs Inputs'!S99,'Marginal Capacity Costs Inputs'!S100)*2))))</f>
        <v/>
      </c>
      <c r="O106" s="194" t="str">
        <f t="shared" ref="O106" si="521">IF(E106=0,"",N106/2)</f>
        <v/>
      </c>
      <c r="P106" s="194" t="str">
        <f>IF(E106=0,"",M106/((IF('Marginal Capacity Costs Inputs'!L99="Default",'Marginal Capacity Costs Inputs'!M99,'Marginal Capacity Costs Inputs'!M100)/(IF('Marginal Capacity Costs Inputs'!R99="Default",'Marginal Capacity Costs Inputs'!S99,'Marginal Capacity Costs Inputs'!S100)*2))))</f>
        <v/>
      </c>
      <c r="Q106" s="194" t="str">
        <f t="shared" ref="Q106" si="522">IF(E106=0,"",P106/2)</f>
        <v/>
      </c>
      <c r="R106" s="194" t="str">
        <f t="shared" ref="R106" si="523">IF(E106=0,"",Q106-O106)</f>
        <v/>
      </c>
      <c r="S106" s="194" t="str">
        <f>IF(E106=0,"",(R106*IF('Marginal Capacity Costs Inputs'!H99="Default",'Marginal Capacity Costs Inputs'!I99,'Marginal Capacity Costs Inputs'!I100)))</f>
        <v/>
      </c>
      <c r="T106" s="194" t="str">
        <f>IF(E106=0,"",I106*IF('Marginal Capacity Costs Inputs'!R99="Default",'Marginal Capacity Costs Inputs'!S99,'Marginal Capacity Costs Inputs'!S100)*2)</f>
        <v/>
      </c>
      <c r="U106" s="194" t="str">
        <f t="shared" ref="U106" si="524">IF(E106=0,"",T106/2)</f>
        <v/>
      </c>
      <c r="V106" s="194" t="str">
        <f>IF(E106=0,"",M106*IF('Marginal Capacity Costs Inputs'!R99="Default",'Marginal Capacity Costs Inputs'!S99,'Marginal Capacity Costs Inputs'!S100)*2)</f>
        <v/>
      </c>
      <c r="W106" s="194" t="str">
        <f t="shared" ref="W106" si="525">IF(E106=0,"",V106/2)</f>
        <v/>
      </c>
      <c r="X106" s="194" t="str">
        <f t="shared" ref="X106" si="526">IF(E106=0,"",W106-U106)</f>
        <v/>
      </c>
      <c r="Y106" s="195" t="str">
        <f>IF(E106=0,"",X106*IF('Marginal Capacity Costs Inputs'!J99="Default",'Marginal Capacity Costs Inputs'!K99,'Marginal Capacity Costs Inputs'!K100))</f>
        <v/>
      </c>
      <c r="Z106" s="196" t="str">
        <f t="shared" ref="Z106" si="527">IF(E106=0,"",Y106+S106)</f>
        <v/>
      </c>
      <c r="AA106" s="197" t="str">
        <f t="shared" ref="AA106" si="528">IF(E106=0,"",(M106-I106)/I106)</f>
        <v/>
      </c>
      <c r="AB106" s="197" t="str">
        <f>IF(E106=0,"",AA106*SUMIFS($N$13:$N$14,$D$13:$D$14,$E$19))</f>
        <v/>
      </c>
      <c r="AC106" s="198" t="str">
        <f>IF(E106=0,"",K106*IF('Marginal Capacity Costs Inputs'!R99="Default",'Marginal Capacity Costs Inputs'!S99,'Marginal Capacity Costs Inputs'!S100)*2)</f>
        <v/>
      </c>
      <c r="AD106" s="195" t="str">
        <f t="shared" ref="AD106" si="529">IF(E106=0,"",AC106/2)</f>
        <v/>
      </c>
      <c r="AE106" s="198" t="str">
        <f>IF(E106=0,"",AD106*IF('Marginal Capacity Costs Inputs'!U99="Default",'Marginal Capacity Costs Inputs'!V99,'Marginal Capacity Costs Inputs'!V100))</f>
        <v/>
      </c>
      <c r="AF106" s="195" t="str">
        <f t="shared" ref="AF106" si="530">IF(E106=0,"",AB106*AE106)</f>
        <v/>
      </c>
      <c r="AG106" s="196" t="str">
        <f>IF(E106=0,"",AF106*'Marginal Capacity Costs Inputs'!T99)</f>
        <v/>
      </c>
      <c r="AH106" s="196" t="str">
        <f>IF(E106=0,"",AF106*'MOC - Calculations'!$E$6)</f>
        <v/>
      </c>
      <c r="AI106" s="199" t="str">
        <f t="shared" ref="AI106" si="531">IF(E106=0,"",Z106-AG106+AH106)</f>
        <v/>
      </c>
      <c r="AJ106" s="195" t="str">
        <f t="shared" ref="AJ106" si="532">IF(E106=0,"",IF(AI106&lt;0,0,AI106))</f>
        <v/>
      </c>
      <c r="AK106" s="195" t="str">
        <f>IF(E106=0,"",AJ106*'Marginal Capacity Costs Inputs'!G99*'MCC - Calculations'!F106)</f>
        <v/>
      </c>
    </row>
    <row r="107" spans="1:37" customFormat="1" ht="14.45"/>
    <row r="108" spans="1:37">
      <c r="A108" s="12"/>
      <c r="D108" s="32">
        <v>43</v>
      </c>
      <c r="E108" s="32">
        <f>IF($E$18="No",0,IF('Marginal Capacity Costs Inputs'!E101="No",0,1))</f>
        <v>0</v>
      </c>
      <c r="F108" s="24" t="str">
        <f>IF(E108=0,"",(1-'RF - Calculations'!$E$6))</f>
        <v/>
      </c>
      <c r="G108" s="24" t="str">
        <f>IF(E108=0,"",IF('Marginal Capacity Costs Inputs'!$H101=Lists!$D$21,SUMIFS($F$13:$F$14,$D$13:$D$14,$E$19)*'Inflation - Calculations'!$E$7,'Marginal Capacity Costs Inputs'!$I102))</f>
        <v/>
      </c>
      <c r="H108" s="24" t="str">
        <f>IF(E108=0,"",IF('Marginal Capacity Costs Inputs'!$J101=Lists!$D$21,SUMIFS($G$13:$G$14,$D$13:$D$14,$E$19)*'Inflation - Calculations'!$E$8,'Marginal Capacity Costs Inputs'!$K102))</f>
        <v/>
      </c>
      <c r="I108" s="24" t="str">
        <f>IF(E108=0,"",SUMIFS($M$13:$M$14,$D$13:$D$14,$E$19))</f>
        <v/>
      </c>
      <c r="J108" s="194" t="str">
        <f>IF(E108=0,"",IF('Marginal Capacity Costs Inputs'!N101="Default",'Marginal Capacity Costs Inputs'!O101,'Marginal Capacity Costs Inputs'!O102)/IF('Marginal Capacity Costs Inputs'!P101="Default",'Marginal Capacity Costs Inputs'!Q101,'Marginal Capacity Costs Inputs'!Q102))</f>
        <v/>
      </c>
      <c r="K108" s="194" t="str">
        <f t="shared" ref="K108" si="533">IF(E108=0,"",J108*I108)</f>
        <v/>
      </c>
      <c r="L108" s="194" t="str">
        <f>IF(E108=0,"",1/IF('Marginal Capacity Costs Inputs'!R101="Default",'Marginal Capacity Costs Inputs'!S101,'Marginal Capacity Costs Inputs'!S102))</f>
        <v/>
      </c>
      <c r="M108" s="194" t="str">
        <f>IF(E108=0,"",I108*((K108+L108)/K108)^SUMIFS($E$13:$E$14,$D$13:$D$14,$E$19))</f>
        <v/>
      </c>
      <c r="N108" s="194" t="str">
        <f>IF(E108=0,"",I108/((IF('Marginal Capacity Costs Inputs'!L101="Default",'Marginal Capacity Costs Inputs'!M101,'Marginal Capacity Costs Inputs'!M102)/(IF('Marginal Capacity Costs Inputs'!R101="Default",'Marginal Capacity Costs Inputs'!S101,'Marginal Capacity Costs Inputs'!S102)*2))))</f>
        <v/>
      </c>
      <c r="O108" s="194" t="str">
        <f t="shared" ref="O108" si="534">IF(E108=0,"",N108/2)</f>
        <v/>
      </c>
      <c r="P108" s="194" t="str">
        <f>IF(E108=0,"",M108/((IF('Marginal Capacity Costs Inputs'!L101="Default",'Marginal Capacity Costs Inputs'!M101,'Marginal Capacity Costs Inputs'!M102)/(IF('Marginal Capacity Costs Inputs'!R101="Default",'Marginal Capacity Costs Inputs'!S101,'Marginal Capacity Costs Inputs'!S102)*2))))</f>
        <v/>
      </c>
      <c r="Q108" s="194" t="str">
        <f t="shared" ref="Q108" si="535">IF(E108=0,"",P108/2)</f>
        <v/>
      </c>
      <c r="R108" s="194" t="str">
        <f t="shared" ref="R108" si="536">IF(E108=0,"",Q108-O108)</f>
        <v/>
      </c>
      <c r="S108" s="194" t="str">
        <f>IF(E108=0,"",(R108*IF('Marginal Capacity Costs Inputs'!H101="Default",'Marginal Capacity Costs Inputs'!I101,'Marginal Capacity Costs Inputs'!I102)))</f>
        <v/>
      </c>
      <c r="T108" s="194" t="str">
        <f>IF(E108=0,"",I108*IF('Marginal Capacity Costs Inputs'!R101="Default",'Marginal Capacity Costs Inputs'!S101,'Marginal Capacity Costs Inputs'!S102)*2)</f>
        <v/>
      </c>
      <c r="U108" s="194" t="str">
        <f t="shared" ref="U108" si="537">IF(E108=0,"",T108/2)</f>
        <v/>
      </c>
      <c r="V108" s="194" t="str">
        <f>IF(E108=0,"",M108*IF('Marginal Capacity Costs Inputs'!R101="Default",'Marginal Capacity Costs Inputs'!S101,'Marginal Capacity Costs Inputs'!S102)*2)</f>
        <v/>
      </c>
      <c r="W108" s="194" t="str">
        <f t="shared" ref="W108" si="538">IF(E108=0,"",V108/2)</f>
        <v/>
      </c>
      <c r="X108" s="194" t="str">
        <f t="shared" ref="X108" si="539">IF(E108=0,"",W108-U108)</f>
        <v/>
      </c>
      <c r="Y108" s="195" t="str">
        <f>IF(E108=0,"",X108*IF('Marginal Capacity Costs Inputs'!J101="Default",'Marginal Capacity Costs Inputs'!K101,'Marginal Capacity Costs Inputs'!K102))</f>
        <v/>
      </c>
      <c r="Z108" s="196" t="str">
        <f t="shared" ref="Z108" si="540">IF(E108=0,"",Y108+S108)</f>
        <v/>
      </c>
      <c r="AA108" s="197" t="str">
        <f t="shared" ref="AA108" si="541">IF(E108=0,"",(M108-I108)/I108)</f>
        <v/>
      </c>
      <c r="AB108" s="197" t="str">
        <f>IF(E108=0,"",AA108*SUMIFS($N$13:$N$14,$D$13:$D$14,$E$19))</f>
        <v/>
      </c>
      <c r="AC108" s="198" t="str">
        <f>IF(E108=0,"",K108*IF('Marginal Capacity Costs Inputs'!R101="Default",'Marginal Capacity Costs Inputs'!S101,'Marginal Capacity Costs Inputs'!S102)*2)</f>
        <v/>
      </c>
      <c r="AD108" s="195" t="str">
        <f t="shared" ref="AD108" si="542">IF(E108=0,"",AC108/2)</f>
        <v/>
      </c>
      <c r="AE108" s="198" t="str">
        <f>IF(E108=0,"",AD108*IF('Marginal Capacity Costs Inputs'!U101="Default",'Marginal Capacity Costs Inputs'!V101,'Marginal Capacity Costs Inputs'!V102))</f>
        <v/>
      </c>
      <c r="AF108" s="195" t="str">
        <f t="shared" ref="AF108" si="543">IF(E108=0,"",AB108*AE108)</f>
        <v/>
      </c>
      <c r="AG108" s="196" t="str">
        <f>IF(E108=0,"",AF108*'Marginal Capacity Costs Inputs'!T101)</f>
        <v/>
      </c>
      <c r="AH108" s="196" t="str">
        <f>IF(E108=0,"",AF108*'MOC - Calculations'!$E$6)</f>
        <v/>
      </c>
      <c r="AI108" s="199" t="str">
        <f t="shared" ref="AI108" si="544">IF(E108=0,"",Z108-AG108+AH108)</f>
        <v/>
      </c>
      <c r="AJ108" s="195" t="str">
        <f t="shared" ref="AJ108" si="545">IF(E108=0,"",IF(AI108&lt;0,0,AI108))</f>
        <v/>
      </c>
      <c r="AK108" s="195" t="str">
        <f>IF(E108=0,"",AJ108*'Marginal Capacity Costs Inputs'!G101*'MCC - Calculations'!F108)</f>
        <v/>
      </c>
    </row>
    <row r="109" spans="1:37" customFormat="1" ht="14.45"/>
    <row r="110" spans="1:37">
      <c r="A110" s="12"/>
      <c r="D110" s="32">
        <v>44</v>
      </c>
      <c r="E110" s="32">
        <f>IF($E$18="No",0,IF('Marginal Capacity Costs Inputs'!E103="No",0,1))</f>
        <v>0</v>
      </c>
      <c r="F110" s="24" t="str">
        <f>IF(E110=0,"",(1-'RF - Calculations'!$E$6))</f>
        <v/>
      </c>
      <c r="G110" s="24" t="str">
        <f>IF(E110=0,"",IF('Marginal Capacity Costs Inputs'!$H103=Lists!$D$21,SUMIFS($F$13:$F$14,$D$13:$D$14,$E$19)*'Inflation - Calculations'!$E$7,'Marginal Capacity Costs Inputs'!$I104))</f>
        <v/>
      </c>
      <c r="H110" s="24" t="str">
        <f>IF(E110=0,"",IF('Marginal Capacity Costs Inputs'!$J103=Lists!$D$21,SUMIFS($G$13:$G$14,$D$13:$D$14,$E$19)*'Inflation - Calculations'!$E$8,'Marginal Capacity Costs Inputs'!$K104))</f>
        <v/>
      </c>
      <c r="I110" s="24" t="str">
        <f>IF(E110=0,"",SUMIFS($M$13:$M$14,$D$13:$D$14,$E$19))</f>
        <v/>
      </c>
      <c r="J110" s="194" t="str">
        <f>IF(E110=0,"",IF('Marginal Capacity Costs Inputs'!N103="Default",'Marginal Capacity Costs Inputs'!O103,'Marginal Capacity Costs Inputs'!O104)/IF('Marginal Capacity Costs Inputs'!P103="Default",'Marginal Capacity Costs Inputs'!Q103,'Marginal Capacity Costs Inputs'!Q104))</f>
        <v/>
      </c>
      <c r="K110" s="194" t="str">
        <f t="shared" ref="K110" si="546">IF(E110=0,"",J110*I110)</f>
        <v/>
      </c>
      <c r="L110" s="194" t="str">
        <f>IF(E110=0,"",1/IF('Marginal Capacity Costs Inputs'!R103="Default",'Marginal Capacity Costs Inputs'!S103,'Marginal Capacity Costs Inputs'!S104))</f>
        <v/>
      </c>
      <c r="M110" s="194" t="str">
        <f>IF(E110=0,"",I110*((K110+L110)/K110)^SUMIFS($E$13:$E$14,$D$13:$D$14,$E$19))</f>
        <v/>
      </c>
      <c r="N110" s="194" t="str">
        <f>IF(E110=0,"",I110/((IF('Marginal Capacity Costs Inputs'!L103="Default",'Marginal Capacity Costs Inputs'!M103,'Marginal Capacity Costs Inputs'!M104)/(IF('Marginal Capacity Costs Inputs'!R103="Default",'Marginal Capacity Costs Inputs'!S103,'Marginal Capacity Costs Inputs'!S104)*2))))</f>
        <v/>
      </c>
      <c r="O110" s="194" t="str">
        <f t="shared" ref="O110" si="547">IF(E110=0,"",N110/2)</f>
        <v/>
      </c>
      <c r="P110" s="194" t="str">
        <f>IF(E110=0,"",M110/((IF('Marginal Capacity Costs Inputs'!L103="Default",'Marginal Capacity Costs Inputs'!M103,'Marginal Capacity Costs Inputs'!M104)/(IF('Marginal Capacity Costs Inputs'!R103="Default",'Marginal Capacity Costs Inputs'!S103,'Marginal Capacity Costs Inputs'!S104)*2))))</f>
        <v/>
      </c>
      <c r="Q110" s="194" t="str">
        <f t="shared" ref="Q110" si="548">IF(E110=0,"",P110/2)</f>
        <v/>
      </c>
      <c r="R110" s="194" t="str">
        <f t="shared" ref="R110" si="549">IF(E110=0,"",Q110-O110)</f>
        <v/>
      </c>
      <c r="S110" s="194" t="str">
        <f>IF(E110=0,"",(R110*IF('Marginal Capacity Costs Inputs'!H103="Default",'Marginal Capacity Costs Inputs'!I103,'Marginal Capacity Costs Inputs'!I104)))</f>
        <v/>
      </c>
      <c r="T110" s="194" t="str">
        <f>IF(E110=0,"",I110*IF('Marginal Capacity Costs Inputs'!R103="Default",'Marginal Capacity Costs Inputs'!S103,'Marginal Capacity Costs Inputs'!S104)*2)</f>
        <v/>
      </c>
      <c r="U110" s="194" t="str">
        <f t="shared" ref="U110" si="550">IF(E110=0,"",T110/2)</f>
        <v/>
      </c>
      <c r="V110" s="194" t="str">
        <f>IF(E110=0,"",M110*IF('Marginal Capacity Costs Inputs'!R103="Default",'Marginal Capacity Costs Inputs'!S103,'Marginal Capacity Costs Inputs'!S104)*2)</f>
        <v/>
      </c>
      <c r="W110" s="194" t="str">
        <f t="shared" ref="W110" si="551">IF(E110=0,"",V110/2)</f>
        <v/>
      </c>
      <c r="X110" s="194" t="str">
        <f t="shared" ref="X110" si="552">IF(E110=0,"",W110-U110)</f>
        <v/>
      </c>
      <c r="Y110" s="195" t="str">
        <f>IF(E110=0,"",X110*IF('Marginal Capacity Costs Inputs'!J103="Default",'Marginal Capacity Costs Inputs'!K103,'Marginal Capacity Costs Inputs'!K104))</f>
        <v/>
      </c>
      <c r="Z110" s="196" t="str">
        <f t="shared" ref="Z110" si="553">IF(E110=0,"",Y110+S110)</f>
        <v/>
      </c>
      <c r="AA110" s="197" t="str">
        <f t="shared" ref="AA110" si="554">IF(E110=0,"",(M110-I110)/I110)</f>
        <v/>
      </c>
      <c r="AB110" s="197" t="str">
        <f>IF(E110=0,"",AA110*SUMIFS($N$13:$N$14,$D$13:$D$14,$E$19))</f>
        <v/>
      </c>
      <c r="AC110" s="198" t="str">
        <f>IF(E110=0,"",K110*IF('Marginal Capacity Costs Inputs'!R103="Default",'Marginal Capacity Costs Inputs'!S103,'Marginal Capacity Costs Inputs'!S104)*2)</f>
        <v/>
      </c>
      <c r="AD110" s="195" t="str">
        <f t="shared" ref="AD110" si="555">IF(E110=0,"",AC110/2)</f>
        <v/>
      </c>
      <c r="AE110" s="198" t="str">
        <f>IF(E110=0,"",AD110*IF('Marginal Capacity Costs Inputs'!U103="Default",'Marginal Capacity Costs Inputs'!V103,'Marginal Capacity Costs Inputs'!V104))</f>
        <v/>
      </c>
      <c r="AF110" s="195" t="str">
        <f t="shared" ref="AF110" si="556">IF(E110=0,"",AB110*AE110)</f>
        <v/>
      </c>
      <c r="AG110" s="196" t="str">
        <f>IF(E110=0,"",AF110*'Marginal Capacity Costs Inputs'!T103)</f>
        <v/>
      </c>
      <c r="AH110" s="196" t="str">
        <f>IF(E110=0,"",AF110*'MOC - Calculations'!$E$6)</f>
        <v/>
      </c>
      <c r="AI110" s="199" t="str">
        <f t="shared" ref="AI110" si="557">IF(E110=0,"",Z110-AG110+AH110)</f>
        <v/>
      </c>
      <c r="AJ110" s="195" t="str">
        <f t="shared" ref="AJ110" si="558">IF(E110=0,"",IF(AI110&lt;0,0,AI110))</f>
        <v/>
      </c>
      <c r="AK110" s="195" t="str">
        <f>IF(E110=0,"",AJ110*'Marginal Capacity Costs Inputs'!G103*'MCC - Calculations'!F110)</f>
        <v/>
      </c>
    </row>
    <row r="111" spans="1:37" customFormat="1" ht="14.45"/>
    <row r="112" spans="1:37">
      <c r="A112" s="12"/>
      <c r="D112" s="32">
        <v>45</v>
      </c>
      <c r="E112" s="32">
        <f>IF($E$18="No",0,IF('Marginal Capacity Costs Inputs'!E105="No",0,1))</f>
        <v>0</v>
      </c>
      <c r="F112" s="24" t="str">
        <f>IF(E112=0,"",(1-'RF - Calculations'!$E$6))</f>
        <v/>
      </c>
      <c r="G112" s="24" t="str">
        <f>IF(E112=0,"",IF('Marginal Capacity Costs Inputs'!$H105=Lists!$D$21,SUMIFS($F$13:$F$14,$D$13:$D$14,$E$19)*'Inflation - Calculations'!$E$7,'Marginal Capacity Costs Inputs'!$I106))</f>
        <v/>
      </c>
      <c r="H112" s="24" t="str">
        <f>IF(E112=0,"",IF('Marginal Capacity Costs Inputs'!$J105=Lists!$D$21,SUMIFS($G$13:$G$14,$D$13:$D$14,$E$19)*'Inflation - Calculations'!$E$8,'Marginal Capacity Costs Inputs'!$K106))</f>
        <v/>
      </c>
      <c r="I112" s="24" t="str">
        <f>IF(E112=0,"",SUMIFS($M$13:$M$14,$D$13:$D$14,$E$19))</f>
        <v/>
      </c>
      <c r="J112" s="194" t="str">
        <f>IF(E112=0,"",IF('Marginal Capacity Costs Inputs'!N105="Default",'Marginal Capacity Costs Inputs'!O105,'Marginal Capacity Costs Inputs'!O106)/IF('Marginal Capacity Costs Inputs'!P105="Default",'Marginal Capacity Costs Inputs'!Q105,'Marginal Capacity Costs Inputs'!Q106))</f>
        <v/>
      </c>
      <c r="K112" s="194" t="str">
        <f t="shared" ref="K112" si="559">IF(E112=0,"",J112*I112)</f>
        <v/>
      </c>
      <c r="L112" s="194" t="str">
        <f>IF(E112=0,"",1/IF('Marginal Capacity Costs Inputs'!R105="Default",'Marginal Capacity Costs Inputs'!S105,'Marginal Capacity Costs Inputs'!S106))</f>
        <v/>
      </c>
      <c r="M112" s="194" t="str">
        <f>IF(E112=0,"",I112*((K112+L112)/K112)^SUMIFS($E$13:$E$14,$D$13:$D$14,$E$19))</f>
        <v/>
      </c>
      <c r="N112" s="194" t="str">
        <f>IF(E112=0,"",I112/((IF('Marginal Capacity Costs Inputs'!L105="Default",'Marginal Capacity Costs Inputs'!M105,'Marginal Capacity Costs Inputs'!M106)/(IF('Marginal Capacity Costs Inputs'!R105="Default",'Marginal Capacity Costs Inputs'!S105,'Marginal Capacity Costs Inputs'!S106)*2))))</f>
        <v/>
      </c>
      <c r="O112" s="194" t="str">
        <f t="shared" ref="O112" si="560">IF(E112=0,"",N112/2)</f>
        <v/>
      </c>
      <c r="P112" s="194" t="str">
        <f>IF(E112=0,"",M112/((IF('Marginal Capacity Costs Inputs'!L105="Default",'Marginal Capacity Costs Inputs'!M105,'Marginal Capacity Costs Inputs'!M106)/(IF('Marginal Capacity Costs Inputs'!R105="Default",'Marginal Capacity Costs Inputs'!S105,'Marginal Capacity Costs Inputs'!S106)*2))))</f>
        <v/>
      </c>
      <c r="Q112" s="194" t="str">
        <f t="shared" ref="Q112" si="561">IF(E112=0,"",P112/2)</f>
        <v/>
      </c>
      <c r="R112" s="194" t="str">
        <f t="shared" ref="R112" si="562">IF(E112=0,"",Q112-O112)</f>
        <v/>
      </c>
      <c r="S112" s="194" t="str">
        <f>IF(E112=0,"",(R112*IF('Marginal Capacity Costs Inputs'!H105="Default",'Marginal Capacity Costs Inputs'!I105,'Marginal Capacity Costs Inputs'!I106)))</f>
        <v/>
      </c>
      <c r="T112" s="194" t="str">
        <f>IF(E112=0,"",I112*IF('Marginal Capacity Costs Inputs'!R105="Default",'Marginal Capacity Costs Inputs'!S105,'Marginal Capacity Costs Inputs'!S106)*2)</f>
        <v/>
      </c>
      <c r="U112" s="194" t="str">
        <f t="shared" ref="U112" si="563">IF(E112=0,"",T112/2)</f>
        <v/>
      </c>
      <c r="V112" s="194" t="str">
        <f>IF(E112=0,"",M112*IF('Marginal Capacity Costs Inputs'!R105="Default",'Marginal Capacity Costs Inputs'!S105,'Marginal Capacity Costs Inputs'!S106)*2)</f>
        <v/>
      </c>
      <c r="W112" s="194" t="str">
        <f t="shared" ref="W112" si="564">IF(E112=0,"",V112/2)</f>
        <v/>
      </c>
      <c r="X112" s="194" t="str">
        <f t="shared" ref="X112" si="565">IF(E112=0,"",W112-U112)</f>
        <v/>
      </c>
      <c r="Y112" s="195" t="str">
        <f>IF(E112=0,"",X112*IF('Marginal Capacity Costs Inputs'!J105="Default",'Marginal Capacity Costs Inputs'!K105,'Marginal Capacity Costs Inputs'!K106))</f>
        <v/>
      </c>
      <c r="Z112" s="196" t="str">
        <f t="shared" ref="Z112" si="566">IF(E112=0,"",Y112+S112)</f>
        <v/>
      </c>
      <c r="AA112" s="197" t="str">
        <f t="shared" ref="AA112" si="567">IF(E112=0,"",(M112-I112)/I112)</f>
        <v/>
      </c>
      <c r="AB112" s="197" t="str">
        <f>IF(E112=0,"",AA112*SUMIFS($N$13:$N$14,$D$13:$D$14,$E$19))</f>
        <v/>
      </c>
      <c r="AC112" s="198" t="str">
        <f>IF(E112=0,"",K112*IF('Marginal Capacity Costs Inputs'!R105="Default",'Marginal Capacity Costs Inputs'!S105,'Marginal Capacity Costs Inputs'!S106)*2)</f>
        <v/>
      </c>
      <c r="AD112" s="195" t="str">
        <f t="shared" ref="AD112" si="568">IF(E112=0,"",AC112/2)</f>
        <v/>
      </c>
      <c r="AE112" s="198" t="str">
        <f>IF(E112=0,"",AD112*IF('Marginal Capacity Costs Inputs'!U105="Default",'Marginal Capacity Costs Inputs'!V105,'Marginal Capacity Costs Inputs'!V106))</f>
        <v/>
      </c>
      <c r="AF112" s="195" t="str">
        <f t="shared" ref="AF112" si="569">IF(E112=0,"",AB112*AE112)</f>
        <v/>
      </c>
      <c r="AG112" s="196" t="str">
        <f>IF(E112=0,"",AF112*'Marginal Capacity Costs Inputs'!T105)</f>
        <v/>
      </c>
      <c r="AH112" s="196" t="str">
        <f>IF(E112=0,"",AF112*'MOC - Calculations'!$E$6)</f>
        <v/>
      </c>
      <c r="AI112" s="199" t="str">
        <f t="shared" ref="AI112" si="570">IF(E112=0,"",Z112-AG112+AH112)</f>
        <v/>
      </c>
      <c r="AJ112" s="195" t="str">
        <f t="shared" ref="AJ112" si="571">IF(E112=0,"",IF(AI112&lt;0,0,AI112))</f>
        <v/>
      </c>
      <c r="AK112" s="195" t="str">
        <f>IF(E112=0,"",AJ112*'Marginal Capacity Costs Inputs'!G105*'MCC - Calculations'!F112)</f>
        <v/>
      </c>
    </row>
    <row r="113" spans="1:40" customFormat="1" ht="14.45"/>
    <row r="114" spans="1:40">
      <c r="A114" s="12"/>
      <c r="D114" s="32">
        <v>46</v>
      </c>
      <c r="E114" s="32">
        <f>IF($E$18="No",0,IF('Marginal Capacity Costs Inputs'!E107="No",0,1))</f>
        <v>0</v>
      </c>
      <c r="F114" s="24" t="str">
        <f>IF(E114=0,"",(1-'RF - Calculations'!$E$6))</f>
        <v/>
      </c>
      <c r="G114" s="24" t="str">
        <f>IF(E114=0,"",IF('Marginal Capacity Costs Inputs'!$H107=Lists!$D$21,SUMIFS($F$13:$F$14,$D$13:$D$14,$E$19)*'Inflation - Calculations'!$E$7,'Marginal Capacity Costs Inputs'!$I108))</f>
        <v/>
      </c>
      <c r="H114" s="24" t="str">
        <f>IF(E114=0,"",IF('Marginal Capacity Costs Inputs'!$J107=Lists!$D$21,SUMIFS($G$13:$G$14,$D$13:$D$14,$E$19)*'Inflation - Calculations'!$E$8,'Marginal Capacity Costs Inputs'!$K108))</f>
        <v/>
      </c>
      <c r="I114" s="24" t="str">
        <f>IF(E114=0,"",SUMIFS($M$13:$M$14,$D$13:$D$14,$E$19))</f>
        <v/>
      </c>
      <c r="J114" s="194" t="str">
        <f>IF(E114=0,"",IF('Marginal Capacity Costs Inputs'!N107="Default",'Marginal Capacity Costs Inputs'!O107,'Marginal Capacity Costs Inputs'!O108)/IF('Marginal Capacity Costs Inputs'!P107="Default",'Marginal Capacity Costs Inputs'!Q107,'Marginal Capacity Costs Inputs'!Q108))</f>
        <v/>
      </c>
      <c r="K114" s="194" t="str">
        <f t="shared" ref="K114" si="572">IF(E114=0,"",J114*I114)</f>
        <v/>
      </c>
      <c r="L114" s="194" t="str">
        <f>IF(E114=0,"",1/IF('Marginal Capacity Costs Inputs'!R107="Default",'Marginal Capacity Costs Inputs'!S107,'Marginal Capacity Costs Inputs'!S108))</f>
        <v/>
      </c>
      <c r="M114" s="194" t="str">
        <f>IF(E114=0,"",I114*((K114+L114)/K114)^SUMIFS($E$13:$E$14,$D$13:$D$14,$E$19))</f>
        <v/>
      </c>
      <c r="N114" s="194" t="str">
        <f>IF(E114=0,"",I114/((IF('Marginal Capacity Costs Inputs'!L107="Default",'Marginal Capacity Costs Inputs'!M107,'Marginal Capacity Costs Inputs'!M108)/(IF('Marginal Capacity Costs Inputs'!R107="Default",'Marginal Capacity Costs Inputs'!S107,'Marginal Capacity Costs Inputs'!S108)*2))))</f>
        <v/>
      </c>
      <c r="O114" s="194" t="str">
        <f t="shared" ref="O114" si="573">IF(E114=0,"",N114/2)</f>
        <v/>
      </c>
      <c r="P114" s="194" t="str">
        <f>IF(E114=0,"",M114/((IF('Marginal Capacity Costs Inputs'!L107="Default",'Marginal Capacity Costs Inputs'!M107,'Marginal Capacity Costs Inputs'!M108)/(IF('Marginal Capacity Costs Inputs'!R107="Default",'Marginal Capacity Costs Inputs'!S107,'Marginal Capacity Costs Inputs'!S108)*2))))</f>
        <v/>
      </c>
      <c r="Q114" s="194" t="str">
        <f t="shared" ref="Q114" si="574">IF(E114=0,"",P114/2)</f>
        <v/>
      </c>
      <c r="R114" s="194" t="str">
        <f t="shared" ref="R114" si="575">IF(E114=0,"",Q114-O114)</f>
        <v/>
      </c>
      <c r="S114" s="194" t="str">
        <f>IF(E114=0,"",(R114*IF('Marginal Capacity Costs Inputs'!H107="Default",'Marginal Capacity Costs Inputs'!I107,'Marginal Capacity Costs Inputs'!I108)))</f>
        <v/>
      </c>
      <c r="T114" s="194" t="str">
        <f>IF(E114=0,"",I114*IF('Marginal Capacity Costs Inputs'!R107="Default",'Marginal Capacity Costs Inputs'!S107,'Marginal Capacity Costs Inputs'!S108)*2)</f>
        <v/>
      </c>
      <c r="U114" s="194" t="str">
        <f t="shared" ref="U114" si="576">IF(E114=0,"",T114/2)</f>
        <v/>
      </c>
      <c r="V114" s="194" t="str">
        <f>IF(E114=0,"",M114*IF('Marginal Capacity Costs Inputs'!R107="Default",'Marginal Capacity Costs Inputs'!S107,'Marginal Capacity Costs Inputs'!S108)*2)</f>
        <v/>
      </c>
      <c r="W114" s="194" t="str">
        <f t="shared" ref="W114" si="577">IF(E114=0,"",V114/2)</f>
        <v/>
      </c>
      <c r="X114" s="194" t="str">
        <f t="shared" ref="X114" si="578">IF(E114=0,"",W114-U114)</f>
        <v/>
      </c>
      <c r="Y114" s="195" t="str">
        <f>IF(E114=0,"",X114*IF('Marginal Capacity Costs Inputs'!J107="Default",'Marginal Capacity Costs Inputs'!K107,'Marginal Capacity Costs Inputs'!K108))</f>
        <v/>
      </c>
      <c r="Z114" s="196" t="str">
        <f t="shared" ref="Z114" si="579">IF(E114=0,"",Y114+S114)</f>
        <v/>
      </c>
      <c r="AA114" s="197" t="str">
        <f t="shared" ref="AA114" si="580">IF(E114=0,"",(M114-I114)/I114)</f>
        <v/>
      </c>
      <c r="AB114" s="197" t="str">
        <f>IF(E114=0,"",AA114*SUMIFS($N$13:$N$14,$D$13:$D$14,$E$19))</f>
        <v/>
      </c>
      <c r="AC114" s="198" t="str">
        <f>IF(E114=0,"",K114*IF('Marginal Capacity Costs Inputs'!R107="Default",'Marginal Capacity Costs Inputs'!S107,'Marginal Capacity Costs Inputs'!S108)*2)</f>
        <v/>
      </c>
      <c r="AD114" s="195" t="str">
        <f t="shared" ref="AD114" si="581">IF(E114=0,"",AC114/2)</f>
        <v/>
      </c>
      <c r="AE114" s="198" t="str">
        <f>IF(E114=0,"",AD114*IF('Marginal Capacity Costs Inputs'!U107="Default",'Marginal Capacity Costs Inputs'!V107,'Marginal Capacity Costs Inputs'!V108))</f>
        <v/>
      </c>
      <c r="AF114" s="195" t="str">
        <f t="shared" ref="AF114" si="582">IF(E114=0,"",AB114*AE114)</f>
        <v/>
      </c>
      <c r="AG114" s="196" t="str">
        <f>IF(E114=0,"",AF114*'Marginal Capacity Costs Inputs'!T107)</f>
        <v/>
      </c>
      <c r="AH114" s="196" t="str">
        <f>IF(E114=0,"",AF114*'MOC - Calculations'!$E$6)</f>
        <v/>
      </c>
      <c r="AI114" s="199" t="str">
        <f t="shared" ref="AI114" si="583">IF(E114=0,"",Z114-AG114+AH114)</f>
        <v/>
      </c>
      <c r="AJ114" s="195" t="str">
        <f t="shared" ref="AJ114" si="584">IF(E114=0,"",IF(AI114&lt;0,0,AI114))</f>
        <v/>
      </c>
      <c r="AK114" s="195" t="str">
        <f>IF(E114=0,"",AJ114*'Marginal Capacity Costs Inputs'!G107*'MCC - Calculations'!F114)</f>
        <v/>
      </c>
    </row>
    <row r="115" spans="1:40" customFormat="1" ht="14.45"/>
    <row r="116" spans="1:40">
      <c r="A116" s="12"/>
      <c r="D116" s="32">
        <v>47</v>
      </c>
      <c r="E116" s="32">
        <f>IF($E$18="No",0,IF('Marginal Capacity Costs Inputs'!E109="No",0,1))</f>
        <v>0</v>
      </c>
      <c r="F116" s="24" t="str">
        <f>IF(E116=0,"",(1-'RF - Calculations'!$E$6))</f>
        <v/>
      </c>
      <c r="G116" s="24" t="str">
        <f>IF(E116=0,"",IF('Marginal Capacity Costs Inputs'!$H109=Lists!$D$21,SUMIFS($F$13:$F$14,$D$13:$D$14,$E$19)*'Inflation - Calculations'!$E$7,'Marginal Capacity Costs Inputs'!$I110))</f>
        <v/>
      </c>
      <c r="H116" s="24" t="str">
        <f>IF(E116=0,"",IF('Marginal Capacity Costs Inputs'!$J109=Lists!$D$21,SUMIFS($G$13:$G$14,$D$13:$D$14,$E$19)*'Inflation - Calculations'!$E$8,'Marginal Capacity Costs Inputs'!$K110))</f>
        <v/>
      </c>
      <c r="I116" s="24" t="str">
        <f>IF(E116=0,"",SUMIFS($M$13:$M$14,$D$13:$D$14,$E$19))</f>
        <v/>
      </c>
      <c r="J116" s="194" t="str">
        <f>IF(E116=0,"",IF('Marginal Capacity Costs Inputs'!N109="Default",'Marginal Capacity Costs Inputs'!O109,'Marginal Capacity Costs Inputs'!O110)/IF('Marginal Capacity Costs Inputs'!P109="Default",'Marginal Capacity Costs Inputs'!Q109,'Marginal Capacity Costs Inputs'!Q110))</f>
        <v/>
      </c>
      <c r="K116" s="194" t="str">
        <f t="shared" ref="K116" si="585">IF(E116=0,"",J116*I116)</f>
        <v/>
      </c>
      <c r="L116" s="194" t="str">
        <f>IF(E116=0,"",1/IF('Marginal Capacity Costs Inputs'!R109="Default",'Marginal Capacity Costs Inputs'!S109,'Marginal Capacity Costs Inputs'!S110))</f>
        <v/>
      </c>
      <c r="M116" s="194" t="str">
        <f>IF(E116=0,"",I116*((K116+L116)/K116)^SUMIFS($E$13:$E$14,$D$13:$D$14,$E$19))</f>
        <v/>
      </c>
      <c r="N116" s="194" t="str">
        <f>IF(E116=0,"",I116/((IF('Marginal Capacity Costs Inputs'!L109="Default",'Marginal Capacity Costs Inputs'!M109,'Marginal Capacity Costs Inputs'!M110)/(IF('Marginal Capacity Costs Inputs'!R109="Default",'Marginal Capacity Costs Inputs'!S109,'Marginal Capacity Costs Inputs'!S110)*2))))</f>
        <v/>
      </c>
      <c r="O116" s="194" t="str">
        <f t="shared" ref="O116" si="586">IF(E116=0,"",N116/2)</f>
        <v/>
      </c>
      <c r="P116" s="194" t="str">
        <f>IF(E116=0,"",M116/((IF('Marginal Capacity Costs Inputs'!L109="Default",'Marginal Capacity Costs Inputs'!M109,'Marginal Capacity Costs Inputs'!M110)/(IF('Marginal Capacity Costs Inputs'!R109="Default",'Marginal Capacity Costs Inputs'!S109,'Marginal Capacity Costs Inputs'!S110)*2))))</f>
        <v/>
      </c>
      <c r="Q116" s="194" t="str">
        <f t="shared" ref="Q116" si="587">IF(E116=0,"",P116/2)</f>
        <v/>
      </c>
      <c r="R116" s="194" t="str">
        <f t="shared" ref="R116" si="588">IF(E116=0,"",Q116-O116)</f>
        <v/>
      </c>
      <c r="S116" s="194" t="str">
        <f>IF(E116=0,"",(R116*IF('Marginal Capacity Costs Inputs'!H109="Default",'Marginal Capacity Costs Inputs'!I109,'Marginal Capacity Costs Inputs'!I110)))</f>
        <v/>
      </c>
      <c r="T116" s="194" t="str">
        <f>IF(E116=0,"",I116*IF('Marginal Capacity Costs Inputs'!R109="Default",'Marginal Capacity Costs Inputs'!S109,'Marginal Capacity Costs Inputs'!S110)*2)</f>
        <v/>
      </c>
      <c r="U116" s="194" t="str">
        <f t="shared" ref="U116" si="589">IF(E116=0,"",T116/2)</f>
        <v/>
      </c>
      <c r="V116" s="194" t="str">
        <f>IF(E116=0,"",M116*IF('Marginal Capacity Costs Inputs'!R109="Default",'Marginal Capacity Costs Inputs'!S109,'Marginal Capacity Costs Inputs'!S110)*2)</f>
        <v/>
      </c>
      <c r="W116" s="194" t="str">
        <f t="shared" ref="W116" si="590">IF(E116=0,"",V116/2)</f>
        <v/>
      </c>
      <c r="X116" s="194" t="str">
        <f t="shared" ref="X116" si="591">IF(E116=0,"",W116-U116)</f>
        <v/>
      </c>
      <c r="Y116" s="195" t="str">
        <f>IF(E116=0,"",X116*IF('Marginal Capacity Costs Inputs'!J109="Default",'Marginal Capacity Costs Inputs'!K109,'Marginal Capacity Costs Inputs'!K110))</f>
        <v/>
      </c>
      <c r="Z116" s="196" t="str">
        <f t="shared" ref="Z116" si="592">IF(E116=0,"",Y116+S116)</f>
        <v/>
      </c>
      <c r="AA116" s="197" t="str">
        <f t="shared" ref="AA116" si="593">IF(E116=0,"",(M116-I116)/I116)</f>
        <v/>
      </c>
      <c r="AB116" s="197" t="str">
        <f>IF(E116=0,"",AA116*SUMIFS($N$13:$N$14,$D$13:$D$14,$E$19))</f>
        <v/>
      </c>
      <c r="AC116" s="198" t="str">
        <f>IF(E116=0,"",K116*IF('Marginal Capacity Costs Inputs'!R109="Default",'Marginal Capacity Costs Inputs'!S109,'Marginal Capacity Costs Inputs'!S110)*2)</f>
        <v/>
      </c>
      <c r="AD116" s="195" t="str">
        <f t="shared" ref="AD116" si="594">IF(E116=0,"",AC116/2)</f>
        <v/>
      </c>
      <c r="AE116" s="198" t="str">
        <f>IF(E116=0,"",AD116*IF('Marginal Capacity Costs Inputs'!U109="Default",'Marginal Capacity Costs Inputs'!V109,'Marginal Capacity Costs Inputs'!V110))</f>
        <v/>
      </c>
      <c r="AF116" s="195" t="str">
        <f t="shared" ref="AF116" si="595">IF(E116=0,"",AB116*AE116)</f>
        <v/>
      </c>
      <c r="AG116" s="196" t="str">
        <f>IF(E116=0,"",AF116*'Marginal Capacity Costs Inputs'!T109)</f>
        <v/>
      </c>
      <c r="AH116" s="196" t="str">
        <f>IF(E116=0,"",AF116*'MOC - Calculations'!$E$6)</f>
        <v/>
      </c>
      <c r="AI116" s="199" t="str">
        <f t="shared" ref="AI116" si="596">IF(E116=0,"",Z116-AG116+AH116)</f>
        <v/>
      </c>
      <c r="AJ116" s="195" t="str">
        <f t="shared" ref="AJ116" si="597">IF(E116=0,"",IF(AI116&lt;0,0,AI116))</f>
        <v/>
      </c>
      <c r="AK116" s="195" t="str">
        <f>IF(E116=0,"",AJ116*'Marginal Capacity Costs Inputs'!G109*'MCC - Calculations'!F116)</f>
        <v/>
      </c>
    </row>
    <row r="117" spans="1:40" customFormat="1" ht="14.45"/>
    <row r="118" spans="1:40">
      <c r="A118" s="12"/>
      <c r="D118" s="32">
        <v>48</v>
      </c>
      <c r="E118" s="32">
        <f>IF($E$18="No",0,IF('Marginal Capacity Costs Inputs'!E111="No",0,1))</f>
        <v>0</v>
      </c>
      <c r="F118" s="24" t="str">
        <f>IF(E118=0,"",(1-'RF - Calculations'!$E$6))</f>
        <v/>
      </c>
      <c r="G118" s="24" t="str">
        <f>IF(E118=0,"",IF('Marginal Capacity Costs Inputs'!$H111=Lists!$D$21,SUMIFS($F$13:$F$14,$D$13:$D$14,$E$19)*'Inflation - Calculations'!$E$7,'Marginal Capacity Costs Inputs'!$I112))</f>
        <v/>
      </c>
      <c r="H118" s="24" t="str">
        <f>IF(E118=0,"",IF('Marginal Capacity Costs Inputs'!$J111=Lists!$D$21,SUMIFS($G$13:$G$14,$D$13:$D$14,$E$19)*'Inflation - Calculations'!$E$8,'Marginal Capacity Costs Inputs'!$K112))</f>
        <v/>
      </c>
      <c r="I118" s="24" t="str">
        <f>IF(E118=0,"",SUMIFS($M$13:$M$14,$D$13:$D$14,$E$19))</f>
        <v/>
      </c>
      <c r="J118" s="194" t="str">
        <f>IF(E118=0,"",IF('Marginal Capacity Costs Inputs'!N111="Default",'Marginal Capacity Costs Inputs'!O111,'Marginal Capacity Costs Inputs'!O112)/IF('Marginal Capacity Costs Inputs'!P111="Default",'Marginal Capacity Costs Inputs'!Q111,'Marginal Capacity Costs Inputs'!Q112))</f>
        <v/>
      </c>
      <c r="K118" s="194" t="str">
        <f t="shared" ref="K118" si="598">IF(E118=0,"",J118*I118)</f>
        <v/>
      </c>
      <c r="L118" s="194" t="str">
        <f>IF(E118=0,"",1/IF('Marginal Capacity Costs Inputs'!R111="Default",'Marginal Capacity Costs Inputs'!S111,'Marginal Capacity Costs Inputs'!S112))</f>
        <v/>
      </c>
      <c r="M118" s="194" t="str">
        <f>IF(E118=0,"",I118*((K118+L118)/K118)^SUMIFS($E$13:$E$14,$D$13:$D$14,$E$19))</f>
        <v/>
      </c>
      <c r="N118" s="194" t="str">
        <f>IF(E118=0,"",I118/((IF('Marginal Capacity Costs Inputs'!L111="Default",'Marginal Capacity Costs Inputs'!M111,'Marginal Capacity Costs Inputs'!M112)/(IF('Marginal Capacity Costs Inputs'!R111="Default",'Marginal Capacity Costs Inputs'!S111,'Marginal Capacity Costs Inputs'!S112)*2))))</f>
        <v/>
      </c>
      <c r="O118" s="194" t="str">
        <f t="shared" ref="O118" si="599">IF(E118=0,"",N118/2)</f>
        <v/>
      </c>
      <c r="P118" s="194" t="str">
        <f>IF(E118=0,"",M118/((IF('Marginal Capacity Costs Inputs'!L111="Default",'Marginal Capacity Costs Inputs'!M111,'Marginal Capacity Costs Inputs'!M112)/(IF('Marginal Capacity Costs Inputs'!R111="Default",'Marginal Capacity Costs Inputs'!S111,'Marginal Capacity Costs Inputs'!S112)*2))))</f>
        <v/>
      </c>
      <c r="Q118" s="194" t="str">
        <f t="shared" ref="Q118" si="600">IF(E118=0,"",P118/2)</f>
        <v/>
      </c>
      <c r="R118" s="194" t="str">
        <f t="shared" ref="R118" si="601">IF(E118=0,"",Q118-O118)</f>
        <v/>
      </c>
      <c r="S118" s="194" t="str">
        <f>IF(E118=0,"",(R118*IF('Marginal Capacity Costs Inputs'!H111="Default",'Marginal Capacity Costs Inputs'!I111,'Marginal Capacity Costs Inputs'!I112)))</f>
        <v/>
      </c>
      <c r="T118" s="194" t="str">
        <f>IF(E118=0,"",I118*IF('Marginal Capacity Costs Inputs'!R111="Default",'Marginal Capacity Costs Inputs'!S111,'Marginal Capacity Costs Inputs'!S112)*2)</f>
        <v/>
      </c>
      <c r="U118" s="194" t="str">
        <f t="shared" ref="U118" si="602">IF(E118=0,"",T118/2)</f>
        <v/>
      </c>
      <c r="V118" s="194" t="str">
        <f>IF(E118=0,"",M118*IF('Marginal Capacity Costs Inputs'!R111="Default",'Marginal Capacity Costs Inputs'!S111,'Marginal Capacity Costs Inputs'!S112)*2)</f>
        <v/>
      </c>
      <c r="W118" s="194" t="str">
        <f t="shared" ref="W118" si="603">IF(E118=0,"",V118/2)</f>
        <v/>
      </c>
      <c r="X118" s="194" t="str">
        <f t="shared" ref="X118" si="604">IF(E118=0,"",W118-U118)</f>
        <v/>
      </c>
      <c r="Y118" s="195" t="str">
        <f>IF(E118=0,"",X118*IF('Marginal Capacity Costs Inputs'!J111="Default",'Marginal Capacity Costs Inputs'!K111,'Marginal Capacity Costs Inputs'!K112))</f>
        <v/>
      </c>
      <c r="Z118" s="196" t="str">
        <f t="shared" ref="Z118" si="605">IF(E118=0,"",Y118+S118)</f>
        <v/>
      </c>
      <c r="AA118" s="197" t="str">
        <f t="shared" ref="AA118" si="606">IF(E118=0,"",(M118-I118)/I118)</f>
        <v/>
      </c>
      <c r="AB118" s="197" t="str">
        <f>IF(E118=0,"",AA118*SUMIFS($N$13:$N$14,$D$13:$D$14,$E$19))</f>
        <v/>
      </c>
      <c r="AC118" s="198" t="str">
        <f>IF(E118=0,"",K118*IF('Marginal Capacity Costs Inputs'!R111="Default",'Marginal Capacity Costs Inputs'!S111,'Marginal Capacity Costs Inputs'!S112)*2)</f>
        <v/>
      </c>
      <c r="AD118" s="195" t="str">
        <f t="shared" ref="AD118" si="607">IF(E118=0,"",AC118/2)</f>
        <v/>
      </c>
      <c r="AE118" s="198" t="str">
        <f>IF(E118=0,"",AD118*IF('Marginal Capacity Costs Inputs'!U111="Default",'Marginal Capacity Costs Inputs'!V111,'Marginal Capacity Costs Inputs'!V112))</f>
        <v/>
      </c>
      <c r="AF118" s="195" t="str">
        <f t="shared" ref="AF118" si="608">IF(E118=0,"",AB118*AE118)</f>
        <v/>
      </c>
      <c r="AG118" s="196" t="str">
        <f>IF(E118=0,"",AF118*'Marginal Capacity Costs Inputs'!T111)</f>
        <v/>
      </c>
      <c r="AH118" s="196" t="str">
        <f>IF(E118=0,"",AF118*'MOC - Calculations'!$E$6)</f>
        <v/>
      </c>
      <c r="AI118" s="199" t="str">
        <f t="shared" ref="AI118" si="609">IF(E118=0,"",Z118-AG118+AH118)</f>
        <v/>
      </c>
      <c r="AJ118" s="195" t="str">
        <f t="shared" ref="AJ118" si="610">IF(E118=0,"",IF(AI118&lt;0,0,AI118))</f>
        <v/>
      </c>
      <c r="AK118" s="195" t="str">
        <f>IF(E118=0,"",AJ118*'Marginal Capacity Costs Inputs'!G111*'MCC - Calculations'!F118)</f>
        <v/>
      </c>
    </row>
    <row r="119" spans="1:40" customFormat="1" ht="14.45"/>
    <row r="120" spans="1:40">
      <c r="A120" s="12"/>
      <c r="D120" s="32">
        <v>49</v>
      </c>
      <c r="E120" s="32">
        <f>IF($E$18="No",0,IF('Marginal Capacity Costs Inputs'!E113="No",0,1))</f>
        <v>0</v>
      </c>
      <c r="F120" s="24" t="str">
        <f>IF(E120=0,"",(1-'RF - Calculations'!$E$6))</f>
        <v/>
      </c>
      <c r="G120" s="24" t="str">
        <f>IF(E120=0,"",IF('Marginal Capacity Costs Inputs'!$H113=Lists!$D$21,SUMIFS($F$13:$F$14,$D$13:$D$14,$E$19)*'Inflation - Calculations'!$E$7,'Marginal Capacity Costs Inputs'!$I114))</f>
        <v/>
      </c>
      <c r="H120" s="24" t="str">
        <f>IF(E120=0,"",IF('Marginal Capacity Costs Inputs'!$J113=Lists!$D$21,SUMIFS($G$13:$G$14,$D$13:$D$14,$E$19)*'Inflation - Calculations'!$E$8,'Marginal Capacity Costs Inputs'!$K114))</f>
        <v/>
      </c>
      <c r="I120" s="24" t="str">
        <f>IF(E120=0,"",SUMIFS($M$13:$M$14,$D$13:$D$14,$E$19))</f>
        <v/>
      </c>
      <c r="J120" s="194" t="str">
        <f>IF(E120=0,"",IF('Marginal Capacity Costs Inputs'!N113="Default",'Marginal Capacity Costs Inputs'!O113,'Marginal Capacity Costs Inputs'!O114)/IF('Marginal Capacity Costs Inputs'!P113="Default",'Marginal Capacity Costs Inputs'!Q113,'Marginal Capacity Costs Inputs'!Q114))</f>
        <v/>
      </c>
      <c r="K120" s="194" t="str">
        <f t="shared" ref="K120" si="611">IF(E120=0,"",J120*I120)</f>
        <v/>
      </c>
      <c r="L120" s="194" t="str">
        <f>IF(E120=0,"",1/IF('Marginal Capacity Costs Inputs'!R113="Default",'Marginal Capacity Costs Inputs'!S113,'Marginal Capacity Costs Inputs'!S114))</f>
        <v/>
      </c>
      <c r="M120" s="194" t="str">
        <f>IF(E120=0,"",I120*((K120+L120)/K120)^SUMIFS($E$13:$E$14,$D$13:$D$14,$E$19))</f>
        <v/>
      </c>
      <c r="N120" s="194" t="str">
        <f>IF(E120=0,"",I120/((IF('Marginal Capacity Costs Inputs'!L113="Default",'Marginal Capacity Costs Inputs'!M113,'Marginal Capacity Costs Inputs'!M114)/(IF('Marginal Capacity Costs Inputs'!R113="Default",'Marginal Capacity Costs Inputs'!S113,'Marginal Capacity Costs Inputs'!S114)*2))))</f>
        <v/>
      </c>
      <c r="O120" s="194" t="str">
        <f t="shared" ref="O120" si="612">IF(E120=0,"",N120/2)</f>
        <v/>
      </c>
      <c r="P120" s="194" t="str">
        <f>IF(E120=0,"",M120/((IF('Marginal Capacity Costs Inputs'!L113="Default",'Marginal Capacity Costs Inputs'!M113,'Marginal Capacity Costs Inputs'!M114)/(IF('Marginal Capacity Costs Inputs'!R113="Default",'Marginal Capacity Costs Inputs'!S113,'Marginal Capacity Costs Inputs'!S114)*2))))</f>
        <v/>
      </c>
      <c r="Q120" s="194" t="str">
        <f t="shared" ref="Q120" si="613">IF(E120=0,"",P120/2)</f>
        <v/>
      </c>
      <c r="R120" s="194" t="str">
        <f t="shared" ref="R120" si="614">IF(E120=0,"",Q120-O120)</f>
        <v/>
      </c>
      <c r="S120" s="194" t="str">
        <f>IF(E120=0,"",(R120*IF('Marginal Capacity Costs Inputs'!H113="Default",'Marginal Capacity Costs Inputs'!I113,'Marginal Capacity Costs Inputs'!I114)))</f>
        <v/>
      </c>
      <c r="T120" s="194" t="str">
        <f>IF(E120=0,"",I120*IF('Marginal Capacity Costs Inputs'!R113="Default",'Marginal Capacity Costs Inputs'!S113,'Marginal Capacity Costs Inputs'!S114)*2)</f>
        <v/>
      </c>
      <c r="U120" s="194" t="str">
        <f t="shared" ref="U120" si="615">IF(E120=0,"",T120/2)</f>
        <v/>
      </c>
      <c r="V120" s="194" t="str">
        <f>IF(E120=0,"",M120*IF('Marginal Capacity Costs Inputs'!R113="Default",'Marginal Capacity Costs Inputs'!S113,'Marginal Capacity Costs Inputs'!S114)*2)</f>
        <v/>
      </c>
      <c r="W120" s="194" t="str">
        <f t="shared" ref="W120" si="616">IF(E120=0,"",V120/2)</f>
        <v/>
      </c>
      <c r="X120" s="194" t="str">
        <f t="shared" ref="X120" si="617">IF(E120=0,"",W120-U120)</f>
        <v/>
      </c>
      <c r="Y120" s="195" t="str">
        <f>IF(E120=0,"",X120*IF('Marginal Capacity Costs Inputs'!J113="Default",'Marginal Capacity Costs Inputs'!K113,'Marginal Capacity Costs Inputs'!K114))</f>
        <v/>
      </c>
      <c r="Z120" s="196" t="str">
        <f t="shared" ref="Z120" si="618">IF(E120=0,"",Y120+S120)</f>
        <v/>
      </c>
      <c r="AA120" s="197" t="str">
        <f t="shared" ref="AA120" si="619">IF(E120=0,"",(M120-I120)/I120)</f>
        <v/>
      </c>
      <c r="AB120" s="197" t="str">
        <f>IF(E120=0,"",AA120*SUMIFS($N$13:$N$14,$D$13:$D$14,$E$19))</f>
        <v/>
      </c>
      <c r="AC120" s="198" t="str">
        <f>IF(E120=0,"",K120*IF('Marginal Capacity Costs Inputs'!R113="Default",'Marginal Capacity Costs Inputs'!S113,'Marginal Capacity Costs Inputs'!S114)*2)</f>
        <v/>
      </c>
      <c r="AD120" s="195" t="str">
        <f t="shared" ref="AD120" si="620">IF(E120=0,"",AC120/2)</f>
        <v/>
      </c>
      <c r="AE120" s="198" t="str">
        <f>IF(E120=0,"",AD120*IF('Marginal Capacity Costs Inputs'!U113="Default",'Marginal Capacity Costs Inputs'!V113,'Marginal Capacity Costs Inputs'!V114))</f>
        <v/>
      </c>
      <c r="AF120" s="195" t="str">
        <f t="shared" ref="AF120" si="621">IF(E120=0,"",AB120*AE120)</f>
        <v/>
      </c>
      <c r="AG120" s="196" t="str">
        <f>IF(E120=0,"",AF120*'Marginal Capacity Costs Inputs'!T113)</f>
        <v/>
      </c>
      <c r="AH120" s="196" t="str">
        <f>IF(E120=0,"",AF120*'MOC - Calculations'!$E$6)</f>
        <v/>
      </c>
      <c r="AI120" s="199" t="str">
        <f t="shared" ref="AI120" si="622">IF(E120=0,"",Z120-AG120+AH120)</f>
        <v/>
      </c>
      <c r="AJ120" s="195" t="str">
        <f t="shared" ref="AJ120" si="623">IF(E120=0,"",IF(AI120&lt;0,0,AI120))</f>
        <v/>
      </c>
      <c r="AK120" s="195" t="str">
        <f>IF(E120=0,"",AJ120*'Marginal Capacity Costs Inputs'!G113*'MCC - Calculations'!F120)</f>
        <v/>
      </c>
    </row>
    <row r="121" spans="1:40" customFormat="1" ht="14.45"/>
    <row r="122" spans="1:40">
      <c r="A122" s="12"/>
      <c r="D122" s="32">
        <v>50</v>
      </c>
      <c r="E122" s="32">
        <f>IF($E$18="No",0,IF('Marginal Capacity Costs Inputs'!E115="No",0,1))</f>
        <v>0</v>
      </c>
      <c r="F122" s="24" t="str">
        <f>IF(E122=0,"",(1-'RF - Calculations'!$E$6))</f>
        <v/>
      </c>
      <c r="G122" s="24" t="str">
        <f>IF(E122=0,"",IF('Marginal Capacity Costs Inputs'!$H115=Lists!$D$21,SUMIFS($F$13:$F$14,$D$13:$D$14,$E$19)*'Inflation - Calculations'!$E$7,'Marginal Capacity Costs Inputs'!$I116))</f>
        <v/>
      </c>
      <c r="H122" s="24" t="str">
        <f>IF(E122=0,"",IF('Marginal Capacity Costs Inputs'!$J115=Lists!$D$21,SUMIFS($G$13:$G$14,$D$13:$D$14,$E$19)*'Inflation - Calculations'!$E$8,'Marginal Capacity Costs Inputs'!$K116))</f>
        <v/>
      </c>
      <c r="I122" s="24" t="str">
        <f>IF(E122=0,"",SUMIFS($M$13:$M$14,$D$13:$D$14,$E$19))</f>
        <v/>
      </c>
      <c r="J122" s="194" t="str">
        <f>IF(E122=0,"",IF('Marginal Capacity Costs Inputs'!N115="Default",'Marginal Capacity Costs Inputs'!O115,'Marginal Capacity Costs Inputs'!O116)/IF('Marginal Capacity Costs Inputs'!P115="Default",'Marginal Capacity Costs Inputs'!Q115,'Marginal Capacity Costs Inputs'!Q116))</f>
        <v/>
      </c>
      <c r="K122" s="194" t="str">
        <f t="shared" ref="K122" si="624">IF(E122=0,"",J122*I122)</f>
        <v/>
      </c>
      <c r="L122" s="194" t="str">
        <f>IF(E122=0,"",1/IF('Marginal Capacity Costs Inputs'!R115="Default",'Marginal Capacity Costs Inputs'!S115,'Marginal Capacity Costs Inputs'!S116))</f>
        <v/>
      </c>
      <c r="M122" s="194" t="str">
        <f>IF(E122=0,"",I122*((K122+L122)/K122)^SUMIFS($E$13:$E$14,$D$13:$D$14,$E$19))</f>
        <v/>
      </c>
      <c r="N122" s="194" t="str">
        <f>IF(E122=0,"",I122/((IF('Marginal Capacity Costs Inputs'!L115="Default",'Marginal Capacity Costs Inputs'!M115,'Marginal Capacity Costs Inputs'!M116)/(IF('Marginal Capacity Costs Inputs'!R115="Default",'Marginal Capacity Costs Inputs'!S115,'Marginal Capacity Costs Inputs'!S116)*2))))</f>
        <v/>
      </c>
      <c r="O122" s="194" t="str">
        <f t="shared" ref="O122" si="625">IF(E122=0,"",N122/2)</f>
        <v/>
      </c>
      <c r="P122" s="194" t="str">
        <f>IF(E122=0,"",M122/((IF('Marginal Capacity Costs Inputs'!L115="Default",'Marginal Capacity Costs Inputs'!M115,'Marginal Capacity Costs Inputs'!M116)/(IF('Marginal Capacity Costs Inputs'!R115="Default",'Marginal Capacity Costs Inputs'!S115,'Marginal Capacity Costs Inputs'!S116)*2))))</f>
        <v/>
      </c>
      <c r="Q122" s="194" t="str">
        <f t="shared" ref="Q122" si="626">IF(E122=0,"",P122/2)</f>
        <v/>
      </c>
      <c r="R122" s="194" t="str">
        <f t="shared" ref="R122" si="627">IF(E122=0,"",Q122-O122)</f>
        <v/>
      </c>
      <c r="S122" s="194" t="str">
        <f>IF(E122=0,"",(R122*IF('Marginal Capacity Costs Inputs'!H115="Default",'Marginal Capacity Costs Inputs'!I115,'Marginal Capacity Costs Inputs'!I116)))</f>
        <v/>
      </c>
      <c r="T122" s="194" t="str">
        <f>IF(E122=0,"",I122*IF('Marginal Capacity Costs Inputs'!R115="Default",'Marginal Capacity Costs Inputs'!S115,'Marginal Capacity Costs Inputs'!S116)*2)</f>
        <v/>
      </c>
      <c r="U122" s="194" t="str">
        <f t="shared" ref="U122" si="628">IF(E122=0,"",T122/2)</f>
        <v/>
      </c>
      <c r="V122" s="194" t="str">
        <f>IF(E122=0,"",M122*IF('Marginal Capacity Costs Inputs'!R115="Default",'Marginal Capacity Costs Inputs'!S115,'Marginal Capacity Costs Inputs'!S116)*2)</f>
        <v/>
      </c>
      <c r="W122" s="194" t="str">
        <f t="shared" ref="W122" si="629">IF(E122=0,"",V122/2)</f>
        <v/>
      </c>
      <c r="X122" s="194" t="str">
        <f t="shared" ref="X122" si="630">IF(E122=0,"",W122-U122)</f>
        <v/>
      </c>
      <c r="Y122" s="195" t="str">
        <f>IF(E122=0,"",X122*IF('Marginal Capacity Costs Inputs'!J115="Default",'Marginal Capacity Costs Inputs'!K115,'Marginal Capacity Costs Inputs'!K116))</f>
        <v/>
      </c>
      <c r="Z122" s="196" t="str">
        <f t="shared" ref="Z122" si="631">IF(E122=0,"",Y122+S122)</f>
        <v/>
      </c>
      <c r="AA122" s="197" t="str">
        <f t="shared" ref="AA122" si="632">IF(E122=0,"",(M122-I122)/I122)</f>
        <v/>
      </c>
      <c r="AB122" s="197" t="str">
        <f>IF(E122=0,"",AA122*SUMIFS($N$13:$N$14,$D$13:$D$14,$E$19))</f>
        <v/>
      </c>
      <c r="AC122" s="198" t="str">
        <f>IF(E122=0,"",K122*IF('Marginal Capacity Costs Inputs'!R115="Default",'Marginal Capacity Costs Inputs'!S115,'Marginal Capacity Costs Inputs'!S116)*2)</f>
        <v/>
      </c>
      <c r="AD122" s="195" t="str">
        <f t="shared" ref="AD122" si="633">IF(E122=0,"",AC122/2)</f>
        <v/>
      </c>
      <c r="AE122" s="198" t="str">
        <f>IF(E122=0,"",AD122*IF('Marginal Capacity Costs Inputs'!U115="Default",'Marginal Capacity Costs Inputs'!V115,'Marginal Capacity Costs Inputs'!V116))</f>
        <v/>
      </c>
      <c r="AF122" s="195" t="str">
        <f t="shared" ref="AF122" si="634">IF(E122=0,"",AB122*AE122)</f>
        <v/>
      </c>
      <c r="AG122" s="196" t="str">
        <f>IF(E122=0,"",AF122*'Marginal Capacity Costs Inputs'!T115)</f>
        <v/>
      </c>
      <c r="AH122" s="196" t="str">
        <f>IF(E122=0,"",AF122*'MOC - Calculations'!$E$6)</f>
        <v/>
      </c>
      <c r="AI122" s="199" t="str">
        <f t="shared" ref="AI122" si="635">IF(E122=0,"",Z122-AG122+AH122)</f>
        <v/>
      </c>
      <c r="AJ122" s="195" t="str">
        <f t="shared" ref="AJ122" si="636">IF(E122=0,"",IF(AI122&lt;0,0,AI122))</f>
        <v/>
      </c>
      <c r="AK122" s="195" t="str">
        <f>IF(E122=0,"",AJ122*'Marginal Capacity Costs Inputs'!G115*'MCC - Calculations'!F122)</f>
        <v/>
      </c>
    </row>
    <row r="123" spans="1:40">
      <c r="A123" s="12"/>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row>
    <row r="124" spans="1:40" customFormat="1">
      <c r="B124" s="7"/>
    </row>
    <row r="125" spans="1:40">
      <c r="A125" s="49"/>
      <c r="B125" s="50"/>
      <c r="C125" s="50"/>
      <c r="D125" s="46" t="s">
        <v>23</v>
      </c>
      <c r="E125" s="50"/>
      <c r="F125" s="46"/>
      <c r="G125" s="45"/>
      <c r="H125" s="45"/>
      <c r="I125" s="51"/>
      <c r="J125" s="51"/>
      <c r="K125" s="51"/>
      <c r="L125" s="51"/>
      <c r="M125" s="51"/>
      <c r="N125" s="51"/>
      <c r="O125" s="51"/>
      <c r="P125" s="51"/>
      <c r="Q125" s="51"/>
      <c r="R125" s="51"/>
      <c r="S125" s="51"/>
      <c r="T125" s="51"/>
      <c r="U125" s="51"/>
      <c r="V125" s="51"/>
      <c r="W125" s="50"/>
      <c r="X125" s="50"/>
      <c r="Y125" s="50"/>
      <c r="Z125" s="50"/>
      <c r="AA125" s="50"/>
      <c r="AB125" s="50"/>
      <c r="AC125" s="50"/>
      <c r="AD125" s="50"/>
      <c r="AE125" s="50"/>
      <c r="AF125" s="50"/>
      <c r="AG125" s="50"/>
      <c r="AH125" s="50"/>
      <c r="AI125" s="50"/>
      <c r="AJ125" s="50"/>
      <c r="AK125" s="50"/>
      <c r="AL125" s="50"/>
      <c r="AM125" s="50"/>
      <c r="AN125" s="50"/>
    </row>
  </sheetData>
  <sheetProtection sheet="1" objects="1" scenarios="1"/>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88E8E-79AA-4870-A5AF-B60D11B1AF29}">
  <sheetPr codeName="Sheet18">
    <tabColor theme="8" tint="0.59999389629810485"/>
  </sheetPr>
  <dimension ref="A1:AN63"/>
  <sheetViews>
    <sheetView showGridLines="0" topLeftCell="D23" workbookViewId="0">
      <selection activeCell="J38" sqref="J38"/>
    </sheetView>
  </sheetViews>
  <sheetFormatPr defaultRowHeight="14.45"/>
  <cols>
    <col min="2" max="3" width="1.42578125" customWidth="1"/>
    <col min="4" max="4" width="41" bestFit="1" customWidth="1"/>
    <col min="5" max="5" width="13.28515625" customWidth="1"/>
    <col min="6" max="6" width="14.5703125" customWidth="1"/>
    <col min="7" max="7" width="16.5703125" customWidth="1"/>
    <col min="8" max="8" width="19.28515625" bestFit="1" customWidth="1"/>
    <col min="9" max="9" width="1.42578125" customWidth="1"/>
    <col min="10" max="11" width="9.5703125" bestFit="1" customWidth="1"/>
    <col min="12" max="12" width="12.5703125" bestFit="1" customWidth="1"/>
    <col min="13" max="13" width="20.28515625" bestFit="1" customWidth="1"/>
    <col min="14" max="14" width="1.42578125" customWidth="1"/>
    <col min="15" max="16" width="8.42578125" bestFit="1" customWidth="1"/>
    <col min="17" max="17" width="9.85546875" bestFit="1" customWidth="1"/>
    <col min="18" max="18" width="17.5703125" bestFit="1" customWidth="1"/>
    <col min="19" max="19" width="1.42578125" customWidth="1"/>
    <col min="20" max="20" width="22.28515625" bestFit="1" customWidth="1"/>
    <col min="21" max="21" width="18" bestFit="1" customWidth="1"/>
    <col min="22" max="23" width="23.7109375" bestFit="1" customWidth="1"/>
    <col min="24" max="24" width="27.28515625" customWidth="1"/>
  </cols>
  <sheetData>
    <row r="1" spans="1:40" s="10" customFormat="1" ht="26.1">
      <c r="A1" s="47" t="s">
        <v>428</v>
      </c>
      <c r="B1" s="35"/>
      <c r="C1" s="35"/>
      <c r="D1" s="36"/>
      <c r="E1" s="36"/>
      <c r="F1"/>
      <c r="N1" s="7"/>
    </row>
    <row r="2" spans="1:40" s="10" customFormat="1" ht="18.95" customHeight="1">
      <c r="A2" s="48" t="s">
        <v>429</v>
      </c>
      <c r="B2" s="35"/>
      <c r="C2" s="35"/>
      <c r="D2" s="36"/>
      <c r="E2" s="36"/>
      <c r="F2"/>
      <c r="N2" s="7"/>
    </row>
    <row r="3" spans="1:40" s="10" customFormat="1" ht="17.45" customHeight="1">
      <c r="A3" s="6"/>
      <c r="B3" s="7"/>
      <c r="C3" s="7"/>
      <c r="D3" s="8"/>
      <c r="E3" s="9"/>
      <c r="N3" s="7"/>
    </row>
    <row r="4" spans="1:40" s="10" customFormat="1" ht="15.6">
      <c r="A4" s="49"/>
      <c r="B4" s="50"/>
      <c r="C4" s="50"/>
      <c r="D4" s="46" t="s">
        <v>11</v>
      </c>
      <c r="E4" s="50"/>
      <c r="F4" s="46"/>
      <c r="G4" s="45"/>
      <c r="H4" s="45"/>
      <c r="I4" s="51"/>
      <c r="J4" s="51"/>
      <c r="K4" s="51"/>
      <c r="L4" s="51"/>
      <c r="M4" s="51"/>
      <c r="N4" s="51"/>
      <c r="O4" s="51"/>
      <c r="P4" s="51"/>
      <c r="Q4" s="51"/>
      <c r="R4" s="51"/>
      <c r="S4" s="51"/>
      <c r="T4" s="51"/>
      <c r="U4" s="51"/>
      <c r="V4" s="51"/>
      <c r="W4" s="51"/>
      <c r="X4" s="50"/>
      <c r="Y4" s="50"/>
      <c r="Z4" s="50"/>
      <c r="AA4" s="50"/>
      <c r="AB4" s="50"/>
      <c r="AC4" s="50"/>
      <c r="AD4" s="50"/>
      <c r="AE4" s="50"/>
      <c r="AF4" s="50"/>
      <c r="AG4" s="50"/>
      <c r="AH4" s="50"/>
      <c r="AI4"/>
      <c r="AJ4"/>
      <c r="AK4"/>
      <c r="AL4"/>
      <c r="AM4"/>
      <c r="AN4"/>
    </row>
    <row r="5" spans="1:40" s="10" customFormat="1" ht="15.6">
      <c r="A5" s="6"/>
      <c r="B5" s="7"/>
      <c r="C5" s="7"/>
      <c r="D5" s="8"/>
      <c r="E5" s="9"/>
      <c r="N5" s="7"/>
    </row>
    <row r="6" spans="1:40" s="10" customFormat="1" ht="15.6">
      <c r="A6" s="6"/>
      <c r="B6" s="7"/>
      <c r="C6" s="7"/>
      <c r="D6" s="76" t="s">
        <v>430</v>
      </c>
      <c r="E6" s="173">
        <f>INDEX($U$15:$U$40,MATCH('General Inputs'!$F$8,'Inflation - Calculations'!$D$15:$D$40,0))</f>
        <v>1.6145229488420927</v>
      </c>
      <c r="N6" s="7"/>
    </row>
    <row r="7" spans="1:40" s="10" customFormat="1" ht="15.6">
      <c r="A7" s="6"/>
      <c r="B7" s="7"/>
      <c r="C7" s="7"/>
      <c r="D7" s="76" t="s">
        <v>431</v>
      </c>
      <c r="E7" s="173">
        <f>INDEX($V$15:$V$40,MATCH('General Inputs'!$F$8,'Inflation - Calculations'!$D$15:$D$40,0))</f>
        <v>1.6309418262879445</v>
      </c>
      <c r="N7" s="7"/>
    </row>
    <row r="8" spans="1:40" s="10" customFormat="1" ht="15.6">
      <c r="A8" s="6"/>
      <c r="B8" s="7"/>
      <c r="C8" s="7"/>
      <c r="D8" s="76" t="s">
        <v>432</v>
      </c>
      <c r="E8" s="173">
        <f>INDEX($W$15:$W$40,MATCH('General Inputs'!$F$8,'Inflation - Calculations'!$D$15:$D$40,0))</f>
        <v>1.3496317260490172</v>
      </c>
      <c r="N8" s="7"/>
    </row>
    <row r="9" spans="1:40" s="10" customFormat="1" ht="15.6">
      <c r="A9" s="6"/>
      <c r="B9" s="7"/>
      <c r="C9" s="7"/>
      <c r="D9" s="76" t="s">
        <v>433</v>
      </c>
      <c r="E9" s="173">
        <f>INDEX($F$45:$F$61,MATCH('General Inputs'!$F$8,'Inflation - Calculations'!$D$45:$D$61,0))</f>
        <v>0.75556860542258364</v>
      </c>
      <c r="N9" s="7"/>
    </row>
    <row r="10" spans="1:40" s="10" customFormat="1" ht="15.6">
      <c r="A10" s="6"/>
      <c r="B10" s="7"/>
      <c r="C10" s="7"/>
      <c r="D10" s="8"/>
      <c r="E10" s="9"/>
      <c r="N10" s="7"/>
    </row>
    <row r="11" spans="1:40" s="10" customFormat="1" ht="15.6">
      <c r="A11" s="49"/>
      <c r="B11" s="50"/>
      <c r="C11" s="50"/>
      <c r="D11" s="46" t="s">
        <v>434</v>
      </c>
      <c r="E11" s="50"/>
      <c r="F11" s="46"/>
      <c r="G11" s="45"/>
      <c r="H11" s="45"/>
      <c r="I11" s="51"/>
      <c r="J11" s="51"/>
      <c r="K11" s="51"/>
      <c r="L11" s="51"/>
      <c r="M11" s="51"/>
      <c r="N11" s="51"/>
      <c r="O11" s="51"/>
      <c r="P11" s="51"/>
      <c r="Q11" s="51"/>
      <c r="R11" s="51"/>
      <c r="S11" s="51"/>
      <c r="T11" s="51"/>
      <c r="U11" s="51"/>
      <c r="V11" s="51"/>
      <c r="W11" s="51"/>
      <c r="X11" s="50"/>
      <c r="Y11" s="50"/>
      <c r="Z11" s="50"/>
      <c r="AA11" s="50"/>
      <c r="AB11" s="50"/>
      <c r="AC11" s="50"/>
      <c r="AD11" s="50"/>
      <c r="AE11" s="50"/>
      <c r="AF11" s="50"/>
      <c r="AG11" s="50"/>
      <c r="AH11" s="50"/>
      <c r="AI11"/>
      <c r="AJ11"/>
      <c r="AK11"/>
      <c r="AL11"/>
      <c r="AM11"/>
      <c r="AN11"/>
    </row>
    <row r="13" spans="1:40" ht="15.6">
      <c r="D13" s="174" t="s">
        <v>188</v>
      </c>
      <c r="E13" s="174" t="s">
        <v>435</v>
      </c>
      <c r="F13" s="174" t="s">
        <v>436</v>
      </c>
      <c r="G13" s="174" t="s">
        <v>437</v>
      </c>
      <c r="H13" s="174" t="s">
        <v>438</v>
      </c>
      <c r="J13" s="174" t="s">
        <v>439</v>
      </c>
      <c r="K13" s="174" t="s">
        <v>440</v>
      </c>
      <c r="L13" s="174" t="s">
        <v>441</v>
      </c>
      <c r="M13" s="174" t="s">
        <v>442</v>
      </c>
      <c r="O13" s="174" t="s">
        <v>443</v>
      </c>
      <c r="P13" s="174" t="s">
        <v>444</v>
      </c>
      <c r="Q13" s="174" t="s">
        <v>445</v>
      </c>
      <c r="R13" s="174" t="s">
        <v>446</v>
      </c>
      <c r="T13" s="174" t="s">
        <v>447</v>
      </c>
      <c r="U13" s="174" t="s">
        <v>448</v>
      </c>
      <c r="V13" s="174" t="s">
        <v>449</v>
      </c>
      <c r="W13" s="174" t="s">
        <v>450</v>
      </c>
    </row>
    <row r="14" spans="1:40" ht="8.1" customHeight="1" thickBot="1"/>
    <row r="15" spans="1:40" ht="15.6">
      <c r="D15" s="241" t="s">
        <v>451</v>
      </c>
      <c r="E15" s="247">
        <f>IF(Inflation!E20=0,E14*(1+Inflation!I20/100),Inflation!E20)</f>
        <v>138.5</v>
      </c>
      <c r="F15" s="247">
        <f>IF(Inflation!E21=0,F14*(1+Inflation!I21/100),Inflation!E21)</f>
        <v>141.19999999999999</v>
      </c>
      <c r="G15" s="248">
        <f>0.75*E15+0.25*F15</f>
        <v>139.17500000000001</v>
      </c>
      <c r="H15" s="249">
        <f>G15/G$15</f>
        <v>1</v>
      </c>
      <c r="I15" s="10"/>
      <c r="J15" s="247">
        <f>IFERROR(IF(Inflation!F20=0,J14*((1+(Inflation!J20/Inflation!J18-1))*(1+Inflation!K20/100)),Inflation!F20),0)</f>
        <v>103.92992796280583</v>
      </c>
      <c r="K15" s="247">
        <f>IFERROR(IF(Inflation!F21=0,K14*((1+(Inflation!J21/Inflation!J20-1))*(1+Inflation!K21/100)),Inflation!F21),0)</f>
        <v>119.25862749257533</v>
      </c>
      <c r="L15" s="248">
        <f>0.75*J15+0.25*K15</f>
        <v>107.76210284524821</v>
      </c>
      <c r="M15" s="249">
        <f t="shared" ref="M15:M40" si="0">L15/L$15</f>
        <v>1</v>
      </c>
      <c r="N15" s="10"/>
      <c r="O15" s="247">
        <f>IF(Inflation!G20=0,O14*(1+Inflation!K20/100),Inflation!G20)</f>
        <v>86.6</v>
      </c>
      <c r="P15" s="247">
        <f>IF(Inflation!G21=0,P14*(1+Inflation!K21/100),Inflation!G21)</f>
        <v>89.4</v>
      </c>
      <c r="Q15" s="248">
        <f>0.75*O15+0.25*P15</f>
        <v>87.299999999999983</v>
      </c>
      <c r="R15" s="249">
        <f>Q15/Q$15</f>
        <v>1</v>
      </c>
      <c r="S15" s="10"/>
      <c r="T15" s="248">
        <f>H15*Inflation!$E$18+M15*Inflation!$F$18+R15*Inflation!$G$18</f>
        <v>1</v>
      </c>
      <c r="U15" s="249"/>
      <c r="V15" s="249"/>
      <c r="W15" s="249"/>
    </row>
    <row r="16" spans="1:40" ht="15.6">
      <c r="D16" s="241" t="s">
        <v>452</v>
      </c>
      <c r="E16" s="247">
        <f>IF(Inflation!E21=0,E15*(1+Inflation!I21/100),Inflation!E21)</f>
        <v>141.19999999999999</v>
      </c>
      <c r="F16" s="247">
        <f>IF(Inflation!E22=0,F15*(1+Inflation!I22/100),Inflation!E22)</f>
        <v>144.69999999999999</v>
      </c>
      <c r="G16" s="248">
        <f t="shared" ref="G16:G40" si="1">0.75*E16+0.25*F16</f>
        <v>142.07499999999999</v>
      </c>
      <c r="H16" s="250">
        <f t="shared" ref="H16:H40" si="2">G16/G$15</f>
        <v>1.020837075624214</v>
      </c>
      <c r="I16" s="10"/>
      <c r="J16" s="247">
        <f>IFERROR(IF(Inflation!F21=0,J15*((1+(Inflation!J21/Inflation!J20-1))*(1+Inflation!K21/100)),Inflation!F21),0)</f>
        <v>119.25862749257533</v>
      </c>
      <c r="K16" s="247">
        <f>IFERROR(IF(Inflation!F22=0,K15*((1+(Inflation!J22/Inflation!J21-1))*(1+Inflation!K22/100)),Inflation!F22),0)</f>
        <v>138.71612707906442</v>
      </c>
      <c r="L16" s="248">
        <f t="shared" ref="L16:L40" si="3">0.75*J16+0.25*K16</f>
        <v>124.12300238919761</v>
      </c>
      <c r="M16" s="250">
        <f t="shared" si="0"/>
        <v>1.1518242416579831</v>
      </c>
      <c r="N16" s="10"/>
      <c r="O16" s="247">
        <f>IF(Inflation!G21=0,O15*(1+Inflation!K21/100),Inflation!G21)</f>
        <v>89.4</v>
      </c>
      <c r="P16" s="247">
        <f>IF(Inflation!G22=0,P15*(1+Inflation!K22/100),Inflation!G22)</f>
        <v>93.4</v>
      </c>
      <c r="Q16" s="248">
        <f t="shared" ref="Q16:Q40" si="4">0.75*O16+0.25*P16</f>
        <v>90.4</v>
      </c>
      <c r="R16" s="250">
        <f t="shared" ref="R16:R40" si="5">Q16/Q$15</f>
        <v>1.0355097365406647</v>
      </c>
      <c r="S16" s="10"/>
      <c r="T16" s="248">
        <f>H16*Inflation!$E$18+M16*Inflation!$F$18+R16*Inflation!$G$18</f>
        <v>1.044153315758392</v>
      </c>
      <c r="U16" s="250"/>
      <c r="V16" s="250"/>
      <c r="W16" s="250"/>
    </row>
    <row r="17" spans="4:23" ht="15.6">
      <c r="D17" s="241" t="s">
        <v>453</v>
      </c>
      <c r="E17" s="247">
        <f>IF(Inflation!E22=0,E16*(1+Inflation!I22/100),Inflation!E22)</f>
        <v>144.69999999999999</v>
      </c>
      <c r="F17" s="247">
        <f>IF(Inflation!E23=0,F16*(1+Inflation!I23/100),Inflation!E23)</f>
        <v>150.5</v>
      </c>
      <c r="G17" s="248">
        <f t="shared" si="1"/>
        <v>146.14999999999998</v>
      </c>
      <c r="H17" s="250">
        <f t="shared" si="2"/>
        <v>1.0501167594754803</v>
      </c>
      <c r="I17" s="10"/>
      <c r="J17" s="247">
        <f>IFERROR(IF(Inflation!F22=0,J16*((1+(Inflation!J22/Inflation!J21-1))*(1+Inflation!K22/100)),Inflation!F22),0)</f>
        <v>138.71612707906442</v>
      </c>
      <c r="K17" s="247">
        <f>IFERROR(IF(Inflation!F23=0,K16*((1+(Inflation!J23/Inflation!J22-1))*(1+Inflation!K23/100)),Inflation!F23),0)</f>
        <v>141.82825976401202</v>
      </c>
      <c r="L17" s="248">
        <f t="shared" si="3"/>
        <v>139.49416025030132</v>
      </c>
      <c r="M17" s="250">
        <f t="shared" si="0"/>
        <v>1.2944639772909956</v>
      </c>
      <c r="N17" s="10"/>
      <c r="O17" s="247">
        <f>IF(Inflation!G22=0,O16*(1+Inflation!K22/100),Inflation!G22)</f>
        <v>93.4</v>
      </c>
      <c r="P17" s="247">
        <f>IF(Inflation!G23=0,P16*(1+Inflation!K23/100),Inflation!G23)</f>
        <v>96.1</v>
      </c>
      <c r="Q17" s="248">
        <f t="shared" si="4"/>
        <v>94.075000000000017</v>
      </c>
      <c r="R17" s="250">
        <f t="shared" si="5"/>
        <v>1.0776059564719362</v>
      </c>
      <c r="S17" s="10"/>
      <c r="T17" s="248">
        <f>H17*Inflation!$E$18+M17*Inflation!$F$18+R17*Inflation!$G$18</f>
        <v>1.0936411413969216</v>
      </c>
      <c r="U17" s="250"/>
      <c r="V17" s="250"/>
      <c r="W17" s="250"/>
    </row>
    <row r="18" spans="4:23" ht="15.6">
      <c r="D18" s="241" t="s">
        <v>454</v>
      </c>
      <c r="E18" s="247">
        <f>IF(Inflation!E23=0,E17*(1+Inflation!I23/100),Inflation!E23)</f>
        <v>150.5</v>
      </c>
      <c r="F18" s="247">
        <f>IF(Inflation!E24=0,F17*(1+Inflation!I24/100),Inflation!E24)</f>
        <v>153</v>
      </c>
      <c r="G18" s="248">
        <f t="shared" si="1"/>
        <v>151.125</v>
      </c>
      <c r="H18" s="250">
        <f t="shared" si="2"/>
        <v>1.0858631219687442</v>
      </c>
      <c r="I18" s="10"/>
      <c r="J18" s="247">
        <f>IFERROR(IF(Inflation!F23=0,J17*((1+(Inflation!J23/Inflation!J22-1))*(1+Inflation!K23/100)),Inflation!F23),0)</f>
        <v>141.82825976401202</v>
      </c>
      <c r="K18" s="247">
        <f>IFERROR(IF(Inflation!F24=0,K17*((1+(Inflation!J24/Inflation!J23-1))*(1+Inflation!K24/100)),Inflation!F24),0)</f>
        <v>140.40518913870753</v>
      </c>
      <c r="L18" s="248">
        <f t="shared" si="3"/>
        <v>141.47249210768589</v>
      </c>
      <c r="M18" s="250">
        <f t="shared" si="0"/>
        <v>1.3128223036891504</v>
      </c>
      <c r="N18" s="10"/>
      <c r="O18" s="247">
        <f>IF(Inflation!G23=0,O17*(1+Inflation!K23/100),Inflation!G23)</f>
        <v>96.1</v>
      </c>
      <c r="P18" s="247">
        <f>IF(Inflation!G24=0,P17*(1+Inflation!K24/100),Inflation!G24)</f>
        <v>98.5</v>
      </c>
      <c r="Q18" s="248">
        <f t="shared" si="4"/>
        <v>96.699999999999989</v>
      </c>
      <c r="R18" s="250">
        <f t="shared" si="5"/>
        <v>1.1076746849942727</v>
      </c>
      <c r="S18" s="10"/>
      <c r="T18" s="248">
        <f>H18*Inflation!$E$18+M18*Inflation!$F$18+R18*Inflation!$G$18</f>
        <v>1.1253598899831871</v>
      </c>
      <c r="U18" s="250"/>
      <c r="V18" s="250"/>
      <c r="W18" s="250"/>
    </row>
    <row r="19" spans="4:23" ht="15.6">
      <c r="D19" s="241" t="s">
        <v>455</v>
      </c>
      <c r="E19" s="247">
        <f>IF(Inflation!E24=0,E18*(1+Inflation!I24/100),Inflation!E24)</f>
        <v>153</v>
      </c>
      <c r="F19" s="247">
        <f>IF(Inflation!E25=0,F18*(1+Inflation!I25/100),Inflation!E25)</f>
        <v>157.80000000000001</v>
      </c>
      <c r="G19" s="248">
        <f t="shared" si="1"/>
        <v>154.19999999999999</v>
      </c>
      <c r="H19" s="250">
        <f t="shared" si="2"/>
        <v>1.1079576073289024</v>
      </c>
      <c r="I19" s="10"/>
      <c r="J19" s="247">
        <f>IFERROR(IF(Inflation!F24=0,J18*((1+(Inflation!J24/Inflation!J23-1))*(1+Inflation!K24/100)),Inflation!F24),0)</f>
        <v>140.40518913870753</v>
      </c>
      <c r="K19" s="247">
        <f>IFERROR(IF(Inflation!F25=0,K18*((1+(Inflation!J25/Inflation!J24-1))*(1+Inflation!K25/100)),Inflation!F25),0)</f>
        <v>133.45799887462027</v>
      </c>
      <c r="L19" s="248">
        <f t="shared" si="3"/>
        <v>138.66839157268572</v>
      </c>
      <c r="M19" s="250">
        <f t="shared" si="0"/>
        <v>1.2868010915843067</v>
      </c>
      <c r="N19" s="10"/>
      <c r="O19" s="247">
        <f>IF(Inflation!G24=0,O18*(1+Inflation!K24/100),Inflation!G24)</f>
        <v>98.5</v>
      </c>
      <c r="P19" s="247">
        <f>IF(Inflation!G25=0,P18*(1+Inflation!K25/100),Inflation!G25)</f>
        <v>100</v>
      </c>
      <c r="Q19" s="248">
        <f t="shared" si="4"/>
        <v>98.875</v>
      </c>
      <c r="R19" s="250">
        <f t="shared" si="5"/>
        <v>1.1325887743413519</v>
      </c>
      <c r="S19" s="10"/>
      <c r="T19" s="248">
        <f>H19*Inflation!$E$18+M19*Inflation!$F$18+R19*Inflation!$G$18</f>
        <v>1.1409419217203254</v>
      </c>
      <c r="U19" s="250"/>
      <c r="V19" s="250"/>
      <c r="W19" s="250"/>
    </row>
    <row r="20" spans="4:23" ht="15.6">
      <c r="D20" s="241" t="s">
        <v>456</v>
      </c>
      <c r="E20" s="247">
        <f>IF(Inflation!E25=0,E19*(1+Inflation!I25/100),Inflation!E25)</f>
        <v>157.80000000000001</v>
      </c>
      <c r="F20" s="247">
        <f>IF(Inflation!E26=0,F19*(1+Inflation!I26/100),Inflation!E26)</f>
        <v>157.30000000000001</v>
      </c>
      <c r="G20" s="248">
        <f t="shared" si="1"/>
        <v>157.67500000000001</v>
      </c>
      <c r="H20" s="250">
        <f t="shared" si="2"/>
        <v>1.1329261720855039</v>
      </c>
      <c r="I20" s="10"/>
      <c r="J20" s="247">
        <f>IFERROR(IF(Inflation!F25=0,J19*((1+(Inflation!J25/Inflation!J24-1))*(1+Inflation!K25/100)),Inflation!F25),0)</f>
        <v>133.45799887462027</v>
      </c>
      <c r="K20" s="247">
        <f>IFERROR(IF(Inflation!F26=0,K19*((1+(Inflation!J26/Inflation!J25-1))*(1+Inflation!K26/100)),Inflation!F26),0)</f>
        <v>114.89845587367203</v>
      </c>
      <c r="L20" s="248">
        <f t="shared" si="3"/>
        <v>128.81811312438322</v>
      </c>
      <c r="M20" s="250">
        <f t="shared" si="0"/>
        <v>1.1953934613671422</v>
      </c>
      <c r="N20" s="10"/>
      <c r="O20" s="247">
        <f>IF(Inflation!G25=0,O19*(1+Inflation!K25/100),Inflation!G25)</f>
        <v>100</v>
      </c>
      <c r="P20" s="247">
        <f>IF(Inflation!G26=0,P19*(1+Inflation!K26/100),Inflation!G26)</f>
        <v>100</v>
      </c>
      <c r="Q20" s="248">
        <f t="shared" si="4"/>
        <v>100</v>
      </c>
      <c r="R20" s="250">
        <f t="shared" si="5"/>
        <v>1.1454753722794961</v>
      </c>
      <c r="S20" s="10"/>
      <c r="T20" s="248">
        <f>H20*Inflation!$E$18+M20*Inflation!$F$18+R20*Inflation!$G$18</f>
        <v>1.1454335655262478</v>
      </c>
      <c r="U20" s="250"/>
      <c r="V20" s="250"/>
      <c r="W20" s="250"/>
    </row>
    <row r="21" spans="4:23" ht="15.6">
      <c r="D21" s="241" t="s">
        <v>457</v>
      </c>
      <c r="E21" s="247">
        <f>IF(Inflation!E26=0,E20*(1+Inflation!I26/100),Inflation!E26)</f>
        <v>157.30000000000001</v>
      </c>
      <c r="F21" s="247">
        <f>IF(Inflation!E27=0,F20*(1+Inflation!I27/100),Inflation!E27)</f>
        <v>159.30000000000001</v>
      </c>
      <c r="G21" s="248">
        <f t="shared" si="1"/>
        <v>157.80000000000001</v>
      </c>
      <c r="H21" s="250">
        <f t="shared" si="2"/>
        <v>1.1338243218968924</v>
      </c>
      <c r="I21" s="10"/>
      <c r="J21" s="247">
        <f>IFERROR(IF(Inflation!F26=0,J20*((1+(Inflation!J26/Inflation!J25-1))*(1+Inflation!K26/100)),Inflation!F26),0)</f>
        <v>114.89845587367203</v>
      </c>
      <c r="K21" s="247">
        <f>IFERROR(IF(Inflation!F27=0,K20*((1+(Inflation!J27/Inflation!J26-1))*(1+Inflation!K27/100)),Inflation!F27),0)</f>
        <v>110.12863033333333</v>
      </c>
      <c r="L21" s="248">
        <f t="shared" si="3"/>
        <v>113.70599948858735</v>
      </c>
      <c r="M21" s="250">
        <f t="shared" si="0"/>
        <v>1.0551575784659184</v>
      </c>
      <c r="N21" s="10"/>
      <c r="O21" s="247">
        <f>IF(Inflation!G26=0,O20*(1+Inflation!K26/100),Inflation!G26)</f>
        <v>100</v>
      </c>
      <c r="P21" s="247">
        <f>IF(Inflation!G27=0,P20*(1+Inflation!K27/100),Inflation!G27)</f>
        <v>100.7</v>
      </c>
      <c r="Q21" s="248">
        <f t="shared" si="4"/>
        <v>100.175</v>
      </c>
      <c r="R21" s="250">
        <f t="shared" si="5"/>
        <v>1.1474799541809853</v>
      </c>
      <c r="S21" s="10"/>
      <c r="T21" s="248">
        <f>H21*Inflation!$E$18+M21*Inflation!$F$18+R21*Inflation!$G$18</f>
        <v>1.1254382184532696</v>
      </c>
      <c r="U21" s="250"/>
      <c r="V21" s="250"/>
      <c r="W21" s="250"/>
    </row>
    <row r="22" spans="4:23" ht="15.6">
      <c r="D22" s="241" t="s">
        <v>458</v>
      </c>
      <c r="E22" s="247">
        <f>IF(Inflation!E27=0,E21*(1+Inflation!I27/100),Inflation!E27)</f>
        <v>159.30000000000001</v>
      </c>
      <c r="F22" s="247">
        <f>IF(Inflation!E28=0,F21*(1+Inflation!I28/100),Inflation!E28)</f>
        <v>162.1</v>
      </c>
      <c r="G22" s="248">
        <f t="shared" si="1"/>
        <v>160</v>
      </c>
      <c r="H22" s="250">
        <f t="shared" si="2"/>
        <v>1.1496317585773306</v>
      </c>
      <c r="I22" s="10"/>
      <c r="J22" s="247">
        <f>IFERROR(IF(Inflation!F27=0,J21*((1+(Inflation!J27/Inflation!J26-1))*(1+Inflation!K27/100)),Inflation!F27),0)</f>
        <v>110.12863033333333</v>
      </c>
      <c r="K22" s="247">
        <f>IFERROR(IF(Inflation!F28=0,K21*((1+(Inflation!J28/Inflation!J27-1))*(1+Inflation!K28/100)),Inflation!F28),0)</f>
        <v>120.14923733333336</v>
      </c>
      <c r="L22" s="248">
        <f t="shared" si="3"/>
        <v>112.63378208333334</v>
      </c>
      <c r="M22" s="250">
        <f t="shared" si="0"/>
        <v>1.0452077224688268</v>
      </c>
      <c r="N22" s="10"/>
      <c r="O22" s="247">
        <f>IF(Inflation!G27=0,O21*(1+Inflation!K27/100),Inflation!G27)</f>
        <v>100.7</v>
      </c>
      <c r="P22" s="247">
        <f>IF(Inflation!G28=0,P21*(1+Inflation!K28/100),Inflation!G28)</f>
        <v>103.4</v>
      </c>
      <c r="Q22" s="248">
        <f t="shared" si="4"/>
        <v>101.375</v>
      </c>
      <c r="R22" s="250">
        <f t="shared" si="5"/>
        <v>1.1612256586483394</v>
      </c>
      <c r="S22" s="10"/>
      <c r="T22" s="248">
        <f>H22*Inflation!$E$18+M22*Inflation!$F$18+R22*Inflation!$G$18</f>
        <v>1.1368666281788071</v>
      </c>
      <c r="U22" s="250"/>
      <c r="V22" s="250"/>
      <c r="W22" s="250"/>
    </row>
    <row r="23" spans="4:23" ht="15.6">
      <c r="D23" s="241" t="s">
        <v>459</v>
      </c>
      <c r="E23" s="247">
        <f>IF(Inflation!E28=0,E22*(1+Inflation!I28/100),Inflation!E28)</f>
        <v>162.1</v>
      </c>
      <c r="F23" s="247">
        <f>IF(Inflation!E29=0,F22*(1+Inflation!I29/100),Inflation!E29)</f>
        <v>167</v>
      </c>
      <c r="G23" s="248">
        <f t="shared" si="1"/>
        <v>163.32499999999999</v>
      </c>
      <c r="H23" s="250">
        <f t="shared" si="2"/>
        <v>1.1735225435602656</v>
      </c>
      <c r="I23" s="10"/>
      <c r="J23" s="247">
        <f>IFERROR(IF(Inflation!F28=0,J22*((1+(Inflation!J28/Inflation!J27-1))*(1+Inflation!K28/100)),Inflation!F28),0)</f>
        <v>120.14923733333336</v>
      </c>
      <c r="K23" s="247">
        <f>IFERROR(IF(Inflation!F29=0,K22*((1+(Inflation!J29/Inflation!J28-1))*(1+Inflation!K29/100)),Inflation!F29),0)</f>
        <v>129.98216641666667</v>
      </c>
      <c r="L23" s="248">
        <f t="shared" si="3"/>
        <v>122.60746960416668</v>
      </c>
      <c r="M23" s="250">
        <f t="shared" si="0"/>
        <v>1.1377605518726484</v>
      </c>
      <c r="N23" s="10"/>
      <c r="O23" s="247">
        <f>IF(Inflation!G28=0,O22*(1+Inflation!K28/100),Inflation!G28)</f>
        <v>103.4</v>
      </c>
      <c r="P23" s="247">
        <f>IF(Inflation!G29=0,P22*(1+Inflation!K29/100),Inflation!G29)</f>
        <v>105.9</v>
      </c>
      <c r="Q23" s="248">
        <f t="shared" si="4"/>
        <v>104.02500000000001</v>
      </c>
      <c r="R23" s="250">
        <f t="shared" si="5"/>
        <v>1.1915807560137459</v>
      </c>
      <c r="S23" s="10"/>
      <c r="T23" s="248">
        <f>H23*Inflation!$E$18+M23*Inflation!$F$18+R23*Inflation!$G$18</f>
        <v>1.1726727979204932</v>
      </c>
      <c r="U23" s="250"/>
      <c r="V23" s="250"/>
      <c r="W23" s="250"/>
    </row>
    <row r="24" spans="4:23" ht="15.6">
      <c r="D24" s="241" t="s">
        <v>460</v>
      </c>
      <c r="E24" s="247">
        <f>IF(Inflation!E29=0,E23*(1+Inflation!I29/100),Inflation!E29)</f>
        <v>167</v>
      </c>
      <c r="F24" s="247">
        <f>IF(Inflation!E30=0,F23*(1+Inflation!I30/100),Inflation!E30)</f>
        <v>172.3</v>
      </c>
      <c r="G24" s="248">
        <f t="shared" si="1"/>
        <v>168.32499999999999</v>
      </c>
      <c r="H24" s="250">
        <f t="shared" si="2"/>
        <v>1.2094485360158072</v>
      </c>
      <c r="I24" s="10"/>
      <c r="J24" s="247">
        <f>IFERROR(IF(Inflation!F29=0,J23*((1+(Inflation!J29/Inflation!J28-1))*(1+Inflation!K29/100)),Inflation!F29),0)</f>
        <v>129.98216641666667</v>
      </c>
      <c r="K24" s="247">
        <f>IFERROR(IF(Inflation!F30=0,K23*((1+(Inflation!J30/Inflation!J29-1))*(1+Inflation!K30/100)),Inflation!F30),0)</f>
        <v>131.47546291666666</v>
      </c>
      <c r="L24" s="248">
        <f t="shared" si="3"/>
        <v>130.35549054166665</v>
      </c>
      <c r="M24" s="250">
        <f t="shared" si="0"/>
        <v>1.2096598627892747</v>
      </c>
      <c r="N24" s="10"/>
      <c r="O24" s="247">
        <f>IF(Inflation!G29=0,O23*(1+Inflation!K29/100),Inflation!G29)</f>
        <v>105.9</v>
      </c>
      <c r="P24" s="247">
        <f>IF(Inflation!G30=0,P23*(1+Inflation!K30/100),Inflation!G30)</f>
        <v>107.8</v>
      </c>
      <c r="Q24" s="248">
        <f t="shared" si="4"/>
        <v>106.37500000000001</v>
      </c>
      <c r="R24" s="250">
        <f t="shared" si="5"/>
        <v>1.2184994272623142</v>
      </c>
      <c r="S24" s="10"/>
      <c r="T24" s="248">
        <f>H24*Inflation!$E$18+M24*Inflation!$F$18+R24*Inflation!$G$18</f>
        <v>1.211742957843454</v>
      </c>
      <c r="U24" s="250"/>
      <c r="V24" s="250"/>
      <c r="W24" s="250"/>
    </row>
    <row r="25" spans="4:23" ht="15.6">
      <c r="D25" s="241" t="s">
        <v>461</v>
      </c>
      <c r="E25" s="247">
        <f>IF(Inflation!E30=0,E24*(1+Inflation!I30/100),Inflation!E30)</f>
        <v>172.3</v>
      </c>
      <c r="F25" s="247">
        <f>IF(Inflation!E31=0,F24*(1+Inflation!I31/100),Inflation!E31)</f>
        <v>171.4</v>
      </c>
      <c r="G25" s="248">
        <f t="shared" si="1"/>
        <v>172.07500000000002</v>
      </c>
      <c r="H25" s="250">
        <f t="shared" si="2"/>
        <v>1.2363930303574637</v>
      </c>
      <c r="I25" s="10"/>
      <c r="J25" s="247">
        <f>IFERROR(IF(Inflation!F30=0,J24*((1+(Inflation!J30/Inflation!J29-1))*(1+Inflation!K30/100)),Inflation!F30),0)</f>
        <v>131.47546291666666</v>
      </c>
      <c r="K25" s="247">
        <f>IFERROR(IF(Inflation!F31=0,K24*((1+(Inflation!J31/Inflation!J30-1))*(1+Inflation!K31/100)),Inflation!F31),0)</f>
        <v>119.13522325000002</v>
      </c>
      <c r="L25" s="248">
        <f t="shared" si="3"/>
        <v>128.39040299999999</v>
      </c>
      <c r="M25" s="250">
        <f t="shared" si="0"/>
        <v>1.191424439669436</v>
      </c>
      <c r="N25" s="10"/>
      <c r="O25" s="247">
        <f>IF(Inflation!G30=0,O24*(1+Inflation!K30/100),Inflation!G30)</f>
        <v>107.8</v>
      </c>
      <c r="P25" s="247">
        <f>IF(Inflation!G31=0,P24*(1+Inflation!K31/100),Inflation!G31)</f>
        <v>108.7</v>
      </c>
      <c r="Q25" s="248">
        <f t="shared" si="4"/>
        <v>108.02499999999999</v>
      </c>
      <c r="R25" s="250">
        <f t="shared" si="5"/>
        <v>1.2373997709049256</v>
      </c>
      <c r="S25" s="10"/>
      <c r="T25" s="248">
        <f>H25*Inflation!$E$18+M25*Inflation!$F$18+R25*Inflation!$G$18</f>
        <v>1.229899426891125</v>
      </c>
      <c r="U25" s="250"/>
      <c r="V25" s="250"/>
      <c r="W25" s="250"/>
    </row>
    <row r="26" spans="4:23" ht="15.6">
      <c r="D26" s="241" t="s">
        <v>462</v>
      </c>
      <c r="E26" s="247">
        <f>IF(Inflation!E31=0,E25*(1+Inflation!I31/100),Inflation!E31)</f>
        <v>171.4</v>
      </c>
      <c r="F26" s="247">
        <f>IF(Inflation!E32=0,F25*(1+Inflation!I32/100),Inflation!E32)</f>
        <v>174.5</v>
      </c>
      <c r="G26" s="248">
        <f t="shared" si="1"/>
        <v>172.17500000000001</v>
      </c>
      <c r="H26" s="250">
        <f t="shared" si="2"/>
        <v>1.2371115502065744</v>
      </c>
      <c r="I26" s="10"/>
      <c r="J26" s="247">
        <f>IFERROR(IF(Inflation!F31=0,J25*((1+(Inflation!J31/Inflation!J30-1))*(1+Inflation!K31/100)),Inflation!F31),0)</f>
        <v>119.13522325000002</v>
      </c>
      <c r="K26" s="247">
        <f>IFERROR(IF(Inflation!F32=0,K25*((1+(Inflation!J32/Inflation!J31-1))*(1+Inflation!K32/100)),Inflation!F32),0)</f>
        <v>134.93700735533335</v>
      </c>
      <c r="L26" s="248">
        <f t="shared" si="3"/>
        <v>123.08566927633336</v>
      </c>
      <c r="M26" s="250">
        <f t="shared" si="0"/>
        <v>1.1421981014335862</v>
      </c>
      <c r="N26" s="10"/>
      <c r="O26" s="247">
        <f>IF(Inflation!G31=0,O25*(1+Inflation!K31/100),Inflation!G31)</f>
        <v>108.7</v>
      </c>
      <c r="P26" s="247">
        <f>IF(Inflation!G32=0,P25*(1+Inflation!K32/100),Inflation!G32)</f>
        <v>111.6</v>
      </c>
      <c r="Q26" s="248">
        <f t="shared" si="4"/>
        <v>109.42500000000001</v>
      </c>
      <c r="R26" s="250">
        <f t="shared" si="5"/>
        <v>1.2534364261168389</v>
      </c>
      <c r="S26" s="10"/>
      <c r="T26" s="248">
        <f>H26*Inflation!$E$18+M26*Inflation!$F$18+R26*Inflation!$G$18</f>
        <v>1.2269557518681924</v>
      </c>
      <c r="U26" s="250"/>
      <c r="V26" s="250"/>
      <c r="W26" s="250"/>
    </row>
    <row r="27" spans="4:23" ht="15.6">
      <c r="D27" s="241" t="s">
        <v>463</v>
      </c>
      <c r="E27" s="247">
        <f>IF(Inflation!E32=0,E26*(1+Inflation!I32/100),Inflation!E32)</f>
        <v>174.5</v>
      </c>
      <c r="F27" s="247">
        <f>IF(Inflation!E33=0,F26*(1+Inflation!I33/100),Inflation!E33)</f>
        <v>183.7</v>
      </c>
      <c r="G27" s="248">
        <f t="shared" si="1"/>
        <v>176.8</v>
      </c>
      <c r="H27" s="250">
        <f t="shared" si="2"/>
        <v>1.2703430932279505</v>
      </c>
      <c r="I27" s="10"/>
      <c r="J27" s="247">
        <f>IFERROR(IF(Inflation!F32=0,J26*((1+(Inflation!J32/Inflation!J31-1))*(1+Inflation!K32/100)),Inflation!F32),0)</f>
        <v>134.93700735533335</v>
      </c>
      <c r="K27" s="247">
        <f>IFERROR(IF(Inflation!F33=0,K26*((1+(Inflation!J33/Inflation!J32-1))*(1+Inflation!K33/100)),Inflation!F33),0)</f>
        <v>177.65813166666669</v>
      </c>
      <c r="L27" s="248">
        <f t="shared" si="3"/>
        <v>145.61728843316669</v>
      </c>
      <c r="M27" s="250">
        <f t="shared" si="0"/>
        <v>1.3512847706979181</v>
      </c>
      <c r="N27" s="10"/>
      <c r="O27" s="247">
        <f>IF(Inflation!G32=0,O26*(1+Inflation!K32/100),Inflation!G32)</f>
        <v>111.6</v>
      </c>
      <c r="P27" s="247">
        <f>IF(Inflation!G33=0,P26*(1+Inflation!K33/100),Inflation!G33)</f>
        <v>121.7</v>
      </c>
      <c r="Q27" s="248">
        <f t="shared" si="4"/>
        <v>114.12499999999999</v>
      </c>
      <c r="R27" s="250">
        <f t="shared" si="5"/>
        <v>1.3072737686139748</v>
      </c>
      <c r="S27" s="10"/>
      <c r="T27" s="248">
        <f>H27*Inflation!$E$18+M27*Inflation!$F$18+R27*Inflation!$G$18</f>
        <v>1.2917170136949516</v>
      </c>
      <c r="U27" s="250"/>
      <c r="V27" s="250"/>
      <c r="W27" s="250"/>
    </row>
    <row r="28" spans="4:23" ht="15.6">
      <c r="D28" s="241" t="s">
        <v>464</v>
      </c>
      <c r="E28" s="247">
        <f>IF(Inflation!E33=0,E27*(1+Inflation!I33/100),Inflation!E33)</f>
        <v>183.7</v>
      </c>
      <c r="F28" s="247">
        <f>IF(Inflation!E34=0,F27*(1+Inflation!I34/100),Inflation!E34)</f>
        <v>197</v>
      </c>
      <c r="G28" s="248">
        <f t="shared" si="1"/>
        <v>187.02499999999998</v>
      </c>
      <c r="H28" s="250">
        <f t="shared" si="2"/>
        <v>1.3438117477995326</v>
      </c>
      <c r="I28" s="10"/>
      <c r="J28" s="247">
        <f>IFERROR(IF(Inflation!F33=0,J27*((1+(Inflation!J33/Inflation!J32-1))*(1+Inflation!K33/100)),Inflation!F33),0)</f>
        <v>177.65813166666669</v>
      </c>
      <c r="K28" s="247">
        <f>IFERROR(IF(Inflation!F34=0,K27*((1+(Inflation!J34/Inflation!J33-1))*(1+Inflation!K34/100)),Inflation!F34),0)</f>
        <v>158.18871125000001</v>
      </c>
      <c r="L28" s="248">
        <f t="shared" si="3"/>
        <v>172.79077656250001</v>
      </c>
      <c r="M28" s="250">
        <f t="shared" si="0"/>
        <v>1.6034465920791863</v>
      </c>
      <c r="N28" s="10"/>
      <c r="O28" s="247">
        <f>IF(Inflation!G33=0,O27*(1+Inflation!K33/100),Inflation!G33)</f>
        <v>121.7</v>
      </c>
      <c r="P28" s="247">
        <f>IF(Inflation!G34=0,P27*(1+Inflation!K34/100),Inflation!G34)</f>
        <v>130.5</v>
      </c>
      <c r="Q28" s="248">
        <f t="shared" si="4"/>
        <v>123.9</v>
      </c>
      <c r="R28" s="250">
        <f t="shared" si="5"/>
        <v>1.4192439862542958</v>
      </c>
      <c r="S28" s="10"/>
      <c r="T28" s="248">
        <f>H28*Inflation!$E$18+M28*Inflation!$F$18+R28*Inflation!$G$18</f>
        <v>1.4016150340551714</v>
      </c>
      <c r="U28" s="251"/>
      <c r="V28" s="251"/>
      <c r="W28" s="251"/>
    </row>
    <row r="29" spans="4:23" ht="15.6">
      <c r="D29" s="241" t="s">
        <v>189</v>
      </c>
      <c r="E29" s="247">
        <f>IF(Inflation!E34=0,E28*(1+Inflation!I34/100),Inflation!E34)</f>
        <v>197</v>
      </c>
      <c r="F29" s="247">
        <f>IF(Inflation!E35=0,F28*(1+Inflation!I35/100),Inflation!E35)</f>
        <v>207.3</v>
      </c>
      <c r="G29" s="248">
        <f t="shared" si="1"/>
        <v>199.57499999999999</v>
      </c>
      <c r="H29" s="250">
        <f t="shared" si="2"/>
        <v>1.433985988862942</v>
      </c>
      <c r="I29" s="10"/>
      <c r="J29" s="247">
        <f>IFERROR(IF(Inflation!F34=0,J28*((1+(Inflation!J34/Inflation!J33-1))*(1+Inflation!K34/100)),Inflation!F34),0)</f>
        <v>158.18871125000001</v>
      </c>
      <c r="K29" s="247">
        <f>IFERROR(IF(Inflation!F35=0,K28*((1+(Inflation!J35/Inflation!J34-1))*(1+Inflation!K35/100)),Inflation!F35),0)</f>
        <v>148.32888483333338</v>
      </c>
      <c r="L29" s="248">
        <f t="shared" si="3"/>
        <v>155.72375464583337</v>
      </c>
      <c r="M29" s="250">
        <f t="shared" si="0"/>
        <v>1.4450697465458753</v>
      </c>
      <c r="N29" s="10"/>
      <c r="O29" s="247">
        <f>IF(Inflation!G34=0,O28*(1+Inflation!K34/100),Inflation!G34)</f>
        <v>130.5</v>
      </c>
      <c r="P29" s="247">
        <f>IF(Inflation!G35=0,P28*(1+Inflation!K35/100),Inflation!G35)</f>
        <v>133.9</v>
      </c>
      <c r="Q29" s="248">
        <f t="shared" si="4"/>
        <v>131.35</v>
      </c>
      <c r="R29" s="250">
        <f t="shared" si="5"/>
        <v>1.5045819014891182</v>
      </c>
      <c r="S29" s="10"/>
      <c r="T29" s="248">
        <f>H29*Inflation!$E$18+M29*Inflation!$F$18+R29*Inflation!$G$18</f>
        <v>1.453297530671926</v>
      </c>
      <c r="U29" s="250">
        <f>'Calculation Parameters'!E32</f>
        <v>1.4750000000000001</v>
      </c>
      <c r="V29" s="250">
        <f>'Calculation Parameters'!E33</f>
        <v>1.49</v>
      </c>
      <c r="W29" s="250">
        <f>'Calculation Parameters'!E34</f>
        <v>1.2330000000000001</v>
      </c>
    </row>
    <row r="30" spans="4:23" ht="15.6">
      <c r="D30" s="241" t="s">
        <v>190</v>
      </c>
      <c r="E30" s="247">
        <f>IF(Inflation!E35=0,E29*(1+Inflation!I35/100),Inflation!E35)</f>
        <v>207.3</v>
      </c>
      <c r="F30" s="247">
        <f>IF(Inflation!E36=0,F29*(1+Inflation!I36/100),Inflation!E36)</f>
        <v>218.01332441842811</v>
      </c>
      <c r="G30" s="248">
        <f t="shared" si="1"/>
        <v>209.97833110460704</v>
      </c>
      <c r="H30" s="250">
        <f t="shared" si="2"/>
        <v>1.5087359878182649</v>
      </c>
      <c r="I30" s="10"/>
      <c r="J30" s="247">
        <f>IFERROR(IF(Inflation!F35=0,J29*((1+(Inflation!J35/Inflation!J34-1))*(1+Inflation!K35/100)),Inflation!F35),0)</f>
        <v>148.32888483333338</v>
      </c>
      <c r="K30" s="247">
        <f>IFERROR(IF(Inflation!F36=0,K29*((1+(Inflation!J36/Inflation!J35-1))*(1+Inflation!K36/100)),Inflation!F36),0)</f>
        <v>143.29590562228123</v>
      </c>
      <c r="L30" s="248">
        <f t="shared" si="3"/>
        <v>147.07064003057033</v>
      </c>
      <c r="M30" s="250">
        <f t="shared" si="0"/>
        <v>1.3647714377082187</v>
      </c>
      <c r="N30" s="10"/>
      <c r="O30" s="247">
        <f>IF(Inflation!G35=0,O29*(1+Inflation!K35/100),Inflation!G35)</f>
        <v>133.9</v>
      </c>
      <c r="P30" s="247">
        <f>IF(Inflation!G36=0,P29*(1+Inflation!K36/100),Inflation!G36)</f>
        <v>138.52325747870827</v>
      </c>
      <c r="Q30" s="248">
        <f t="shared" si="4"/>
        <v>135.05581436967708</v>
      </c>
      <c r="R30" s="250">
        <f t="shared" si="5"/>
        <v>1.5470310924361639</v>
      </c>
      <c r="S30" s="10"/>
      <c r="T30" s="248">
        <f>H30*Inflation!$E$18+M30*Inflation!$F$18+R30*Inflation!$G$18</f>
        <v>1.4967150814562329</v>
      </c>
      <c r="U30" s="250">
        <f t="shared" ref="U30:U40" si="6">$U$29*$T30/$T$29</f>
        <v>1.5190659163421572</v>
      </c>
      <c r="V30" s="250">
        <f>$V$29*$T30/$T$29</f>
        <v>1.534514044304959</v>
      </c>
      <c r="W30" s="250">
        <f>$W$29*$T30/$T$29</f>
        <v>1.2698361185422915</v>
      </c>
    </row>
    <row r="31" spans="4:23" ht="15.6">
      <c r="D31" s="241" t="s">
        <v>191</v>
      </c>
      <c r="E31" s="247">
        <f>IF(Inflation!E36=0,E30*(1+Inflation!I36/100),Inflation!E36)</f>
        <v>218.01332441842811</v>
      </c>
      <c r="F31" s="247">
        <f>IF(Inflation!E37=0,F30*(1+Inflation!I37/100),Inflation!E37)</f>
        <v>225.26776980130643</v>
      </c>
      <c r="G31" s="248">
        <f t="shared" si="1"/>
        <v>219.82693576414772</v>
      </c>
      <c r="H31" s="250">
        <f t="shared" si="2"/>
        <v>1.5795001671575191</v>
      </c>
      <c r="I31" s="10"/>
      <c r="J31" s="247">
        <f>IFERROR(IF(Inflation!F36=0,J30*((1+(Inflation!J36/Inflation!J35-1))*(1+Inflation!K36/100)),Inflation!F36),0)</f>
        <v>143.29590562228123</v>
      </c>
      <c r="K31" s="247">
        <f>IFERROR(IF(Inflation!F37=0,K30*((1+(Inflation!J37/Inflation!J36-1))*(1+Inflation!K37/100)),Inflation!F37),0)</f>
        <v>147.72210454897385</v>
      </c>
      <c r="L31" s="248">
        <f t="shared" si="3"/>
        <v>144.40245535395439</v>
      </c>
      <c r="M31" s="250">
        <f t="shared" si="0"/>
        <v>1.3400114840123674</v>
      </c>
      <c r="N31" s="10"/>
      <c r="O31" s="247">
        <f>IF(Inflation!G36=0,O30*(1+Inflation!K36/100),Inflation!G36)</f>
        <v>138.52325747870827</v>
      </c>
      <c r="P31" s="247">
        <f>IF(Inflation!G37=0,P30*(1+Inflation!K37/100),Inflation!G37)</f>
        <v>141.95880401492056</v>
      </c>
      <c r="Q31" s="248">
        <f t="shared" si="4"/>
        <v>139.38214411276135</v>
      </c>
      <c r="R31" s="250">
        <f t="shared" si="5"/>
        <v>1.5965881341667971</v>
      </c>
      <c r="S31" s="10"/>
      <c r="T31" s="248">
        <f>H31*Inflation!$E$18+M31*Inflation!$F$18+R31*Inflation!$G$18</f>
        <v>1.5478488564380657</v>
      </c>
      <c r="U31" s="250">
        <f t="shared" si="6"/>
        <v>1.5709632852610544</v>
      </c>
      <c r="V31" s="250">
        <f t="shared" ref="V31:V40" si="7">$V$29*$T31/$T$29</f>
        <v>1.5869391830772686</v>
      </c>
      <c r="W31" s="250">
        <f t="shared" ref="W31:W40" si="8">$W$29*$T31/$T$29</f>
        <v>1.3132188004928</v>
      </c>
    </row>
    <row r="32" spans="4:23" ht="15.6">
      <c r="D32" s="241" t="s">
        <v>192</v>
      </c>
      <c r="E32" s="247">
        <f>IF(Inflation!E37=0,E31*(1+Inflation!I37/100),Inflation!E37)</f>
        <v>225.26776980130643</v>
      </c>
      <c r="F32" s="247">
        <f>IF(Inflation!E38=0,F31*(1+Inflation!I38/100),Inflation!E38)</f>
        <v>230.33922388765035</v>
      </c>
      <c r="G32" s="248">
        <f t="shared" si="1"/>
        <v>226.53563332289241</v>
      </c>
      <c r="H32" s="250">
        <f t="shared" si="2"/>
        <v>1.6277034907339134</v>
      </c>
      <c r="I32" s="10"/>
      <c r="J32" s="247">
        <f>IFERROR(IF(Inflation!F37=0,J31*((1+(Inflation!J37/Inflation!J36-1))*(1+Inflation!K37/100)),Inflation!F37),0)</f>
        <v>147.72210454897385</v>
      </c>
      <c r="K32" s="247">
        <f>IFERROR(IF(Inflation!F38=0,K31*((1+(Inflation!J38/Inflation!J37-1))*(1+Inflation!K38/100)),Inflation!F38),0)</f>
        <v>147.57578519922438</v>
      </c>
      <c r="L32" s="248">
        <f t="shared" si="3"/>
        <v>147.68552471153649</v>
      </c>
      <c r="M32" s="250">
        <f t="shared" si="0"/>
        <v>1.3704773831633585</v>
      </c>
      <c r="N32" s="10"/>
      <c r="O32" s="247">
        <f>IF(Inflation!G37=0,O31*(1+Inflation!K37/100),Inflation!G37)</f>
        <v>141.95880401492056</v>
      </c>
      <c r="P32" s="247">
        <f>IF(Inflation!G38=0,P31*(1+Inflation!K38/100),Inflation!G38)</f>
        <v>144.81961331329728</v>
      </c>
      <c r="Q32" s="248">
        <f t="shared" si="4"/>
        <v>142.67400633951473</v>
      </c>
      <c r="R32" s="250">
        <f t="shared" si="5"/>
        <v>1.6342956052636284</v>
      </c>
      <c r="S32" s="10"/>
      <c r="T32" s="248">
        <f>H32*Inflation!$E$18+M32*Inflation!$F$18+R32*Inflation!$G$18</f>
        <v>1.5907676032307589</v>
      </c>
      <c r="U32" s="250">
        <f t="shared" si="6"/>
        <v>1.6145229488420927</v>
      </c>
      <c r="V32" s="250">
        <f t="shared" si="7"/>
        <v>1.6309418262879445</v>
      </c>
      <c r="W32" s="250">
        <f t="shared" si="8"/>
        <v>1.3496317260490172</v>
      </c>
    </row>
    <row r="33" spans="1:40" ht="15.6">
      <c r="D33" s="241" t="s">
        <v>465</v>
      </c>
      <c r="E33" s="247">
        <f>IF(Inflation!E38=0,E32*(1+Inflation!I38/100),Inflation!E38)</f>
        <v>230.33922388765035</v>
      </c>
      <c r="F33" s="247">
        <f>IF(Inflation!E39=0,F32*(1+Inflation!I39/100),Inflation!E39)</f>
        <v>235.16789552108858</v>
      </c>
      <c r="G33" s="248">
        <f t="shared" si="1"/>
        <v>231.54639179600989</v>
      </c>
      <c r="H33" s="250">
        <f t="shared" si="2"/>
        <v>1.6637067849542653</v>
      </c>
      <c r="I33" s="10"/>
      <c r="J33" s="247">
        <f>IFERROR(IF(Inflation!F38=0,J32*((1+(Inflation!J38/Inflation!J37-1))*(1+Inflation!K38/100)),Inflation!F38),0)</f>
        <v>147.57578519922438</v>
      </c>
      <c r="K33" s="247">
        <f>IFERROR(IF(Inflation!F39=0,K32*((1+(Inflation!J39/Inflation!J38-1))*(1+Inflation!K39/100)),Inflation!F39),0)</f>
        <v>149.10598372533909</v>
      </c>
      <c r="L33" s="248">
        <f t="shared" si="3"/>
        <v>147.95833483075307</v>
      </c>
      <c r="M33" s="250">
        <f t="shared" si="0"/>
        <v>1.3730089792626696</v>
      </c>
      <c r="N33" s="10"/>
      <c r="O33" s="247">
        <f>IF(Inflation!G38=0,O32*(1+Inflation!K38/100),Inflation!G38)</f>
        <v>144.81961331329728</v>
      </c>
      <c r="P33" s="247">
        <f>IF(Inflation!G39=0,P32*(1+Inflation!K39/100),Inflation!G39)</f>
        <v>147.76675578579315</v>
      </c>
      <c r="Q33" s="248">
        <f t="shared" si="4"/>
        <v>145.55639893142126</v>
      </c>
      <c r="R33" s="250">
        <f t="shared" si="5"/>
        <v>1.6673127025363264</v>
      </c>
      <c r="S33" s="10"/>
      <c r="T33" s="248">
        <f>H33*Inflation!$E$18+M33*Inflation!$F$18+R33*Inflation!$G$18</f>
        <v>1.6210035934960412</v>
      </c>
      <c r="U33" s="250">
        <f t="shared" si="6"/>
        <v>1.6452104609998208</v>
      </c>
      <c r="V33" s="250">
        <f t="shared" si="7"/>
        <v>1.661941414840497</v>
      </c>
      <c r="W33" s="250">
        <f t="shared" si="8"/>
        <v>1.3752844057035791</v>
      </c>
    </row>
    <row r="34" spans="1:40" ht="15.6">
      <c r="D34" s="241" t="s">
        <v>466</v>
      </c>
      <c r="E34" s="247">
        <f>IF(Inflation!E39=0,E33*(1+Inflation!I39/100),Inflation!E39)</f>
        <v>235.16789552108858</v>
      </c>
      <c r="F34" s="247">
        <f>IF(Inflation!E40=0,F33*(1+Inflation!I40/100),Inflation!E40)</f>
        <v>240.35436355861819</v>
      </c>
      <c r="G34" s="248">
        <f t="shared" si="1"/>
        <v>236.46451253047098</v>
      </c>
      <c r="H34" s="250">
        <f t="shared" si="2"/>
        <v>1.6990444586346036</v>
      </c>
      <c r="I34" s="10"/>
      <c r="J34" s="247">
        <f>IFERROR(IF(Inflation!F39=0,J33*((1+(Inflation!J39/Inflation!J38-1))*(1+Inflation!K39/100)),Inflation!F39),0)</f>
        <v>149.10598372533909</v>
      </c>
      <c r="K34" s="247">
        <f>IFERROR(IF(Inflation!F40=0,K33*((1+(Inflation!J40/Inflation!J39-1))*(1+Inflation!K40/100)),Inflation!F40),0)</f>
        <v>150.50154672262457</v>
      </c>
      <c r="L34" s="248">
        <f t="shared" si="3"/>
        <v>149.45487447466044</v>
      </c>
      <c r="M34" s="250">
        <f t="shared" si="0"/>
        <v>1.3868964183938128</v>
      </c>
      <c r="N34" s="10"/>
      <c r="O34" s="247">
        <f>IF(Inflation!G39=0,O33*(1+Inflation!K39/100),Inflation!G39)</f>
        <v>147.76675578579315</v>
      </c>
      <c r="P34" s="247">
        <f>IF(Inflation!G40=0,P33*(1+Inflation!K40/100),Inflation!G40)</f>
        <v>150.77845229713395</v>
      </c>
      <c r="Q34" s="248">
        <f t="shared" si="4"/>
        <v>148.51967991362835</v>
      </c>
      <c r="R34" s="250">
        <f t="shared" si="5"/>
        <v>1.7012563563989505</v>
      </c>
      <c r="S34" s="10"/>
      <c r="T34" s="248">
        <f>H34*Inflation!$E$18+M34*Inflation!$F$18+R34*Inflation!$G$18</f>
        <v>1.6527752270395717</v>
      </c>
      <c r="U34" s="250">
        <f t="shared" si="6"/>
        <v>1.6774565485955526</v>
      </c>
      <c r="V34" s="250">
        <f t="shared" si="7"/>
        <v>1.6945154287507616</v>
      </c>
      <c r="W34" s="250">
        <f t="shared" si="8"/>
        <v>1.4022399487581805</v>
      </c>
    </row>
    <row r="35" spans="1:40" ht="15.6">
      <c r="D35" s="241" t="s">
        <v>467</v>
      </c>
      <c r="E35" s="247">
        <f>IF(Inflation!E40=0,E34*(1+Inflation!I40/100),Inflation!E40)</f>
        <v>240.35436355861819</v>
      </c>
      <c r="F35" s="247">
        <f>IF(Inflation!E41=0,F34*(1+Inflation!I41/100),Inflation!E41)</f>
        <v>240.35436355861819</v>
      </c>
      <c r="G35" s="248">
        <f t="shared" si="1"/>
        <v>240.35436355861819</v>
      </c>
      <c r="H35" s="252">
        <f t="shared" si="2"/>
        <v>1.7269938103726832</v>
      </c>
      <c r="I35" s="10"/>
      <c r="J35" s="247">
        <f>IFERROR(IF(Inflation!F40=0,J34*((1+(Inflation!J40/Inflation!J39-1))*(1+Inflation!K40/100)),Inflation!F40),0)</f>
        <v>150.50154672262457</v>
      </c>
      <c r="K35" s="247">
        <f>IFERROR(IF(Inflation!F41=0,K34*((1+(Inflation!J41/Inflation!J40-1))*(1+Inflation!K41/100)),Inflation!F41),0)</f>
        <v>0</v>
      </c>
      <c r="L35" s="248">
        <f t="shared" si="3"/>
        <v>112.87616004196843</v>
      </c>
      <c r="M35" s="252">
        <f t="shared" si="0"/>
        <v>1.0474569172435719</v>
      </c>
      <c r="N35" s="10"/>
      <c r="O35" s="247">
        <f>IF(Inflation!G40=0,O34*(1+Inflation!K40/100),Inflation!G40)</f>
        <v>150.77845229713395</v>
      </c>
      <c r="P35" s="247">
        <f>IF(Inflation!G41=0,P34*(1+Inflation!K41/100),Inflation!G41)</f>
        <v>150.77845229713395</v>
      </c>
      <c r="Q35" s="248">
        <f t="shared" si="4"/>
        <v>150.77845229713395</v>
      </c>
      <c r="R35" s="252">
        <f t="shared" si="5"/>
        <v>1.7271300377678578</v>
      </c>
      <c r="S35" s="10"/>
      <c r="T35" s="248">
        <f>H35*Inflation!$E$18+M35*Inflation!$F$18+R35*Inflation!$G$18</f>
        <v>1.6250973332521101</v>
      </c>
      <c r="U35" s="252">
        <f t="shared" si="6"/>
        <v>1.6493653336344767</v>
      </c>
      <c r="V35" s="252">
        <f t="shared" si="7"/>
        <v>1.6661385404172004</v>
      </c>
      <c r="W35" s="252">
        <f t="shared" si="8"/>
        <v>1.3787575975398714</v>
      </c>
    </row>
    <row r="36" spans="1:40" ht="15.6">
      <c r="D36" s="241" t="s">
        <v>468</v>
      </c>
      <c r="E36" s="247">
        <f>IF(Inflation!E41=0,E35*(1+Inflation!I41/100),Inflation!E41)</f>
        <v>240.35436355861819</v>
      </c>
      <c r="F36" s="247">
        <f>IF(Inflation!E42=0,F35*(1+Inflation!I42/100),Inflation!E42)</f>
        <v>240.35436355861819</v>
      </c>
      <c r="G36" s="248">
        <f t="shared" si="1"/>
        <v>240.35436355861819</v>
      </c>
      <c r="H36" s="252">
        <f t="shared" si="2"/>
        <v>1.7269938103726832</v>
      </c>
      <c r="I36" s="10"/>
      <c r="J36" s="247">
        <f>IFERROR(IF(Inflation!F41=0,J35*((1+(Inflation!J41/Inflation!J40-1))*(1+Inflation!K41/100)),Inflation!F41),0)</f>
        <v>0</v>
      </c>
      <c r="K36" s="247">
        <f>IFERROR(IF(Inflation!F42=0,K35*((1+(Inflation!J42/Inflation!J41-1))*(1+Inflation!K42/100)),Inflation!F42),0)</f>
        <v>0</v>
      </c>
      <c r="L36" s="248">
        <f t="shared" si="3"/>
        <v>0</v>
      </c>
      <c r="M36" s="252">
        <f t="shared" si="0"/>
        <v>0</v>
      </c>
      <c r="N36" s="10"/>
      <c r="O36" s="247">
        <f>IF(Inflation!G41=0,O35*(1+Inflation!K41/100),Inflation!G41)</f>
        <v>150.77845229713395</v>
      </c>
      <c r="P36" s="247">
        <f>IF(Inflation!G42=0,P35*(1+Inflation!K42/100),Inflation!G42)</f>
        <v>150.77845229713395</v>
      </c>
      <c r="Q36" s="248">
        <f t="shared" si="4"/>
        <v>150.77845229713395</v>
      </c>
      <c r="R36" s="252">
        <f t="shared" si="5"/>
        <v>1.7271300377678578</v>
      </c>
      <c r="S36" s="10"/>
      <c r="T36" s="248">
        <f>H36*Inflation!$E$18+M36*Inflation!$F$18+R36*Inflation!$G$18</f>
        <v>1.4679787956655743</v>
      </c>
      <c r="U36" s="252">
        <f t="shared" si="6"/>
        <v>1.4899005041353228</v>
      </c>
      <c r="V36" s="252">
        <f t="shared" si="7"/>
        <v>1.5050520346858514</v>
      </c>
      <c r="W36" s="252">
        <f t="shared" si="8"/>
        <v>1.2454558112534597</v>
      </c>
    </row>
    <row r="37" spans="1:40" ht="15.6">
      <c r="D37" s="241" t="s">
        <v>469</v>
      </c>
      <c r="E37" s="247">
        <f>IF(Inflation!E42=0,E36*(1+Inflation!I42/100),Inflation!E42)</f>
        <v>240.35436355861819</v>
      </c>
      <c r="F37" s="247">
        <f>IF(Inflation!E43=0,F36*(1+Inflation!I43/100),Inflation!E43)</f>
        <v>240.35436355861819</v>
      </c>
      <c r="G37" s="248">
        <f t="shared" si="1"/>
        <v>240.35436355861819</v>
      </c>
      <c r="H37" s="252">
        <f t="shared" si="2"/>
        <v>1.7269938103726832</v>
      </c>
      <c r="I37" s="10"/>
      <c r="J37" s="247">
        <f>IFERROR(IF(Inflation!F42=0,J36*((1+(Inflation!J42/Inflation!J41-1))*(1+Inflation!K42/100)),Inflation!F42),0)</f>
        <v>0</v>
      </c>
      <c r="K37" s="247">
        <f>IFERROR(IF(Inflation!F43=0,K36*((1+(Inflation!J43/Inflation!J42-1))*(1+Inflation!K43/100)),Inflation!F43),0)</f>
        <v>0</v>
      </c>
      <c r="L37" s="248">
        <f t="shared" si="3"/>
        <v>0</v>
      </c>
      <c r="M37" s="252">
        <f t="shared" si="0"/>
        <v>0</v>
      </c>
      <c r="N37" s="10"/>
      <c r="O37" s="247">
        <f>IF(Inflation!G42=0,O36*(1+Inflation!K42/100),Inflation!G42)</f>
        <v>150.77845229713395</v>
      </c>
      <c r="P37" s="247">
        <f>IF(Inflation!G43=0,P36*(1+Inflation!K43/100),Inflation!G43)</f>
        <v>150.77845229713395</v>
      </c>
      <c r="Q37" s="248">
        <f t="shared" si="4"/>
        <v>150.77845229713395</v>
      </c>
      <c r="R37" s="252">
        <f t="shared" si="5"/>
        <v>1.7271300377678578</v>
      </c>
      <c r="S37" s="10"/>
      <c r="T37" s="248">
        <f>H37*Inflation!$E$18+M37*Inflation!$F$18+R37*Inflation!$G$18</f>
        <v>1.4679787956655743</v>
      </c>
      <c r="U37" s="252">
        <f t="shared" si="6"/>
        <v>1.4899005041353228</v>
      </c>
      <c r="V37" s="252">
        <f t="shared" si="7"/>
        <v>1.5050520346858514</v>
      </c>
      <c r="W37" s="252">
        <f t="shared" si="8"/>
        <v>1.2454558112534597</v>
      </c>
    </row>
    <row r="38" spans="1:40" ht="15.6">
      <c r="D38" s="241" t="s">
        <v>470</v>
      </c>
      <c r="E38" s="247">
        <f>IF(Inflation!E43=0,E37*(1+Inflation!I43/100),Inflation!E43)</f>
        <v>240.35436355861819</v>
      </c>
      <c r="F38" s="247">
        <f>IF(Inflation!E44=0,F37*(1+Inflation!I44/100),Inflation!E44)</f>
        <v>240.35436355861819</v>
      </c>
      <c r="G38" s="248">
        <f t="shared" si="1"/>
        <v>240.35436355861819</v>
      </c>
      <c r="H38" s="252">
        <f t="shared" si="2"/>
        <v>1.7269938103726832</v>
      </c>
      <c r="I38" s="10"/>
      <c r="J38" s="247">
        <f>IFERROR(IF(Inflation!F43=0,J37*((1+(Inflation!J43/Inflation!J42-1))*(1+Inflation!K43/100)),Inflation!F43),0)</f>
        <v>0</v>
      </c>
      <c r="K38" s="247">
        <f>IFERROR(IF(Inflation!F44=0,K37*((1+(Inflation!J44/Inflation!J43-1))*(1+Inflation!K44/100)),Inflation!F44),0)</f>
        <v>0</v>
      </c>
      <c r="L38" s="248">
        <f t="shared" si="3"/>
        <v>0</v>
      </c>
      <c r="M38" s="252">
        <f t="shared" si="0"/>
        <v>0</v>
      </c>
      <c r="N38" s="10"/>
      <c r="O38" s="247">
        <f>IF(Inflation!G43=0,O37*(1+Inflation!K43/100),Inflation!G43)</f>
        <v>150.77845229713395</v>
      </c>
      <c r="P38" s="247">
        <f>IF(Inflation!G44=0,P37*(1+Inflation!K44/100),Inflation!G44)</f>
        <v>150.77845229713395</v>
      </c>
      <c r="Q38" s="248">
        <f t="shared" si="4"/>
        <v>150.77845229713395</v>
      </c>
      <c r="R38" s="252">
        <f t="shared" si="5"/>
        <v>1.7271300377678578</v>
      </c>
      <c r="S38" s="10"/>
      <c r="T38" s="248">
        <f>H38*Inflation!$E$18+M38*Inflation!$F$18+R38*Inflation!$G$18</f>
        <v>1.4679787956655743</v>
      </c>
      <c r="U38" s="252">
        <f t="shared" si="6"/>
        <v>1.4899005041353228</v>
      </c>
      <c r="V38" s="252">
        <f t="shared" si="7"/>
        <v>1.5050520346858514</v>
      </c>
      <c r="W38" s="252">
        <f t="shared" si="8"/>
        <v>1.2454558112534597</v>
      </c>
    </row>
    <row r="39" spans="1:40" ht="15.6">
      <c r="D39" s="241" t="s">
        <v>471</v>
      </c>
      <c r="E39" s="247">
        <f>IF(Inflation!E44=0,E38*(1+Inflation!I44/100),Inflation!E44)</f>
        <v>240.35436355861819</v>
      </c>
      <c r="F39" s="247">
        <f>IF(Inflation!E45=0,F38*(1+Inflation!I45/100),Inflation!E45)</f>
        <v>240.35436355861819</v>
      </c>
      <c r="G39" s="248">
        <f t="shared" si="1"/>
        <v>240.35436355861819</v>
      </c>
      <c r="H39" s="252">
        <f t="shared" si="2"/>
        <v>1.7269938103726832</v>
      </c>
      <c r="I39" s="10"/>
      <c r="J39" s="247">
        <f>IFERROR(IF(Inflation!F44=0,J38*((1+(Inflation!J44/Inflation!J43-1))*(1+Inflation!K44/100)),Inflation!F44),0)</f>
        <v>0</v>
      </c>
      <c r="K39" s="247">
        <f>IFERROR(IF(Inflation!F45=0,K38*((1+(Inflation!J45/Inflation!J44-1))*(1+Inflation!K45/100)),Inflation!F45),0)</f>
        <v>0</v>
      </c>
      <c r="L39" s="248">
        <f t="shared" si="3"/>
        <v>0</v>
      </c>
      <c r="M39" s="252">
        <f t="shared" si="0"/>
        <v>0</v>
      </c>
      <c r="N39" s="10"/>
      <c r="O39" s="247">
        <f>IF(Inflation!G44=0,O38*(1+Inflation!K44/100),Inflation!G44)</f>
        <v>150.77845229713395</v>
      </c>
      <c r="P39" s="247">
        <f>IF(Inflation!G45=0,P38*(1+Inflation!K45/100),Inflation!G45)</f>
        <v>150.77845229713395</v>
      </c>
      <c r="Q39" s="248">
        <f t="shared" si="4"/>
        <v>150.77845229713395</v>
      </c>
      <c r="R39" s="252">
        <f t="shared" si="5"/>
        <v>1.7271300377678578</v>
      </c>
      <c r="S39" s="10"/>
      <c r="T39" s="248">
        <f>H39*Inflation!$E$18+M39*Inflation!$F$18+R39*Inflation!$G$18</f>
        <v>1.4679787956655743</v>
      </c>
      <c r="U39" s="252">
        <f t="shared" si="6"/>
        <v>1.4899005041353228</v>
      </c>
      <c r="V39" s="252">
        <f t="shared" si="7"/>
        <v>1.5050520346858514</v>
      </c>
      <c r="W39" s="252">
        <f t="shared" si="8"/>
        <v>1.2454558112534597</v>
      </c>
    </row>
    <row r="40" spans="1:40" ht="15.95" thickBot="1">
      <c r="D40" s="241" t="s">
        <v>472</v>
      </c>
      <c r="E40" s="247">
        <f>IF(Inflation!E45=0,E39*(1+Inflation!I45/100),Inflation!E45)</f>
        <v>240.35436355861819</v>
      </c>
      <c r="F40" s="247">
        <f>IF(Inflation!E46=0,F39*(1+Inflation!I46/100),Inflation!E46)</f>
        <v>240.35436355861819</v>
      </c>
      <c r="G40" s="248">
        <f t="shared" si="1"/>
        <v>240.35436355861819</v>
      </c>
      <c r="H40" s="253">
        <f t="shared" si="2"/>
        <v>1.7269938103726832</v>
      </c>
      <c r="I40" s="10"/>
      <c r="J40" s="247">
        <f>IFERROR(IF(Inflation!F45=0,J39*((1+(Inflation!J45/Inflation!J44-1))*(1+Inflation!K45/100)),Inflation!F45),0)</f>
        <v>0</v>
      </c>
      <c r="K40" s="247">
        <f>IFERROR(IF(Inflation!F46=0,K39*((1+(Inflation!J46/Inflation!J45-1))*(1+Inflation!K46/100)),Inflation!F46),0)</f>
        <v>0</v>
      </c>
      <c r="L40" s="248">
        <f t="shared" si="3"/>
        <v>0</v>
      </c>
      <c r="M40" s="253">
        <f t="shared" si="0"/>
        <v>0</v>
      </c>
      <c r="N40" s="10"/>
      <c r="O40" s="247">
        <f>IF(Inflation!G45=0,O39*(1+Inflation!K45/100),Inflation!G45)</f>
        <v>150.77845229713395</v>
      </c>
      <c r="P40" s="247">
        <f>IF(Inflation!G46=0,P39*(1+Inflation!K46/100),Inflation!G46)</f>
        <v>150.77845229713395</v>
      </c>
      <c r="Q40" s="248">
        <f t="shared" si="4"/>
        <v>150.77845229713395</v>
      </c>
      <c r="R40" s="253">
        <f t="shared" si="5"/>
        <v>1.7271300377678578</v>
      </c>
      <c r="S40" s="10"/>
      <c r="T40" s="248">
        <f>H40*Inflation!$E$18+M40*Inflation!$F$18+R40*Inflation!$G$18</f>
        <v>1.4679787956655743</v>
      </c>
      <c r="U40" s="253">
        <f t="shared" si="6"/>
        <v>1.4899005041353228</v>
      </c>
      <c r="V40" s="253">
        <f t="shared" si="7"/>
        <v>1.5050520346858514</v>
      </c>
      <c r="W40" s="253">
        <f t="shared" si="8"/>
        <v>1.2454558112534597</v>
      </c>
    </row>
    <row r="42" spans="1:40" s="10" customFormat="1" ht="15.6">
      <c r="A42" s="49"/>
      <c r="B42" s="50"/>
      <c r="C42" s="50"/>
      <c r="D42" s="46" t="s">
        <v>433</v>
      </c>
      <c r="E42" s="50"/>
      <c r="F42" s="46"/>
      <c r="G42" s="45"/>
      <c r="H42" s="45"/>
      <c r="I42" s="51"/>
      <c r="J42" s="51"/>
      <c r="K42" s="51"/>
      <c r="L42" s="51"/>
      <c r="M42" s="51"/>
      <c r="N42" s="51"/>
      <c r="O42" s="51"/>
      <c r="P42" s="51"/>
      <c r="Q42" s="51"/>
      <c r="R42" s="51"/>
      <c r="S42" s="51"/>
      <c r="T42" s="51"/>
      <c r="U42" s="51"/>
      <c r="V42" s="51"/>
      <c r="W42" s="51"/>
      <c r="X42" s="50"/>
      <c r="Y42" s="50"/>
      <c r="Z42" s="50"/>
      <c r="AA42" s="50"/>
      <c r="AB42" s="50"/>
      <c r="AC42" s="50"/>
      <c r="AD42" s="50"/>
      <c r="AE42" s="50"/>
      <c r="AF42" s="50"/>
      <c r="AG42" s="50"/>
      <c r="AH42" s="50"/>
      <c r="AI42"/>
      <c r="AJ42"/>
      <c r="AK42"/>
      <c r="AL42"/>
      <c r="AM42"/>
      <c r="AN42"/>
    </row>
    <row r="44" spans="1:40" ht="15.6">
      <c r="D44" s="174" t="s">
        <v>188</v>
      </c>
      <c r="E44" s="174" t="s">
        <v>445</v>
      </c>
      <c r="F44" s="174" t="s">
        <v>433</v>
      </c>
    </row>
    <row r="45" spans="1:40" ht="15.6">
      <c r="D45" s="241">
        <v>2019</v>
      </c>
      <c r="E45" s="247">
        <f>O25</f>
        <v>107.8</v>
      </c>
      <c r="F45" s="247">
        <f t="shared" ref="F45:F61" si="9">$E$45/E45</f>
        <v>1</v>
      </c>
    </row>
    <row r="46" spans="1:40" ht="15.6">
      <c r="D46" s="241" t="s">
        <v>461</v>
      </c>
      <c r="E46" s="247">
        <f t="shared" ref="E46:E61" si="10">Q25</f>
        <v>108.02499999999999</v>
      </c>
      <c r="F46" s="247">
        <f t="shared" si="9"/>
        <v>0.9979171488081463</v>
      </c>
    </row>
    <row r="47" spans="1:40" ht="15.6">
      <c r="D47" s="241" t="s">
        <v>462</v>
      </c>
      <c r="E47" s="247">
        <f t="shared" si="10"/>
        <v>109.42500000000001</v>
      </c>
      <c r="F47" s="247">
        <f t="shared" si="9"/>
        <v>0.98514964587617071</v>
      </c>
    </row>
    <row r="48" spans="1:40" ht="15.6">
      <c r="D48" s="241" t="s">
        <v>463</v>
      </c>
      <c r="E48" s="247">
        <f t="shared" si="10"/>
        <v>114.12499999999999</v>
      </c>
      <c r="F48" s="247">
        <f t="shared" si="9"/>
        <v>0.94457831325301211</v>
      </c>
    </row>
    <row r="49" spans="1:40" ht="15.6">
      <c r="D49" s="241" t="s">
        <v>464</v>
      </c>
      <c r="E49" s="247">
        <f t="shared" si="10"/>
        <v>123.9</v>
      </c>
      <c r="F49" s="247">
        <f t="shared" si="9"/>
        <v>0.87005649717514122</v>
      </c>
    </row>
    <row r="50" spans="1:40" ht="15.6">
      <c r="D50" s="241" t="s">
        <v>189</v>
      </c>
      <c r="E50" s="247">
        <f t="shared" si="10"/>
        <v>131.35</v>
      </c>
      <c r="F50" s="247">
        <f t="shared" si="9"/>
        <v>0.82070803197563758</v>
      </c>
    </row>
    <row r="51" spans="1:40" ht="15.6">
      <c r="D51" s="241" t="s">
        <v>190</v>
      </c>
      <c r="E51" s="247">
        <f t="shared" si="10"/>
        <v>135.05581436967708</v>
      </c>
      <c r="F51" s="247">
        <f t="shared" si="9"/>
        <v>0.79818851563789761</v>
      </c>
    </row>
    <row r="52" spans="1:40" ht="15.6">
      <c r="D52" s="241" t="s">
        <v>191</v>
      </c>
      <c r="E52" s="247">
        <f t="shared" si="10"/>
        <v>139.38214411276135</v>
      </c>
      <c r="F52" s="247">
        <f t="shared" si="9"/>
        <v>0.77341327101977186</v>
      </c>
    </row>
    <row r="53" spans="1:40" ht="15.6">
      <c r="D53" s="241" t="s">
        <v>192</v>
      </c>
      <c r="E53" s="247">
        <f t="shared" si="10"/>
        <v>142.67400633951473</v>
      </c>
      <c r="F53" s="247">
        <f t="shared" si="9"/>
        <v>0.75556860542258364</v>
      </c>
    </row>
    <row r="54" spans="1:40" ht="15.6">
      <c r="D54" s="241" t="s">
        <v>465</v>
      </c>
      <c r="E54" s="247">
        <f t="shared" si="10"/>
        <v>145.55639893142126</v>
      </c>
      <c r="F54" s="247">
        <f t="shared" si="9"/>
        <v>0.74060639581218168</v>
      </c>
    </row>
    <row r="55" spans="1:40" ht="15.6">
      <c r="D55" s="241" t="s">
        <v>466</v>
      </c>
      <c r="E55" s="247">
        <f t="shared" si="10"/>
        <v>148.51967991362835</v>
      </c>
      <c r="F55" s="247">
        <f t="shared" si="9"/>
        <v>0.72582973557909036</v>
      </c>
    </row>
    <row r="56" spans="1:40" ht="15.6">
      <c r="D56" s="241" t="s">
        <v>467</v>
      </c>
      <c r="E56" s="247">
        <f t="shared" si="10"/>
        <v>150.77845229713395</v>
      </c>
      <c r="F56" s="247">
        <f t="shared" si="9"/>
        <v>0.71495627098998349</v>
      </c>
    </row>
    <row r="57" spans="1:40" ht="15.6">
      <c r="D57" s="241" t="s">
        <v>468</v>
      </c>
      <c r="E57" s="247">
        <f t="shared" si="10"/>
        <v>150.77845229713395</v>
      </c>
      <c r="F57" s="247">
        <f t="shared" si="9"/>
        <v>0.71495627098998349</v>
      </c>
    </row>
    <row r="58" spans="1:40" ht="15.6">
      <c r="D58" s="241" t="s">
        <v>469</v>
      </c>
      <c r="E58" s="247">
        <f t="shared" si="10"/>
        <v>150.77845229713395</v>
      </c>
      <c r="F58" s="247">
        <f t="shared" si="9"/>
        <v>0.71495627098998349</v>
      </c>
    </row>
    <row r="59" spans="1:40" ht="15.6">
      <c r="D59" s="241" t="s">
        <v>470</v>
      </c>
      <c r="E59" s="247">
        <f t="shared" si="10"/>
        <v>150.77845229713395</v>
      </c>
      <c r="F59" s="247">
        <f t="shared" si="9"/>
        <v>0.71495627098998349</v>
      </c>
    </row>
    <row r="60" spans="1:40" ht="15.6">
      <c r="D60" s="241" t="s">
        <v>471</v>
      </c>
      <c r="E60" s="247">
        <f t="shared" si="10"/>
        <v>150.77845229713395</v>
      </c>
      <c r="F60" s="247">
        <f t="shared" si="9"/>
        <v>0.71495627098998349</v>
      </c>
    </row>
    <row r="61" spans="1:40" ht="15.6">
      <c r="D61" s="241" t="s">
        <v>472</v>
      </c>
      <c r="E61" s="247">
        <f t="shared" si="10"/>
        <v>150.77845229713395</v>
      </c>
      <c r="F61" s="247">
        <f t="shared" si="9"/>
        <v>0.71495627098998349</v>
      </c>
    </row>
    <row r="63" spans="1:40" s="10" customFormat="1" ht="15.6">
      <c r="A63" s="49"/>
      <c r="B63" s="50"/>
      <c r="C63" s="50"/>
      <c r="D63" s="46" t="s">
        <v>23</v>
      </c>
      <c r="E63" s="50"/>
      <c r="F63" s="46"/>
      <c r="G63" s="45"/>
      <c r="H63" s="45"/>
      <c r="I63" s="51"/>
      <c r="J63" s="51"/>
      <c r="K63" s="51"/>
      <c r="L63" s="51"/>
      <c r="M63" s="51"/>
      <c r="N63" s="51"/>
      <c r="O63" s="51"/>
      <c r="P63" s="51"/>
      <c r="Q63" s="51"/>
      <c r="R63" s="51"/>
      <c r="S63" s="51"/>
      <c r="T63" s="51"/>
      <c r="U63" s="51"/>
      <c r="V63" s="51"/>
      <c r="W63" s="51"/>
      <c r="X63" s="50"/>
      <c r="Y63" s="50"/>
      <c r="Z63" s="50"/>
      <c r="AA63" s="50"/>
      <c r="AB63" s="50"/>
      <c r="AC63" s="50"/>
      <c r="AD63" s="50"/>
      <c r="AE63" s="50"/>
      <c r="AF63" s="50"/>
      <c r="AG63" s="50"/>
      <c r="AH63" s="50"/>
      <c r="AI63"/>
      <c r="AJ63"/>
      <c r="AK63"/>
      <c r="AL63"/>
      <c r="AM63"/>
      <c r="AN63"/>
    </row>
  </sheetData>
  <sheetProtection sheet="1" objects="1" scenarios="1"/>
  <phoneticPr fontId="15" type="noConversion"/>
  <pageMargins left="0.7" right="0.7" top="0.75" bottom="0.75" header="0.3" footer="0.3"/>
  <headerFooter>
    <oddHeader>&amp;C&amp;"Calibri"&amp;10&amp;K000000 OFFICIAL&amp;1#_x000D_</oddHeader>
    <oddFooter>&amp;C_x000D_&amp;1#&amp;"Calibri"&amp;10&amp;K000000 OFFICIAL</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B4439-280C-4ED3-886A-B3AB4F436F54}">
  <sheetPr codeName="Sheet19">
    <tabColor theme="8" tint="0.59999389629810485"/>
  </sheetPr>
  <dimension ref="A1:AM56"/>
  <sheetViews>
    <sheetView showGridLines="0" workbookViewId="0"/>
  </sheetViews>
  <sheetFormatPr defaultRowHeight="14.45"/>
  <cols>
    <col min="1" max="1" width="6.85546875" style="4" customWidth="1"/>
    <col min="2" max="2" width="1.5703125" style="1" customWidth="1"/>
    <col min="3" max="3" width="1.28515625" style="1" customWidth="1"/>
    <col min="4" max="4" width="42.7109375" style="2" customWidth="1"/>
    <col min="5" max="5" width="46.85546875" style="3" customWidth="1"/>
    <col min="6" max="7" width="20.5703125" customWidth="1"/>
    <col min="8" max="8" width="26.140625" bestFit="1" customWidth="1"/>
    <col min="9" max="9" width="19.85546875" customWidth="1"/>
    <col min="10" max="39" width="9" customWidth="1"/>
  </cols>
  <sheetData>
    <row r="1" spans="1:39" s="10" customFormat="1" ht="26.1">
      <c r="A1" s="47" t="s">
        <v>473</v>
      </c>
      <c r="B1" s="35"/>
      <c r="C1" s="35"/>
      <c r="D1" s="36"/>
      <c r="E1" s="38"/>
      <c r="F1" s="39"/>
      <c r="T1" s="7"/>
    </row>
    <row r="2" spans="1:39" s="10" customFormat="1" ht="18.95" customHeight="1">
      <c r="A2" s="48" t="s">
        <v>474</v>
      </c>
      <c r="B2" s="35"/>
      <c r="C2" s="35"/>
      <c r="D2" s="36"/>
      <c r="E2" s="38"/>
      <c r="F2" s="39"/>
      <c r="T2" s="7"/>
    </row>
    <row r="3" spans="1:39" s="10" customFormat="1" ht="18.95" customHeight="1">
      <c r="A3" s="6"/>
      <c r="B3" s="7"/>
      <c r="C3" s="7"/>
      <c r="D3" s="8"/>
      <c r="E3" s="9"/>
      <c r="T3" s="7"/>
    </row>
    <row r="4" spans="1:39">
      <c r="A4" s="52"/>
      <c r="B4" s="52"/>
      <c r="C4" s="52"/>
      <c r="D4" s="53" t="s">
        <v>475</v>
      </c>
      <c r="E4" s="54"/>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row>
    <row r="5" spans="1:39" s="10" customFormat="1" ht="18.95" customHeight="1">
      <c r="A5" s="6"/>
      <c r="B5" s="7"/>
      <c r="C5" s="7"/>
      <c r="D5" s="8"/>
      <c r="E5" s="9"/>
      <c r="T5" s="7"/>
    </row>
    <row r="6" spans="1:39" s="10" customFormat="1" ht="18.95" customHeight="1">
      <c r="A6" s="6"/>
      <c r="B6" s="7"/>
      <c r="C6" s="7"/>
      <c r="D6" s="76" t="s">
        <v>475</v>
      </c>
      <c r="E6" s="205" t="str">
        <f>'Discount Factor - Calculations'!E21</f>
        <v/>
      </c>
      <c r="T6" s="7"/>
    </row>
    <row r="7" spans="1:39" s="10" customFormat="1" ht="18.95" customHeight="1">
      <c r="A7" s="6"/>
      <c r="B7" s="7"/>
      <c r="C7" s="7"/>
      <c r="D7" s="8"/>
      <c r="E7" s="9"/>
      <c r="T7" s="7"/>
    </row>
    <row r="8" spans="1:39">
      <c r="A8" s="52"/>
      <c r="B8" s="52"/>
      <c r="C8" s="52"/>
      <c r="D8" s="53" t="s">
        <v>476</v>
      </c>
      <c r="E8" s="54"/>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row>
    <row r="10" spans="1:39" ht="14.45" customHeight="1">
      <c r="D10" s="352" t="s">
        <v>294</v>
      </c>
      <c r="E10" s="353" t="s">
        <v>295</v>
      </c>
      <c r="F10" s="353"/>
      <c r="G10" s="353" t="s">
        <v>296</v>
      </c>
      <c r="H10" s="353"/>
      <c r="I10" s="353"/>
      <c r="J10" s="354" t="s">
        <v>297</v>
      </c>
      <c r="K10" s="355"/>
      <c r="L10" s="355"/>
      <c r="M10" s="355"/>
      <c r="N10" s="355"/>
      <c r="O10" s="355"/>
      <c r="P10" s="355"/>
      <c r="Q10" s="355"/>
      <c r="R10" s="355"/>
      <c r="S10" s="355"/>
      <c r="T10" s="355"/>
      <c r="U10" s="355"/>
      <c r="V10" s="355"/>
      <c r="W10" s="355"/>
      <c r="X10" s="355"/>
      <c r="Y10" s="355"/>
      <c r="Z10" s="355"/>
      <c r="AA10" s="355"/>
      <c r="AB10" s="355"/>
      <c r="AC10" s="355"/>
      <c r="AD10" s="355"/>
      <c r="AE10" s="355"/>
      <c r="AF10" s="355"/>
      <c r="AG10" s="355"/>
      <c r="AH10" s="355"/>
      <c r="AI10" s="355"/>
      <c r="AJ10" s="355"/>
      <c r="AK10" s="355"/>
      <c r="AL10" s="355"/>
      <c r="AM10" s="355"/>
    </row>
    <row r="11" spans="1:39" ht="15.6">
      <c r="D11" s="352"/>
      <c r="E11" s="353"/>
      <c r="F11" s="353"/>
      <c r="G11" s="353"/>
      <c r="H11" s="353"/>
      <c r="I11" s="353"/>
      <c r="J11" s="356" t="s">
        <v>298</v>
      </c>
      <c r="K11" s="357"/>
      <c r="L11" s="357"/>
      <c r="M11" s="357"/>
      <c r="N11" s="357"/>
      <c r="O11" s="357"/>
      <c r="P11" s="357"/>
      <c r="Q11" s="357"/>
      <c r="R11" s="357"/>
      <c r="S11" s="358"/>
      <c r="T11" s="356" t="s">
        <v>299</v>
      </c>
      <c r="U11" s="357"/>
      <c r="V11" s="357"/>
      <c r="W11" s="357"/>
      <c r="X11" s="357"/>
      <c r="Y11" s="357"/>
      <c r="Z11" s="357"/>
      <c r="AA11" s="357"/>
      <c r="AB11" s="357"/>
      <c r="AC11" s="358"/>
      <c r="AD11" s="356" t="s">
        <v>300</v>
      </c>
      <c r="AE11" s="357"/>
      <c r="AF11" s="357"/>
      <c r="AG11" s="357"/>
      <c r="AH11" s="357"/>
      <c r="AI11" s="357"/>
      <c r="AJ11" s="357"/>
      <c r="AK11" s="357"/>
      <c r="AL11" s="357"/>
      <c r="AM11" s="358"/>
    </row>
    <row r="12" spans="1:39" ht="15.6">
      <c r="D12" s="352"/>
      <c r="E12" s="254" t="s">
        <v>295</v>
      </c>
      <c r="F12" s="254" t="s">
        <v>301</v>
      </c>
      <c r="G12" s="254" t="s">
        <v>298</v>
      </c>
      <c r="H12" s="255" t="s">
        <v>299</v>
      </c>
      <c r="I12" s="256" t="s">
        <v>302</v>
      </c>
      <c r="J12" s="257">
        <v>1</v>
      </c>
      <c r="K12" s="258">
        <v>2</v>
      </c>
      <c r="L12" s="258">
        <v>3</v>
      </c>
      <c r="M12" s="258">
        <v>4</v>
      </c>
      <c r="N12" s="258">
        <v>5</v>
      </c>
      <c r="O12" s="258">
        <v>6</v>
      </c>
      <c r="P12" s="258">
        <v>7</v>
      </c>
      <c r="Q12" s="258">
        <v>8</v>
      </c>
      <c r="R12" s="258">
        <v>9</v>
      </c>
      <c r="S12" s="259">
        <v>10</v>
      </c>
      <c r="T12" s="257">
        <v>1</v>
      </c>
      <c r="U12" s="258">
        <v>2</v>
      </c>
      <c r="V12" s="258">
        <v>3</v>
      </c>
      <c r="W12" s="258">
        <v>4</v>
      </c>
      <c r="X12" s="258">
        <v>5</v>
      </c>
      <c r="Y12" s="258">
        <v>6</v>
      </c>
      <c r="Z12" s="258">
        <v>7</v>
      </c>
      <c r="AA12" s="258">
        <v>8</v>
      </c>
      <c r="AB12" s="258">
        <v>9</v>
      </c>
      <c r="AC12" s="258">
        <v>10</v>
      </c>
      <c r="AD12" s="257">
        <v>1</v>
      </c>
      <c r="AE12" s="258">
        <v>2</v>
      </c>
      <c r="AF12" s="258">
        <v>3</v>
      </c>
      <c r="AG12" s="258">
        <v>4</v>
      </c>
      <c r="AH12" s="258">
        <v>5</v>
      </c>
      <c r="AI12" s="258">
        <v>6</v>
      </c>
      <c r="AJ12" s="258">
        <v>7</v>
      </c>
      <c r="AK12" s="258">
        <v>8</v>
      </c>
      <c r="AL12" s="258">
        <v>9</v>
      </c>
      <c r="AM12" s="259">
        <v>10</v>
      </c>
    </row>
    <row r="13" spans="1:39" ht="15.6">
      <c r="D13" s="260">
        <v>0</v>
      </c>
      <c r="E13" s="261" t="str">
        <f>IF($E$6='Lookup Tables Options'!$D$4,'Lookup Tables Options'!E9,IF($E$6='Lookup Tables Options'!$D$52,'Lookup Tables Options'!E57,IF($E$6='Lookup Tables Options'!$D$100,'Lookup Tables Options'!E105,IF($E$6='Lookup Tables Options'!$D$148,'Lookup Tables Options'!E153,IF($E$6='Lookup Tables Options'!$D$196,'Lookup Tables Options'!E201,"")))))</f>
        <v/>
      </c>
      <c r="F13" s="261" t="str">
        <f>IF($E$6='Lookup Tables Options'!$D$4,'Lookup Tables Options'!F9,IF($E$6='Lookup Tables Options'!$D$52,'Lookup Tables Options'!F57,IF($E$6='Lookup Tables Options'!$D$100,'Lookup Tables Options'!F105,IF($E$6='Lookup Tables Options'!$D$148,'Lookup Tables Options'!F153,IF($E$6='Lookup Tables Options'!$D$196,'Lookup Tables Options'!F201,"")))))</f>
        <v/>
      </c>
      <c r="G13" s="261" t="str">
        <f>IF($E$6='Lookup Tables Options'!$D$4,'Lookup Tables Options'!G9,IF($E$6='Lookup Tables Options'!$D$52,'Lookup Tables Options'!G57,IF($E$6='Lookup Tables Options'!$D$100,'Lookup Tables Options'!G105,IF($E$6='Lookup Tables Options'!$D$148,'Lookup Tables Options'!G153,IF($E$6='Lookup Tables Options'!$D$196,'Lookup Tables Options'!G201,"")))))</f>
        <v/>
      </c>
      <c r="H13" s="263" t="str">
        <f>IF($E$6='Lookup Tables Options'!$D$4,'Lookup Tables Options'!H9,IF($E$6='Lookup Tables Options'!$D$52,'Lookup Tables Options'!H57,IF($E$6='Lookup Tables Options'!$D$100,'Lookup Tables Options'!H105,IF($E$6='Lookup Tables Options'!$D$148,'Lookup Tables Options'!H153,IF($E$6='Lookup Tables Options'!$D$196,'Lookup Tables Options'!H201,"")))))</f>
        <v/>
      </c>
      <c r="I13" s="263" t="str">
        <f>IF($E$6='Lookup Tables Options'!$D$4,'Lookup Tables Options'!I9,IF($E$6='Lookup Tables Options'!$D$52,'Lookup Tables Options'!I57,IF($E$6='Lookup Tables Options'!$D$100,'Lookup Tables Options'!I105,IF($E$6='Lookup Tables Options'!$D$148,'Lookup Tables Options'!I153,IF($E$6='Lookup Tables Options'!$D$196,'Lookup Tables Options'!I201,"")))))</f>
        <v/>
      </c>
      <c r="J13" s="264" t="str">
        <f>IF($E$6='Lookup Tables Options'!$D$4,'Lookup Tables Options'!J9,IF($E$6='Lookup Tables Options'!$D$52,'Lookup Tables Options'!J57,IF($E$6='Lookup Tables Options'!$D$100,'Lookup Tables Options'!J105,IF($E$6='Lookup Tables Options'!$D$148,'Lookup Tables Options'!J153,IF($E$6='Lookup Tables Options'!$D$196,'Lookup Tables Options'!J201,"")))))</f>
        <v/>
      </c>
      <c r="K13" s="265" t="str">
        <f>IF($E$6='Lookup Tables Options'!$D$4,'Lookup Tables Options'!K9,IF($E$6='Lookup Tables Options'!$D$52,'Lookup Tables Options'!K57,IF($E$6='Lookup Tables Options'!$D$100,'Lookup Tables Options'!K105,IF($E$6='Lookup Tables Options'!$D$148,'Lookup Tables Options'!K153,IF($E$6='Lookup Tables Options'!$D$196,'Lookup Tables Options'!K201,"")))))</f>
        <v/>
      </c>
      <c r="L13" s="265" t="str">
        <f>IF($E$6='Lookup Tables Options'!$D$4,'Lookup Tables Options'!L9,IF($E$6='Lookup Tables Options'!$D$52,'Lookup Tables Options'!L57,IF($E$6='Lookup Tables Options'!$D$100,'Lookup Tables Options'!L105,IF($E$6='Lookup Tables Options'!$D$148,'Lookup Tables Options'!L153,IF($E$6='Lookup Tables Options'!$D$196,'Lookup Tables Options'!L201,"")))))</f>
        <v/>
      </c>
      <c r="M13" s="265" t="str">
        <f>IF($E$6='Lookup Tables Options'!$D$4,'Lookup Tables Options'!M9,IF($E$6='Lookup Tables Options'!$D$52,'Lookup Tables Options'!M57,IF($E$6='Lookup Tables Options'!$D$100,'Lookup Tables Options'!M105,IF($E$6='Lookup Tables Options'!$D$148,'Lookup Tables Options'!M153,IF($E$6='Lookup Tables Options'!$D$196,'Lookup Tables Options'!M201,"")))))</f>
        <v/>
      </c>
      <c r="N13" s="265" t="str">
        <f>IF($E$6='Lookup Tables Options'!$D$4,'Lookup Tables Options'!N9,IF($E$6='Lookup Tables Options'!$D$52,'Lookup Tables Options'!N57,IF($E$6='Lookup Tables Options'!$D$100,'Lookup Tables Options'!N105,IF($E$6='Lookup Tables Options'!$D$148,'Lookup Tables Options'!N153,IF($E$6='Lookup Tables Options'!$D$196,'Lookup Tables Options'!N201,"")))))</f>
        <v/>
      </c>
      <c r="O13" s="265" t="str">
        <f>IF($E$6='Lookup Tables Options'!$D$4,'Lookup Tables Options'!O9,IF($E$6='Lookup Tables Options'!$D$52,'Lookup Tables Options'!O57,IF($E$6='Lookup Tables Options'!$D$100,'Lookup Tables Options'!O105,IF($E$6='Lookup Tables Options'!$D$148,'Lookup Tables Options'!O153,IF($E$6='Lookup Tables Options'!$D$196,'Lookup Tables Options'!O201,"")))))</f>
        <v/>
      </c>
      <c r="P13" s="265" t="str">
        <f>IF($E$6='Lookup Tables Options'!$D$4,'Lookup Tables Options'!P9,IF($E$6='Lookup Tables Options'!$D$52,'Lookup Tables Options'!P57,IF($E$6='Lookup Tables Options'!$D$100,'Lookup Tables Options'!P105,IF($E$6='Lookup Tables Options'!$D$148,'Lookup Tables Options'!P153,IF($E$6='Lookup Tables Options'!$D$196,'Lookup Tables Options'!P201,"")))))</f>
        <v/>
      </c>
      <c r="Q13" s="265" t="str">
        <f>IF($E$6='Lookup Tables Options'!$D$4,'Lookup Tables Options'!Q9,IF($E$6='Lookup Tables Options'!$D$52,'Lookup Tables Options'!Q57,IF($E$6='Lookup Tables Options'!$D$100,'Lookup Tables Options'!Q105,IF($E$6='Lookup Tables Options'!$D$148,'Lookup Tables Options'!Q153,IF($E$6='Lookup Tables Options'!$D$196,'Lookup Tables Options'!Q201,"")))))</f>
        <v/>
      </c>
      <c r="R13" s="265" t="str">
        <f>IF($E$6='Lookup Tables Options'!$D$4,'Lookup Tables Options'!R9,IF($E$6='Lookup Tables Options'!$D$52,'Lookup Tables Options'!R57,IF($E$6='Lookup Tables Options'!$D$100,'Lookup Tables Options'!R105,IF($E$6='Lookup Tables Options'!$D$148,'Lookup Tables Options'!R153,IF($E$6='Lookup Tables Options'!$D$196,'Lookup Tables Options'!R201,"")))))</f>
        <v/>
      </c>
      <c r="S13" s="266" t="str">
        <f>IF($E$6='Lookup Tables Options'!$D$4,'Lookup Tables Options'!S9,IF($E$6='Lookup Tables Options'!$D$52,'Lookup Tables Options'!S57,IF($E$6='Lookup Tables Options'!$D$100,'Lookup Tables Options'!S105,IF($E$6='Lookup Tables Options'!$D$148,'Lookup Tables Options'!S153,IF($E$6='Lookup Tables Options'!$D$196,'Lookup Tables Options'!S201,"")))))</f>
        <v/>
      </c>
      <c r="T13" s="264" t="str">
        <f>IF($E$6='Lookup Tables Options'!$D$4,'Lookup Tables Options'!T9,IF($E$6='Lookup Tables Options'!$D$52,'Lookup Tables Options'!T57,IF($E$6='Lookup Tables Options'!$D$100,'Lookup Tables Options'!T105,IF($E$6='Lookup Tables Options'!$D$148,'Lookup Tables Options'!T153,IF($E$6='Lookup Tables Options'!$D$196,'Lookup Tables Options'!T201,"")))))</f>
        <v/>
      </c>
      <c r="U13" s="265" t="str">
        <f>IF($E$6='Lookup Tables Options'!$D$4,'Lookup Tables Options'!U9,IF($E$6='Lookup Tables Options'!$D$52,'Lookup Tables Options'!U57,IF($E$6='Lookup Tables Options'!$D$100,'Lookup Tables Options'!U105,IF($E$6='Lookup Tables Options'!$D$148,'Lookup Tables Options'!U153,IF($E$6='Lookup Tables Options'!$D$196,'Lookup Tables Options'!U201,"")))))</f>
        <v/>
      </c>
      <c r="V13" s="265" t="str">
        <f>IF($E$6='Lookup Tables Options'!$D$4,'Lookup Tables Options'!V9,IF($E$6='Lookup Tables Options'!$D$52,'Lookup Tables Options'!V57,IF($E$6='Lookup Tables Options'!$D$100,'Lookup Tables Options'!V105,IF($E$6='Lookup Tables Options'!$D$148,'Lookup Tables Options'!V153,IF($E$6='Lookup Tables Options'!$D$196,'Lookup Tables Options'!V201,"")))))</f>
        <v/>
      </c>
      <c r="W13" s="265" t="str">
        <f>IF($E$6='Lookup Tables Options'!$D$4,'Lookup Tables Options'!W9,IF($E$6='Lookup Tables Options'!$D$52,'Lookup Tables Options'!W57,IF($E$6='Lookup Tables Options'!$D$100,'Lookup Tables Options'!W105,IF($E$6='Lookup Tables Options'!$D$148,'Lookup Tables Options'!W153,IF($E$6='Lookup Tables Options'!$D$196,'Lookup Tables Options'!W201,"")))))</f>
        <v/>
      </c>
      <c r="X13" s="265" t="str">
        <f>IF($E$6='Lookup Tables Options'!$D$4,'Lookup Tables Options'!X9,IF($E$6='Lookup Tables Options'!$D$52,'Lookup Tables Options'!X57,IF($E$6='Lookup Tables Options'!$D$100,'Lookup Tables Options'!X105,IF($E$6='Lookup Tables Options'!$D$148,'Lookup Tables Options'!X153,IF($E$6='Lookup Tables Options'!$D$196,'Lookup Tables Options'!X201,"")))))</f>
        <v/>
      </c>
      <c r="Y13" s="265" t="str">
        <f>IF($E$6='Lookup Tables Options'!$D$4,'Lookup Tables Options'!Y9,IF($E$6='Lookup Tables Options'!$D$52,'Lookup Tables Options'!Y57,IF($E$6='Lookup Tables Options'!$D$100,'Lookup Tables Options'!Y105,IF($E$6='Lookup Tables Options'!$D$148,'Lookup Tables Options'!Y153,IF($E$6='Lookup Tables Options'!$D$196,'Lookup Tables Options'!Y201,"")))))</f>
        <v/>
      </c>
      <c r="Z13" s="265" t="str">
        <f>IF($E$6='Lookup Tables Options'!$D$4,'Lookup Tables Options'!Z9,IF($E$6='Lookup Tables Options'!$D$52,'Lookup Tables Options'!Z57,IF($E$6='Lookup Tables Options'!$D$100,'Lookup Tables Options'!Z105,IF($E$6='Lookup Tables Options'!$D$148,'Lookup Tables Options'!Z153,IF($E$6='Lookup Tables Options'!$D$196,'Lookup Tables Options'!Z201,"")))))</f>
        <v/>
      </c>
      <c r="AA13" s="265" t="str">
        <f>IF($E$6='Lookup Tables Options'!$D$4,'Lookup Tables Options'!AA9,IF($E$6='Lookup Tables Options'!$D$52,'Lookup Tables Options'!AA57,IF($E$6='Lookup Tables Options'!$D$100,'Lookup Tables Options'!AA105,IF($E$6='Lookup Tables Options'!$D$148,'Lookup Tables Options'!AA153,IF($E$6='Lookup Tables Options'!$D$196,'Lookup Tables Options'!AA201,"")))))</f>
        <v/>
      </c>
      <c r="AB13" s="265" t="str">
        <f>IF($E$6='Lookup Tables Options'!$D$4,'Lookup Tables Options'!AB9,IF($E$6='Lookup Tables Options'!$D$52,'Lookup Tables Options'!AB57,IF($E$6='Lookup Tables Options'!$D$100,'Lookup Tables Options'!AB105,IF($E$6='Lookup Tables Options'!$D$148,'Lookup Tables Options'!AB153,IF($E$6='Lookup Tables Options'!$D$196,'Lookup Tables Options'!AB201,"")))))</f>
        <v/>
      </c>
      <c r="AC13" s="265" t="str">
        <f>IF($E$6='Lookup Tables Options'!$D$4,'Lookup Tables Options'!AC9,IF($E$6='Lookup Tables Options'!$D$52,'Lookup Tables Options'!AC57,IF($E$6='Lookup Tables Options'!$D$100,'Lookup Tables Options'!AC105,IF($E$6='Lookup Tables Options'!$D$148,'Lookup Tables Options'!AC153,IF($E$6='Lookup Tables Options'!$D$196,'Lookup Tables Options'!AC201,"")))))</f>
        <v/>
      </c>
      <c r="AD13" s="264" t="str">
        <f>IF($E$6='Lookup Tables Options'!$D$4,'Lookup Tables Options'!AD9,IF($E$6='Lookup Tables Options'!$D$52,'Lookup Tables Options'!AD57,IF($E$6='Lookup Tables Options'!$D$100,'Lookup Tables Options'!AD105,IF($E$6='Lookup Tables Options'!$D$148,'Lookup Tables Options'!AD153,IF($E$6='Lookup Tables Options'!$D$196,'Lookup Tables Options'!AD201,"")))))</f>
        <v/>
      </c>
      <c r="AE13" s="265" t="str">
        <f>IF($E$6='Lookup Tables Options'!$D$4,'Lookup Tables Options'!AE9,IF($E$6='Lookup Tables Options'!$D$52,'Lookup Tables Options'!AE57,IF($E$6='Lookup Tables Options'!$D$100,'Lookup Tables Options'!AE105,IF($E$6='Lookup Tables Options'!$D$148,'Lookup Tables Options'!AE153,IF($E$6='Lookup Tables Options'!$D$196,'Lookup Tables Options'!AE201,"")))))</f>
        <v/>
      </c>
      <c r="AF13" s="265" t="str">
        <f>IF($E$6='Lookup Tables Options'!$D$4,'Lookup Tables Options'!AF9,IF($E$6='Lookup Tables Options'!$D$52,'Lookup Tables Options'!AF57,IF($E$6='Lookup Tables Options'!$D$100,'Lookup Tables Options'!AF105,IF($E$6='Lookup Tables Options'!$D$148,'Lookup Tables Options'!AF153,IF($E$6='Lookup Tables Options'!$D$196,'Lookup Tables Options'!AF201,"")))))</f>
        <v/>
      </c>
      <c r="AG13" s="265" t="str">
        <f>IF($E$6='Lookup Tables Options'!$D$4,'Lookup Tables Options'!AG9,IF($E$6='Lookup Tables Options'!$D$52,'Lookup Tables Options'!AG57,IF($E$6='Lookup Tables Options'!$D$100,'Lookup Tables Options'!AG105,IF($E$6='Lookup Tables Options'!$D$148,'Lookup Tables Options'!AG153,IF($E$6='Lookup Tables Options'!$D$196,'Lookup Tables Options'!AG201,"")))))</f>
        <v/>
      </c>
      <c r="AH13" s="265" t="str">
        <f>IF($E$6='Lookup Tables Options'!$D$4,'Lookup Tables Options'!AH9,IF($E$6='Lookup Tables Options'!$D$52,'Lookup Tables Options'!AH57,IF($E$6='Lookup Tables Options'!$D$100,'Lookup Tables Options'!AH105,IF($E$6='Lookup Tables Options'!$D$148,'Lookup Tables Options'!AH153,IF($E$6='Lookup Tables Options'!$D$196,'Lookup Tables Options'!AH201,"")))))</f>
        <v/>
      </c>
      <c r="AI13" s="265" t="str">
        <f>IF($E$6='Lookup Tables Options'!$D$4,'Lookup Tables Options'!AI9,IF($E$6='Lookup Tables Options'!$D$52,'Lookup Tables Options'!AI57,IF($E$6='Lookup Tables Options'!$D$100,'Lookup Tables Options'!AI105,IF($E$6='Lookup Tables Options'!$D$148,'Lookup Tables Options'!AI153,IF($E$6='Lookup Tables Options'!$D$196,'Lookup Tables Options'!AI201,"")))))</f>
        <v/>
      </c>
      <c r="AJ13" s="265" t="str">
        <f>IF($E$6='Lookup Tables Options'!$D$4,'Lookup Tables Options'!AJ9,IF($E$6='Lookup Tables Options'!$D$52,'Lookup Tables Options'!AJ57,IF($E$6='Lookup Tables Options'!$D$100,'Lookup Tables Options'!AJ105,IF($E$6='Lookup Tables Options'!$D$148,'Lookup Tables Options'!AJ153,IF($E$6='Lookup Tables Options'!$D$196,'Lookup Tables Options'!AJ201,"")))))</f>
        <v/>
      </c>
      <c r="AK13" s="265" t="str">
        <f>IF($E$6='Lookup Tables Options'!$D$4,'Lookup Tables Options'!AK9,IF($E$6='Lookup Tables Options'!$D$52,'Lookup Tables Options'!AK57,IF($E$6='Lookup Tables Options'!$D$100,'Lookup Tables Options'!AK105,IF($E$6='Lookup Tables Options'!$D$148,'Lookup Tables Options'!AK153,IF($E$6='Lookup Tables Options'!$D$196,'Lookup Tables Options'!AK201,"")))))</f>
        <v/>
      </c>
      <c r="AL13" s="265" t="str">
        <f>IF($E$6='Lookup Tables Options'!$D$4,'Lookup Tables Options'!AL9,IF($E$6='Lookup Tables Options'!$D$52,'Lookup Tables Options'!AL57,IF($E$6='Lookup Tables Options'!$D$100,'Lookup Tables Options'!AL105,IF($E$6='Lookup Tables Options'!$D$148,'Lookup Tables Options'!AL153,IF($E$6='Lookup Tables Options'!$D$196,'Lookup Tables Options'!AL201,"")))))</f>
        <v/>
      </c>
      <c r="AM13" s="266" t="str">
        <f>IF($E$6='Lookup Tables Options'!$D$4,'Lookup Tables Options'!AM9,IF($E$6='Lookup Tables Options'!$D$52,'Lookup Tables Options'!AM57,IF($E$6='Lookup Tables Options'!$D$100,'Lookup Tables Options'!AM105,IF($E$6='Lookup Tables Options'!$D$148,'Lookup Tables Options'!AM153,IF($E$6='Lookup Tables Options'!$D$196,'Lookup Tables Options'!AM201,"")))))</f>
        <v/>
      </c>
    </row>
    <row r="14" spans="1:39" ht="15.6">
      <c r="D14" s="267">
        <v>1</v>
      </c>
      <c r="E14" s="268" t="str">
        <f>IF($E$6='Lookup Tables Options'!$D$4,'Lookup Tables Options'!E10,IF($E$6='Lookup Tables Options'!$D$52,'Lookup Tables Options'!E58,IF($E$6='Lookup Tables Options'!$D$100,'Lookup Tables Options'!E106,IF($E$6='Lookup Tables Options'!$D$148,'Lookup Tables Options'!E154,IF($E$6='Lookup Tables Options'!$D$196,'Lookup Tables Options'!E202,"")))))</f>
        <v/>
      </c>
      <c r="F14" s="269" t="str">
        <f>IF($E$6='Lookup Tables Options'!$D$4,'Lookup Tables Options'!F10,IF($E$6='Lookup Tables Options'!$D$52,'Lookup Tables Options'!F58,IF($E$6='Lookup Tables Options'!$D$100,'Lookup Tables Options'!F106,IF($E$6='Lookup Tables Options'!$D$148,'Lookup Tables Options'!F154,IF($E$6='Lookup Tables Options'!$D$196,'Lookup Tables Options'!F202,"")))))</f>
        <v/>
      </c>
      <c r="G14" s="268" t="str">
        <f>IF($E$6='Lookup Tables Options'!$D$4,'Lookup Tables Options'!G10,IF($E$6='Lookup Tables Options'!$D$52,'Lookup Tables Options'!G58,IF($E$6='Lookup Tables Options'!$D$100,'Lookup Tables Options'!G106,IF($E$6='Lookup Tables Options'!$D$148,'Lookup Tables Options'!G154,IF($E$6='Lookup Tables Options'!$D$196,'Lookup Tables Options'!G202,"")))))</f>
        <v/>
      </c>
      <c r="H14" s="270" t="str">
        <f>IF($E$6='Lookup Tables Options'!$D$4,'Lookup Tables Options'!H10,IF($E$6='Lookup Tables Options'!$D$52,'Lookup Tables Options'!H58,IF($E$6='Lookup Tables Options'!$D$100,'Lookup Tables Options'!H106,IF($E$6='Lookup Tables Options'!$D$148,'Lookup Tables Options'!H154,IF($E$6='Lookup Tables Options'!$D$196,'Lookup Tables Options'!H202,"")))))</f>
        <v/>
      </c>
      <c r="I14" s="270" t="str">
        <f>IF($E$6='Lookup Tables Options'!$D$4,'Lookup Tables Options'!I10,IF($E$6='Lookup Tables Options'!$D$52,'Lookup Tables Options'!I58,IF($E$6='Lookup Tables Options'!$D$100,'Lookup Tables Options'!I106,IF($E$6='Lookup Tables Options'!$D$148,'Lookup Tables Options'!I154,IF($E$6='Lookup Tables Options'!$D$196,'Lookup Tables Options'!I202,"")))))</f>
        <v/>
      </c>
      <c r="J14" s="268" t="str">
        <f>IF($E$6='Lookup Tables Options'!$D$4,'Lookup Tables Options'!J10,IF($E$6='Lookup Tables Options'!$D$52,'Lookup Tables Options'!J58,IF($E$6='Lookup Tables Options'!$D$100,'Lookup Tables Options'!J106,IF($E$6='Lookup Tables Options'!$D$148,'Lookup Tables Options'!J154,IF($E$6='Lookup Tables Options'!$D$196,'Lookup Tables Options'!J202,"")))))</f>
        <v/>
      </c>
      <c r="K14" s="270" t="str">
        <f>IF($E$6='Lookup Tables Options'!$D$4,'Lookup Tables Options'!K10,IF($E$6='Lookup Tables Options'!$D$52,'Lookup Tables Options'!K58,IF($E$6='Lookup Tables Options'!$D$100,'Lookup Tables Options'!K106,IF($E$6='Lookup Tables Options'!$D$148,'Lookup Tables Options'!K154,IF($E$6='Lookup Tables Options'!$D$196,'Lookup Tables Options'!K202,"")))))</f>
        <v/>
      </c>
      <c r="L14" s="270" t="str">
        <f>IF($E$6='Lookup Tables Options'!$D$4,'Lookup Tables Options'!L10,IF($E$6='Lookup Tables Options'!$D$52,'Lookup Tables Options'!L58,IF($E$6='Lookup Tables Options'!$D$100,'Lookup Tables Options'!L106,IF($E$6='Lookup Tables Options'!$D$148,'Lookup Tables Options'!L154,IF($E$6='Lookup Tables Options'!$D$196,'Lookup Tables Options'!L202,"")))))</f>
        <v/>
      </c>
      <c r="M14" s="270" t="str">
        <f>IF($E$6='Lookup Tables Options'!$D$4,'Lookup Tables Options'!M10,IF($E$6='Lookup Tables Options'!$D$52,'Lookup Tables Options'!M58,IF($E$6='Lookup Tables Options'!$D$100,'Lookup Tables Options'!M106,IF($E$6='Lookup Tables Options'!$D$148,'Lookup Tables Options'!M154,IF($E$6='Lookup Tables Options'!$D$196,'Lookup Tables Options'!M202,"")))))</f>
        <v/>
      </c>
      <c r="N14" s="270" t="str">
        <f>IF($E$6='Lookup Tables Options'!$D$4,'Lookup Tables Options'!N10,IF($E$6='Lookup Tables Options'!$D$52,'Lookup Tables Options'!N58,IF($E$6='Lookup Tables Options'!$D$100,'Lookup Tables Options'!N106,IF($E$6='Lookup Tables Options'!$D$148,'Lookup Tables Options'!N154,IF($E$6='Lookup Tables Options'!$D$196,'Lookup Tables Options'!N202,"")))))</f>
        <v/>
      </c>
      <c r="O14" s="270" t="str">
        <f>IF($E$6='Lookup Tables Options'!$D$4,'Lookup Tables Options'!O10,IF($E$6='Lookup Tables Options'!$D$52,'Lookup Tables Options'!O58,IF($E$6='Lookup Tables Options'!$D$100,'Lookup Tables Options'!O106,IF($E$6='Lookup Tables Options'!$D$148,'Lookup Tables Options'!O154,IF($E$6='Lookup Tables Options'!$D$196,'Lookup Tables Options'!O202,"")))))</f>
        <v/>
      </c>
      <c r="P14" s="270" t="str">
        <f>IF($E$6='Lookup Tables Options'!$D$4,'Lookup Tables Options'!P10,IF($E$6='Lookup Tables Options'!$D$52,'Lookup Tables Options'!P58,IF($E$6='Lookup Tables Options'!$D$100,'Lookup Tables Options'!P106,IF($E$6='Lookup Tables Options'!$D$148,'Lookup Tables Options'!P154,IF($E$6='Lookup Tables Options'!$D$196,'Lookup Tables Options'!P202,"")))))</f>
        <v/>
      </c>
      <c r="Q14" s="270" t="str">
        <f>IF($E$6='Lookup Tables Options'!$D$4,'Lookup Tables Options'!Q10,IF($E$6='Lookup Tables Options'!$D$52,'Lookup Tables Options'!Q58,IF($E$6='Lookup Tables Options'!$D$100,'Lookup Tables Options'!Q106,IF($E$6='Lookup Tables Options'!$D$148,'Lookup Tables Options'!Q154,IF($E$6='Lookup Tables Options'!$D$196,'Lookup Tables Options'!Q202,"")))))</f>
        <v/>
      </c>
      <c r="R14" s="270" t="str">
        <f>IF($E$6='Lookup Tables Options'!$D$4,'Lookup Tables Options'!R10,IF($E$6='Lookup Tables Options'!$D$52,'Lookup Tables Options'!R58,IF($E$6='Lookup Tables Options'!$D$100,'Lookup Tables Options'!R106,IF($E$6='Lookup Tables Options'!$D$148,'Lookup Tables Options'!R154,IF($E$6='Lookup Tables Options'!$D$196,'Lookup Tables Options'!R202,"")))))</f>
        <v/>
      </c>
      <c r="S14" s="269" t="str">
        <f>IF($E$6='Lookup Tables Options'!$D$4,'Lookup Tables Options'!S10,IF($E$6='Lookup Tables Options'!$D$52,'Lookup Tables Options'!S58,IF($E$6='Lookup Tables Options'!$D$100,'Lookup Tables Options'!S106,IF($E$6='Lookup Tables Options'!$D$148,'Lookup Tables Options'!S154,IF($E$6='Lookup Tables Options'!$D$196,'Lookup Tables Options'!S202,"")))))</f>
        <v/>
      </c>
      <c r="T14" s="268" t="str">
        <f>IF($E$6='Lookup Tables Options'!$D$4,'Lookup Tables Options'!T10,IF($E$6='Lookup Tables Options'!$D$52,'Lookup Tables Options'!T58,IF($E$6='Lookup Tables Options'!$D$100,'Lookup Tables Options'!T106,IF($E$6='Lookup Tables Options'!$D$148,'Lookup Tables Options'!T154,IF($E$6='Lookup Tables Options'!$D$196,'Lookup Tables Options'!T202,"")))))</f>
        <v/>
      </c>
      <c r="U14" s="270" t="str">
        <f>IF($E$6='Lookup Tables Options'!$D$4,'Lookup Tables Options'!U10,IF($E$6='Lookup Tables Options'!$D$52,'Lookup Tables Options'!U58,IF($E$6='Lookup Tables Options'!$D$100,'Lookup Tables Options'!U106,IF($E$6='Lookup Tables Options'!$D$148,'Lookup Tables Options'!U154,IF($E$6='Lookup Tables Options'!$D$196,'Lookup Tables Options'!U202,"")))))</f>
        <v/>
      </c>
      <c r="V14" s="270" t="str">
        <f>IF($E$6='Lookup Tables Options'!$D$4,'Lookup Tables Options'!V10,IF($E$6='Lookup Tables Options'!$D$52,'Lookup Tables Options'!V58,IF($E$6='Lookup Tables Options'!$D$100,'Lookup Tables Options'!V106,IF($E$6='Lookup Tables Options'!$D$148,'Lookup Tables Options'!V154,IF($E$6='Lookup Tables Options'!$D$196,'Lookup Tables Options'!V202,"")))))</f>
        <v/>
      </c>
      <c r="W14" s="270" t="str">
        <f>IF($E$6='Lookup Tables Options'!$D$4,'Lookup Tables Options'!W10,IF($E$6='Lookup Tables Options'!$D$52,'Lookup Tables Options'!W58,IF($E$6='Lookup Tables Options'!$D$100,'Lookup Tables Options'!W106,IF($E$6='Lookup Tables Options'!$D$148,'Lookup Tables Options'!W154,IF($E$6='Lookup Tables Options'!$D$196,'Lookup Tables Options'!W202,"")))))</f>
        <v/>
      </c>
      <c r="X14" s="270" t="str">
        <f>IF($E$6='Lookup Tables Options'!$D$4,'Lookup Tables Options'!X10,IF($E$6='Lookup Tables Options'!$D$52,'Lookup Tables Options'!X58,IF($E$6='Lookup Tables Options'!$D$100,'Lookup Tables Options'!X106,IF($E$6='Lookup Tables Options'!$D$148,'Lookup Tables Options'!X154,IF($E$6='Lookup Tables Options'!$D$196,'Lookup Tables Options'!X202,"")))))</f>
        <v/>
      </c>
      <c r="Y14" s="270" t="str">
        <f>IF($E$6='Lookup Tables Options'!$D$4,'Lookup Tables Options'!Y10,IF($E$6='Lookup Tables Options'!$D$52,'Lookup Tables Options'!Y58,IF($E$6='Lookup Tables Options'!$D$100,'Lookup Tables Options'!Y106,IF($E$6='Lookup Tables Options'!$D$148,'Lookup Tables Options'!Y154,IF($E$6='Lookup Tables Options'!$D$196,'Lookup Tables Options'!Y202,"")))))</f>
        <v/>
      </c>
      <c r="Z14" s="270" t="str">
        <f>IF($E$6='Lookup Tables Options'!$D$4,'Lookup Tables Options'!Z10,IF($E$6='Lookup Tables Options'!$D$52,'Lookup Tables Options'!Z58,IF($E$6='Lookup Tables Options'!$D$100,'Lookup Tables Options'!Z106,IF($E$6='Lookup Tables Options'!$D$148,'Lookup Tables Options'!Z154,IF($E$6='Lookup Tables Options'!$D$196,'Lookup Tables Options'!Z202,"")))))</f>
        <v/>
      </c>
      <c r="AA14" s="270" t="str">
        <f>IF($E$6='Lookup Tables Options'!$D$4,'Lookup Tables Options'!AA10,IF($E$6='Lookup Tables Options'!$D$52,'Lookup Tables Options'!AA58,IF($E$6='Lookup Tables Options'!$D$100,'Lookup Tables Options'!AA106,IF($E$6='Lookup Tables Options'!$D$148,'Lookup Tables Options'!AA154,IF($E$6='Lookup Tables Options'!$D$196,'Lookup Tables Options'!AA202,"")))))</f>
        <v/>
      </c>
      <c r="AB14" s="270" t="str">
        <f>IF($E$6='Lookup Tables Options'!$D$4,'Lookup Tables Options'!AB10,IF($E$6='Lookup Tables Options'!$D$52,'Lookup Tables Options'!AB58,IF($E$6='Lookup Tables Options'!$D$100,'Lookup Tables Options'!AB106,IF($E$6='Lookup Tables Options'!$D$148,'Lookup Tables Options'!AB154,IF($E$6='Lookup Tables Options'!$D$196,'Lookup Tables Options'!AB202,"")))))</f>
        <v/>
      </c>
      <c r="AC14" s="270" t="str">
        <f>IF($E$6='Lookup Tables Options'!$D$4,'Lookup Tables Options'!AC10,IF($E$6='Lookup Tables Options'!$D$52,'Lookup Tables Options'!AC58,IF($E$6='Lookup Tables Options'!$D$100,'Lookup Tables Options'!AC106,IF($E$6='Lookup Tables Options'!$D$148,'Lookup Tables Options'!AC154,IF($E$6='Lookup Tables Options'!$D$196,'Lookup Tables Options'!AC202,"")))))</f>
        <v/>
      </c>
      <c r="AD14" s="271" t="str">
        <f>IF($E$6='Lookup Tables Options'!$D$4,'Lookup Tables Options'!AD10,IF($E$6='Lookup Tables Options'!$D$52,'Lookup Tables Options'!AD58,IF($E$6='Lookup Tables Options'!$D$100,'Lookup Tables Options'!AD106,IF($E$6='Lookup Tables Options'!$D$148,'Lookup Tables Options'!AD154,IF($E$6='Lookup Tables Options'!$D$196,'Lookup Tables Options'!AD202,"")))))</f>
        <v/>
      </c>
      <c r="AE14" s="272" t="str">
        <f>IF($E$6='Lookup Tables Options'!$D$4,'Lookup Tables Options'!AE10,IF($E$6='Lookup Tables Options'!$D$52,'Lookup Tables Options'!AE58,IF($E$6='Lookup Tables Options'!$D$100,'Lookup Tables Options'!AE106,IF($E$6='Lookup Tables Options'!$D$148,'Lookup Tables Options'!AE154,IF($E$6='Lookup Tables Options'!$D$196,'Lookup Tables Options'!AE202,"")))))</f>
        <v/>
      </c>
      <c r="AF14" s="272" t="str">
        <f>IF($E$6='Lookup Tables Options'!$D$4,'Lookup Tables Options'!AF10,IF($E$6='Lookup Tables Options'!$D$52,'Lookup Tables Options'!AF58,IF($E$6='Lookup Tables Options'!$D$100,'Lookup Tables Options'!AF106,IF($E$6='Lookup Tables Options'!$D$148,'Lookup Tables Options'!AF154,IF($E$6='Lookup Tables Options'!$D$196,'Lookup Tables Options'!AF202,"")))))</f>
        <v/>
      </c>
      <c r="AG14" s="272" t="str">
        <f>IF($E$6='Lookup Tables Options'!$D$4,'Lookup Tables Options'!AG10,IF($E$6='Lookup Tables Options'!$D$52,'Lookup Tables Options'!AG58,IF($E$6='Lookup Tables Options'!$D$100,'Lookup Tables Options'!AG106,IF($E$6='Lookup Tables Options'!$D$148,'Lookup Tables Options'!AG154,IF($E$6='Lookup Tables Options'!$D$196,'Lookup Tables Options'!AG202,"")))))</f>
        <v/>
      </c>
      <c r="AH14" s="272" t="str">
        <f>IF($E$6='Lookup Tables Options'!$D$4,'Lookup Tables Options'!AH10,IF($E$6='Lookup Tables Options'!$D$52,'Lookup Tables Options'!AH58,IF($E$6='Lookup Tables Options'!$D$100,'Lookup Tables Options'!AH106,IF($E$6='Lookup Tables Options'!$D$148,'Lookup Tables Options'!AH154,IF($E$6='Lookup Tables Options'!$D$196,'Lookup Tables Options'!AH202,"")))))</f>
        <v/>
      </c>
      <c r="AI14" s="272" t="str">
        <f>IF($E$6='Lookup Tables Options'!$D$4,'Lookup Tables Options'!AI10,IF($E$6='Lookup Tables Options'!$D$52,'Lookup Tables Options'!AI58,IF($E$6='Lookup Tables Options'!$D$100,'Lookup Tables Options'!AI106,IF($E$6='Lookup Tables Options'!$D$148,'Lookup Tables Options'!AI154,IF($E$6='Lookup Tables Options'!$D$196,'Lookup Tables Options'!AI202,"")))))</f>
        <v/>
      </c>
      <c r="AJ14" s="272" t="str">
        <f>IF($E$6='Lookup Tables Options'!$D$4,'Lookup Tables Options'!AJ10,IF($E$6='Lookup Tables Options'!$D$52,'Lookup Tables Options'!AJ58,IF($E$6='Lookup Tables Options'!$D$100,'Lookup Tables Options'!AJ106,IF($E$6='Lookup Tables Options'!$D$148,'Lookup Tables Options'!AJ154,IF($E$6='Lookup Tables Options'!$D$196,'Lookup Tables Options'!AJ202,"")))))</f>
        <v/>
      </c>
      <c r="AK14" s="272" t="str">
        <f>IF($E$6='Lookup Tables Options'!$D$4,'Lookup Tables Options'!AK10,IF($E$6='Lookup Tables Options'!$D$52,'Lookup Tables Options'!AK58,IF($E$6='Lookup Tables Options'!$D$100,'Lookup Tables Options'!AK106,IF($E$6='Lookup Tables Options'!$D$148,'Lookup Tables Options'!AK154,IF($E$6='Lookup Tables Options'!$D$196,'Lookup Tables Options'!AK202,"")))))</f>
        <v/>
      </c>
      <c r="AL14" s="272" t="str">
        <f>IF($E$6='Lookup Tables Options'!$D$4,'Lookup Tables Options'!AL10,IF($E$6='Lookup Tables Options'!$D$52,'Lookup Tables Options'!AL58,IF($E$6='Lookup Tables Options'!$D$100,'Lookup Tables Options'!AL106,IF($E$6='Lookup Tables Options'!$D$148,'Lookup Tables Options'!AL154,IF($E$6='Lookup Tables Options'!$D$196,'Lookup Tables Options'!AL202,"")))))</f>
        <v/>
      </c>
      <c r="AM14" s="273" t="str">
        <f>IF($E$6='Lookup Tables Options'!$D$4,'Lookup Tables Options'!AM10,IF($E$6='Lookup Tables Options'!$D$52,'Lookup Tables Options'!AM58,IF($E$6='Lookup Tables Options'!$D$100,'Lookup Tables Options'!AM106,IF($E$6='Lookup Tables Options'!$D$148,'Lookup Tables Options'!AM154,IF($E$6='Lookup Tables Options'!$D$196,'Lookup Tables Options'!AM202,"")))))</f>
        <v/>
      </c>
    </row>
    <row r="15" spans="1:39" ht="15.6">
      <c r="D15" s="267">
        <v>2</v>
      </c>
      <c r="E15" s="268" t="str">
        <f>IF($E$6='Lookup Tables Options'!$D$4,'Lookup Tables Options'!E11,IF($E$6='Lookup Tables Options'!$D$52,'Lookup Tables Options'!E59,IF($E$6='Lookup Tables Options'!$D$100,'Lookup Tables Options'!E107,IF($E$6='Lookup Tables Options'!$D$148,'Lookup Tables Options'!E155,IF($E$6='Lookup Tables Options'!$D$196,'Lookup Tables Options'!E203,"")))))</f>
        <v/>
      </c>
      <c r="F15" s="269" t="str">
        <f>IF($E$6='Lookup Tables Options'!$D$4,'Lookup Tables Options'!F11,IF($E$6='Lookup Tables Options'!$D$52,'Lookup Tables Options'!F59,IF($E$6='Lookup Tables Options'!$D$100,'Lookup Tables Options'!F107,IF($E$6='Lookup Tables Options'!$D$148,'Lookup Tables Options'!F155,IF($E$6='Lookup Tables Options'!$D$196,'Lookup Tables Options'!F203,"")))))</f>
        <v/>
      </c>
      <c r="G15" s="268" t="str">
        <f>IF($E$6='Lookup Tables Options'!$D$4,'Lookup Tables Options'!G11,IF($E$6='Lookup Tables Options'!$D$52,'Lookup Tables Options'!G59,IF($E$6='Lookup Tables Options'!$D$100,'Lookup Tables Options'!G107,IF($E$6='Lookup Tables Options'!$D$148,'Lookup Tables Options'!G155,IF($E$6='Lookup Tables Options'!$D$196,'Lookup Tables Options'!G203,"")))))</f>
        <v/>
      </c>
      <c r="H15" s="270" t="str">
        <f>IF($E$6='Lookup Tables Options'!$D$4,'Lookup Tables Options'!H11,IF($E$6='Lookup Tables Options'!$D$52,'Lookup Tables Options'!H59,IF($E$6='Lookup Tables Options'!$D$100,'Lookup Tables Options'!H107,IF($E$6='Lookup Tables Options'!$D$148,'Lookup Tables Options'!H155,IF($E$6='Lookup Tables Options'!$D$196,'Lookup Tables Options'!H203,"")))))</f>
        <v/>
      </c>
      <c r="I15" s="270" t="str">
        <f>IF($E$6='Lookup Tables Options'!$D$4,'Lookup Tables Options'!I11,IF($E$6='Lookup Tables Options'!$D$52,'Lookup Tables Options'!I59,IF($E$6='Lookup Tables Options'!$D$100,'Lookup Tables Options'!I107,IF($E$6='Lookup Tables Options'!$D$148,'Lookup Tables Options'!I155,IF($E$6='Lookup Tables Options'!$D$196,'Lookup Tables Options'!I203,"")))))</f>
        <v/>
      </c>
      <c r="J15" s="268" t="str">
        <f>IF($E$6='Lookup Tables Options'!$D$4,'Lookup Tables Options'!J11,IF($E$6='Lookup Tables Options'!$D$52,'Lookup Tables Options'!J59,IF($E$6='Lookup Tables Options'!$D$100,'Lookup Tables Options'!J107,IF($E$6='Lookup Tables Options'!$D$148,'Lookup Tables Options'!J155,IF($E$6='Lookup Tables Options'!$D$196,'Lookup Tables Options'!J203,"")))))</f>
        <v/>
      </c>
      <c r="K15" s="270" t="str">
        <f>IF($E$6='Lookup Tables Options'!$D$4,'Lookup Tables Options'!K11,IF($E$6='Lookup Tables Options'!$D$52,'Lookup Tables Options'!K59,IF($E$6='Lookup Tables Options'!$D$100,'Lookup Tables Options'!K107,IF($E$6='Lookup Tables Options'!$D$148,'Lookup Tables Options'!K155,IF($E$6='Lookup Tables Options'!$D$196,'Lookup Tables Options'!K203,"")))))</f>
        <v/>
      </c>
      <c r="L15" s="270" t="str">
        <f>IF($E$6='Lookup Tables Options'!$D$4,'Lookup Tables Options'!L11,IF($E$6='Lookup Tables Options'!$D$52,'Lookup Tables Options'!L59,IF($E$6='Lookup Tables Options'!$D$100,'Lookup Tables Options'!L107,IF($E$6='Lookup Tables Options'!$D$148,'Lookup Tables Options'!L155,IF($E$6='Lookup Tables Options'!$D$196,'Lookup Tables Options'!L203,"")))))</f>
        <v/>
      </c>
      <c r="M15" s="270" t="str">
        <f>IF($E$6='Lookup Tables Options'!$D$4,'Lookup Tables Options'!M11,IF($E$6='Lookup Tables Options'!$D$52,'Lookup Tables Options'!M59,IF($E$6='Lookup Tables Options'!$D$100,'Lookup Tables Options'!M107,IF($E$6='Lookup Tables Options'!$D$148,'Lookup Tables Options'!M155,IF($E$6='Lookup Tables Options'!$D$196,'Lookup Tables Options'!M203,"")))))</f>
        <v/>
      </c>
      <c r="N15" s="270" t="str">
        <f>IF($E$6='Lookup Tables Options'!$D$4,'Lookup Tables Options'!N11,IF($E$6='Lookup Tables Options'!$D$52,'Lookup Tables Options'!N59,IF($E$6='Lookup Tables Options'!$D$100,'Lookup Tables Options'!N107,IF($E$6='Lookup Tables Options'!$D$148,'Lookup Tables Options'!N155,IF($E$6='Lookup Tables Options'!$D$196,'Lookup Tables Options'!N203,"")))))</f>
        <v/>
      </c>
      <c r="O15" s="270" t="str">
        <f>IF($E$6='Lookup Tables Options'!$D$4,'Lookup Tables Options'!O11,IF($E$6='Lookup Tables Options'!$D$52,'Lookup Tables Options'!O59,IF($E$6='Lookup Tables Options'!$D$100,'Lookup Tables Options'!O107,IF($E$6='Lookup Tables Options'!$D$148,'Lookup Tables Options'!O155,IF($E$6='Lookup Tables Options'!$D$196,'Lookup Tables Options'!O203,"")))))</f>
        <v/>
      </c>
      <c r="P15" s="270" t="str">
        <f>IF($E$6='Lookup Tables Options'!$D$4,'Lookup Tables Options'!P11,IF($E$6='Lookup Tables Options'!$D$52,'Lookup Tables Options'!P59,IF($E$6='Lookup Tables Options'!$D$100,'Lookup Tables Options'!P107,IF($E$6='Lookup Tables Options'!$D$148,'Lookup Tables Options'!P155,IF($E$6='Lookup Tables Options'!$D$196,'Lookup Tables Options'!P203,"")))))</f>
        <v/>
      </c>
      <c r="Q15" s="270" t="str">
        <f>IF($E$6='Lookup Tables Options'!$D$4,'Lookup Tables Options'!Q11,IF($E$6='Lookup Tables Options'!$D$52,'Lookup Tables Options'!Q59,IF($E$6='Lookup Tables Options'!$D$100,'Lookup Tables Options'!Q107,IF($E$6='Lookup Tables Options'!$D$148,'Lookup Tables Options'!Q155,IF($E$6='Lookup Tables Options'!$D$196,'Lookup Tables Options'!Q203,"")))))</f>
        <v/>
      </c>
      <c r="R15" s="270" t="str">
        <f>IF($E$6='Lookup Tables Options'!$D$4,'Lookup Tables Options'!R11,IF($E$6='Lookup Tables Options'!$D$52,'Lookup Tables Options'!R59,IF($E$6='Lookup Tables Options'!$D$100,'Lookup Tables Options'!R107,IF($E$6='Lookup Tables Options'!$D$148,'Lookup Tables Options'!R155,IF($E$6='Lookup Tables Options'!$D$196,'Lookup Tables Options'!R203,"")))))</f>
        <v/>
      </c>
      <c r="S15" s="269" t="str">
        <f>IF($E$6='Lookup Tables Options'!$D$4,'Lookup Tables Options'!S11,IF($E$6='Lookup Tables Options'!$D$52,'Lookup Tables Options'!S59,IF($E$6='Lookup Tables Options'!$D$100,'Lookup Tables Options'!S107,IF($E$6='Lookup Tables Options'!$D$148,'Lookup Tables Options'!S155,IF($E$6='Lookup Tables Options'!$D$196,'Lookup Tables Options'!S203,"")))))</f>
        <v/>
      </c>
      <c r="T15" s="268" t="str">
        <f>IF($E$6='Lookup Tables Options'!$D$4,'Lookup Tables Options'!T11,IF($E$6='Lookup Tables Options'!$D$52,'Lookup Tables Options'!T59,IF($E$6='Lookup Tables Options'!$D$100,'Lookup Tables Options'!T107,IF($E$6='Lookup Tables Options'!$D$148,'Lookup Tables Options'!T155,IF($E$6='Lookup Tables Options'!$D$196,'Lookup Tables Options'!T203,"")))))</f>
        <v/>
      </c>
      <c r="U15" s="270" t="str">
        <f>IF($E$6='Lookup Tables Options'!$D$4,'Lookup Tables Options'!U11,IF($E$6='Lookup Tables Options'!$D$52,'Lookup Tables Options'!U59,IF($E$6='Lookup Tables Options'!$D$100,'Lookup Tables Options'!U107,IF($E$6='Lookup Tables Options'!$D$148,'Lookup Tables Options'!U155,IF($E$6='Lookup Tables Options'!$D$196,'Lookup Tables Options'!U203,"")))))</f>
        <v/>
      </c>
      <c r="V15" s="270" t="str">
        <f>IF($E$6='Lookup Tables Options'!$D$4,'Lookup Tables Options'!V11,IF($E$6='Lookup Tables Options'!$D$52,'Lookup Tables Options'!V59,IF($E$6='Lookup Tables Options'!$D$100,'Lookup Tables Options'!V107,IF($E$6='Lookup Tables Options'!$D$148,'Lookup Tables Options'!V155,IF($E$6='Lookup Tables Options'!$D$196,'Lookup Tables Options'!V203,"")))))</f>
        <v/>
      </c>
      <c r="W15" s="270" t="str">
        <f>IF($E$6='Lookup Tables Options'!$D$4,'Lookup Tables Options'!W11,IF($E$6='Lookup Tables Options'!$D$52,'Lookup Tables Options'!W59,IF($E$6='Lookup Tables Options'!$D$100,'Lookup Tables Options'!W107,IF($E$6='Lookup Tables Options'!$D$148,'Lookup Tables Options'!W155,IF($E$6='Lookup Tables Options'!$D$196,'Lookup Tables Options'!W203,"")))))</f>
        <v/>
      </c>
      <c r="X15" s="270" t="str">
        <f>IF($E$6='Lookup Tables Options'!$D$4,'Lookup Tables Options'!X11,IF($E$6='Lookup Tables Options'!$D$52,'Lookup Tables Options'!X59,IF($E$6='Lookup Tables Options'!$D$100,'Lookup Tables Options'!X107,IF($E$6='Lookup Tables Options'!$D$148,'Lookup Tables Options'!X155,IF($E$6='Lookup Tables Options'!$D$196,'Lookup Tables Options'!X203,"")))))</f>
        <v/>
      </c>
      <c r="Y15" s="270" t="str">
        <f>IF($E$6='Lookup Tables Options'!$D$4,'Lookup Tables Options'!Y11,IF($E$6='Lookup Tables Options'!$D$52,'Lookup Tables Options'!Y59,IF($E$6='Lookup Tables Options'!$D$100,'Lookup Tables Options'!Y107,IF($E$6='Lookup Tables Options'!$D$148,'Lookup Tables Options'!Y155,IF($E$6='Lookup Tables Options'!$D$196,'Lookup Tables Options'!Y203,"")))))</f>
        <v/>
      </c>
      <c r="Z15" s="270" t="str">
        <f>IF($E$6='Lookup Tables Options'!$D$4,'Lookup Tables Options'!Z11,IF($E$6='Lookup Tables Options'!$D$52,'Lookup Tables Options'!Z59,IF($E$6='Lookup Tables Options'!$D$100,'Lookup Tables Options'!Z107,IF($E$6='Lookup Tables Options'!$D$148,'Lookup Tables Options'!Z155,IF($E$6='Lookup Tables Options'!$D$196,'Lookup Tables Options'!Z203,"")))))</f>
        <v/>
      </c>
      <c r="AA15" s="270" t="str">
        <f>IF($E$6='Lookup Tables Options'!$D$4,'Lookup Tables Options'!AA11,IF($E$6='Lookup Tables Options'!$D$52,'Lookup Tables Options'!AA59,IF($E$6='Lookup Tables Options'!$D$100,'Lookup Tables Options'!AA107,IF($E$6='Lookup Tables Options'!$D$148,'Lookup Tables Options'!AA155,IF($E$6='Lookup Tables Options'!$D$196,'Lookup Tables Options'!AA203,"")))))</f>
        <v/>
      </c>
      <c r="AB15" s="270" t="str">
        <f>IF($E$6='Lookup Tables Options'!$D$4,'Lookup Tables Options'!AB11,IF($E$6='Lookup Tables Options'!$D$52,'Lookup Tables Options'!AB59,IF($E$6='Lookup Tables Options'!$D$100,'Lookup Tables Options'!AB107,IF($E$6='Lookup Tables Options'!$D$148,'Lookup Tables Options'!AB155,IF($E$6='Lookup Tables Options'!$D$196,'Lookup Tables Options'!AB203,"")))))</f>
        <v/>
      </c>
      <c r="AC15" s="270" t="str">
        <f>IF($E$6='Lookup Tables Options'!$D$4,'Lookup Tables Options'!AC11,IF($E$6='Lookup Tables Options'!$D$52,'Lookup Tables Options'!AC59,IF($E$6='Lookup Tables Options'!$D$100,'Lookup Tables Options'!AC107,IF($E$6='Lookup Tables Options'!$D$148,'Lookup Tables Options'!AC155,IF($E$6='Lookup Tables Options'!$D$196,'Lookup Tables Options'!AC203,"")))))</f>
        <v/>
      </c>
      <c r="AD15" s="268" t="str">
        <f>IF($E$6='Lookup Tables Options'!$D$4,'Lookup Tables Options'!AD11,IF($E$6='Lookup Tables Options'!$D$52,'Lookup Tables Options'!AD59,IF($E$6='Lookup Tables Options'!$D$100,'Lookup Tables Options'!AD107,IF($E$6='Lookup Tables Options'!$D$148,'Lookup Tables Options'!AD155,IF($E$6='Lookup Tables Options'!$D$196,'Lookup Tables Options'!AD203,"")))))</f>
        <v/>
      </c>
      <c r="AE15" s="270" t="str">
        <f>IF($E$6='Lookup Tables Options'!$D$4,'Lookup Tables Options'!AE11,IF($E$6='Lookup Tables Options'!$D$52,'Lookup Tables Options'!AE59,IF($E$6='Lookup Tables Options'!$D$100,'Lookup Tables Options'!AE107,IF($E$6='Lookup Tables Options'!$D$148,'Lookup Tables Options'!AE155,IF($E$6='Lookup Tables Options'!$D$196,'Lookup Tables Options'!AE203,"")))))</f>
        <v/>
      </c>
      <c r="AF15" s="270" t="str">
        <f>IF($E$6='Lookup Tables Options'!$D$4,'Lookup Tables Options'!AF11,IF($E$6='Lookup Tables Options'!$D$52,'Lookup Tables Options'!AF59,IF($E$6='Lookup Tables Options'!$D$100,'Lookup Tables Options'!AF107,IF($E$6='Lookup Tables Options'!$D$148,'Lookup Tables Options'!AF155,IF($E$6='Lookup Tables Options'!$D$196,'Lookup Tables Options'!AF203,"")))))</f>
        <v/>
      </c>
      <c r="AG15" s="270" t="str">
        <f>IF($E$6='Lookup Tables Options'!$D$4,'Lookup Tables Options'!AG11,IF($E$6='Lookup Tables Options'!$D$52,'Lookup Tables Options'!AG59,IF($E$6='Lookup Tables Options'!$D$100,'Lookup Tables Options'!AG107,IF($E$6='Lookup Tables Options'!$D$148,'Lookup Tables Options'!AG155,IF($E$6='Lookup Tables Options'!$D$196,'Lookup Tables Options'!AG203,"")))))</f>
        <v/>
      </c>
      <c r="AH15" s="270" t="str">
        <f>IF($E$6='Lookup Tables Options'!$D$4,'Lookup Tables Options'!AH11,IF($E$6='Lookup Tables Options'!$D$52,'Lookup Tables Options'!AH59,IF($E$6='Lookup Tables Options'!$D$100,'Lookup Tables Options'!AH107,IF($E$6='Lookup Tables Options'!$D$148,'Lookup Tables Options'!AH155,IF($E$6='Lookup Tables Options'!$D$196,'Lookup Tables Options'!AH203,"")))))</f>
        <v/>
      </c>
      <c r="AI15" s="270" t="str">
        <f>IF($E$6='Lookup Tables Options'!$D$4,'Lookup Tables Options'!AI11,IF($E$6='Lookup Tables Options'!$D$52,'Lookup Tables Options'!AI59,IF($E$6='Lookup Tables Options'!$D$100,'Lookup Tables Options'!AI107,IF($E$6='Lookup Tables Options'!$D$148,'Lookup Tables Options'!AI155,IF($E$6='Lookup Tables Options'!$D$196,'Lookup Tables Options'!AI203,"")))))</f>
        <v/>
      </c>
      <c r="AJ15" s="270" t="str">
        <f>IF($E$6='Lookup Tables Options'!$D$4,'Lookup Tables Options'!AJ11,IF($E$6='Lookup Tables Options'!$D$52,'Lookup Tables Options'!AJ59,IF($E$6='Lookup Tables Options'!$D$100,'Lookup Tables Options'!AJ107,IF($E$6='Lookup Tables Options'!$D$148,'Lookup Tables Options'!AJ155,IF($E$6='Lookup Tables Options'!$D$196,'Lookup Tables Options'!AJ203,"")))))</f>
        <v/>
      </c>
      <c r="AK15" s="270" t="str">
        <f>IF($E$6='Lookup Tables Options'!$D$4,'Lookup Tables Options'!AK11,IF($E$6='Lookup Tables Options'!$D$52,'Lookup Tables Options'!AK59,IF($E$6='Lookup Tables Options'!$D$100,'Lookup Tables Options'!AK107,IF($E$6='Lookup Tables Options'!$D$148,'Lookup Tables Options'!AK155,IF($E$6='Lookup Tables Options'!$D$196,'Lookup Tables Options'!AK203,"")))))</f>
        <v/>
      </c>
      <c r="AL15" s="270" t="str">
        <f>IF($E$6='Lookup Tables Options'!$D$4,'Lookup Tables Options'!AL11,IF($E$6='Lookup Tables Options'!$D$52,'Lookup Tables Options'!AL59,IF($E$6='Lookup Tables Options'!$D$100,'Lookup Tables Options'!AL107,IF($E$6='Lookup Tables Options'!$D$148,'Lookup Tables Options'!AL155,IF($E$6='Lookup Tables Options'!$D$196,'Lookup Tables Options'!AL203,"")))))</f>
        <v/>
      </c>
      <c r="AM15" s="269" t="str">
        <f>IF($E$6='Lookup Tables Options'!$D$4,'Lookup Tables Options'!AM11,IF($E$6='Lookup Tables Options'!$D$52,'Lookup Tables Options'!AM59,IF($E$6='Lookup Tables Options'!$D$100,'Lookup Tables Options'!AM107,IF($E$6='Lookup Tables Options'!$D$148,'Lookup Tables Options'!AM155,IF($E$6='Lookup Tables Options'!$D$196,'Lookup Tables Options'!AM203,"")))))</f>
        <v/>
      </c>
    </row>
    <row r="16" spans="1:39" ht="15.6">
      <c r="D16" s="267">
        <v>3</v>
      </c>
      <c r="E16" s="268" t="str">
        <f>IF($E$6='Lookup Tables Options'!$D$4,'Lookup Tables Options'!E12,IF($E$6='Lookup Tables Options'!$D$52,'Lookup Tables Options'!E60,IF($E$6='Lookup Tables Options'!$D$100,'Lookup Tables Options'!E108,IF($E$6='Lookup Tables Options'!$D$148,'Lookup Tables Options'!E156,IF($E$6='Lookup Tables Options'!$D$196,'Lookup Tables Options'!E204,"")))))</f>
        <v/>
      </c>
      <c r="F16" s="269" t="str">
        <f>IF($E$6='Lookup Tables Options'!$D$4,'Lookup Tables Options'!F12,IF($E$6='Lookup Tables Options'!$D$52,'Lookup Tables Options'!F60,IF($E$6='Lookup Tables Options'!$D$100,'Lookup Tables Options'!F108,IF($E$6='Lookup Tables Options'!$D$148,'Lookup Tables Options'!F156,IF($E$6='Lookup Tables Options'!$D$196,'Lookup Tables Options'!F204,"")))))</f>
        <v/>
      </c>
      <c r="G16" s="268" t="str">
        <f>IF($E$6='Lookup Tables Options'!$D$4,'Lookup Tables Options'!G12,IF($E$6='Lookup Tables Options'!$D$52,'Lookup Tables Options'!G60,IF($E$6='Lookup Tables Options'!$D$100,'Lookup Tables Options'!G108,IF($E$6='Lookup Tables Options'!$D$148,'Lookup Tables Options'!G156,IF($E$6='Lookup Tables Options'!$D$196,'Lookup Tables Options'!G204,"")))))</f>
        <v/>
      </c>
      <c r="H16" s="270" t="str">
        <f>IF($E$6='Lookup Tables Options'!$D$4,'Lookup Tables Options'!H12,IF($E$6='Lookup Tables Options'!$D$52,'Lookup Tables Options'!H60,IF($E$6='Lookup Tables Options'!$D$100,'Lookup Tables Options'!H108,IF($E$6='Lookup Tables Options'!$D$148,'Lookup Tables Options'!H156,IF($E$6='Lookup Tables Options'!$D$196,'Lookup Tables Options'!H204,"")))))</f>
        <v/>
      </c>
      <c r="I16" s="270" t="str">
        <f>IF($E$6='Lookup Tables Options'!$D$4,'Lookup Tables Options'!I12,IF($E$6='Lookup Tables Options'!$D$52,'Lookup Tables Options'!I60,IF($E$6='Lookup Tables Options'!$D$100,'Lookup Tables Options'!I108,IF($E$6='Lookup Tables Options'!$D$148,'Lookup Tables Options'!I156,IF($E$6='Lookup Tables Options'!$D$196,'Lookup Tables Options'!I204,"")))))</f>
        <v/>
      </c>
      <c r="J16" s="268" t="str">
        <f>IF($E$6='Lookup Tables Options'!$D$4,'Lookup Tables Options'!J12,IF($E$6='Lookup Tables Options'!$D$52,'Lookup Tables Options'!J60,IF($E$6='Lookup Tables Options'!$D$100,'Lookup Tables Options'!J108,IF($E$6='Lookup Tables Options'!$D$148,'Lookup Tables Options'!J156,IF($E$6='Lookup Tables Options'!$D$196,'Lookup Tables Options'!J204,"")))))</f>
        <v/>
      </c>
      <c r="K16" s="270" t="str">
        <f>IF($E$6='Lookup Tables Options'!$D$4,'Lookup Tables Options'!K12,IF($E$6='Lookup Tables Options'!$D$52,'Lookup Tables Options'!K60,IF($E$6='Lookup Tables Options'!$D$100,'Lookup Tables Options'!K108,IF($E$6='Lookup Tables Options'!$D$148,'Lookup Tables Options'!K156,IF($E$6='Lookup Tables Options'!$D$196,'Lookup Tables Options'!K204,"")))))</f>
        <v/>
      </c>
      <c r="L16" s="270" t="str">
        <f>IF($E$6='Lookup Tables Options'!$D$4,'Lookup Tables Options'!L12,IF($E$6='Lookup Tables Options'!$D$52,'Lookup Tables Options'!L60,IF($E$6='Lookup Tables Options'!$D$100,'Lookup Tables Options'!L108,IF($E$6='Lookup Tables Options'!$D$148,'Lookup Tables Options'!L156,IF($E$6='Lookup Tables Options'!$D$196,'Lookup Tables Options'!L204,"")))))</f>
        <v/>
      </c>
      <c r="M16" s="270" t="str">
        <f>IF($E$6='Lookup Tables Options'!$D$4,'Lookup Tables Options'!M12,IF($E$6='Lookup Tables Options'!$D$52,'Lookup Tables Options'!M60,IF($E$6='Lookup Tables Options'!$D$100,'Lookup Tables Options'!M108,IF($E$6='Lookup Tables Options'!$D$148,'Lookup Tables Options'!M156,IF($E$6='Lookup Tables Options'!$D$196,'Lookup Tables Options'!M204,"")))))</f>
        <v/>
      </c>
      <c r="N16" s="270" t="str">
        <f>IF($E$6='Lookup Tables Options'!$D$4,'Lookup Tables Options'!N12,IF($E$6='Lookup Tables Options'!$D$52,'Lookup Tables Options'!N60,IF($E$6='Lookup Tables Options'!$D$100,'Lookup Tables Options'!N108,IF($E$6='Lookup Tables Options'!$D$148,'Lookup Tables Options'!N156,IF($E$6='Lookup Tables Options'!$D$196,'Lookup Tables Options'!N204,"")))))</f>
        <v/>
      </c>
      <c r="O16" s="270" t="str">
        <f>IF($E$6='Lookup Tables Options'!$D$4,'Lookup Tables Options'!O12,IF($E$6='Lookup Tables Options'!$D$52,'Lookup Tables Options'!O60,IF($E$6='Lookup Tables Options'!$D$100,'Lookup Tables Options'!O108,IF($E$6='Lookup Tables Options'!$D$148,'Lookup Tables Options'!O156,IF($E$6='Lookup Tables Options'!$D$196,'Lookup Tables Options'!O204,"")))))</f>
        <v/>
      </c>
      <c r="P16" s="270" t="str">
        <f>IF($E$6='Lookup Tables Options'!$D$4,'Lookup Tables Options'!P12,IF($E$6='Lookup Tables Options'!$D$52,'Lookup Tables Options'!P60,IF($E$6='Lookup Tables Options'!$D$100,'Lookup Tables Options'!P108,IF($E$6='Lookup Tables Options'!$D$148,'Lookup Tables Options'!P156,IF($E$6='Lookup Tables Options'!$D$196,'Lookup Tables Options'!P204,"")))))</f>
        <v/>
      </c>
      <c r="Q16" s="270" t="str">
        <f>IF($E$6='Lookup Tables Options'!$D$4,'Lookup Tables Options'!Q12,IF($E$6='Lookup Tables Options'!$D$52,'Lookup Tables Options'!Q60,IF($E$6='Lookup Tables Options'!$D$100,'Lookup Tables Options'!Q108,IF($E$6='Lookup Tables Options'!$D$148,'Lookup Tables Options'!Q156,IF($E$6='Lookup Tables Options'!$D$196,'Lookup Tables Options'!Q204,"")))))</f>
        <v/>
      </c>
      <c r="R16" s="270" t="str">
        <f>IF($E$6='Lookup Tables Options'!$D$4,'Lookup Tables Options'!R12,IF($E$6='Lookup Tables Options'!$D$52,'Lookup Tables Options'!R60,IF($E$6='Lookup Tables Options'!$D$100,'Lookup Tables Options'!R108,IF($E$6='Lookup Tables Options'!$D$148,'Lookup Tables Options'!R156,IF($E$6='Lookup Tables Options'!$D$196,'Lookup Tables Options'!R204,"")))))</f>
        <v/>
      </c>
      <c r="S16" s="269" t="str">
        <f>IF($E$6='Lookup Tables Options'!$D$4,'Lookup Tables Options'!S12,IF($E$6='Lookup Tables Options'!$D$52,'Lookup Tables Options'!S60,IF($E$6='Lookup Tables Options'!$D$100,'Lookup Tables Options'!S108,IF($E$6='Lookup Tables Options'!$D$148,'Lookup Tables Options'!S156,IF($E$6='Lookup Tables Options'!$D$196,'Lookup Tables Options'!S204,"")))))</f>
        <v/>
      </c>
      <c r="T16" s="268" t="str">
        <f>IF($E$6='Lookup Tables Options'!$D$4,'Lookup Tables Options'!T12,IF($E$6='Lookup Tables Options'!$D$52,'Lookup Tables Options'!T60,IF($E$6='Lookup Tables Options'!$D$100,'Lookup Tables Options'!T108,IF($E$6='Lookup Tables Options'!$D$148,'Lookup Tables Options'!T156,IF($E$6='Lookup Tables Options'!$D$196,'Lookup Tables Options'!T204,"")))))</f>
        <v/>
      </c>
      <c r="U16" s="270" t="str">
        <f>IF($E$6='Lookup Tables Options'!$D$4,'Lookup Tables Options'!U12,IF($E$6='Lookup Tables Options'!$D$52,'Lookup Tables Options'!U60,IF($E$6='Lookup Tables Options'!$D$100,'Lookup Tables Options'!U108,IF($E$6='Lookup Tables Options'!$D$148,'Lookup Tables Options'!U156,IF($E$6='Lookup Tables Options'!$D$196,'Lookup Tables Options'!U204,"")))))</f>
        <v/>
      </c>
      <c r="V16" s="270" t="str">
        <f>IF($E$6='Lookup Tables Options'!$D$4,'Lookup Tables Options'!V12,IF($E$6='Lookup Tables Options'!$D$52,'Lookup Tables Options'!V60,IF($E$6='Lookup Tables Options'!$D$100,'Lookup Tables Options'!V108,IF($E$6='Lookup Tables Options'!$D$148,'Lookup Tables Options'!V156,IF($E$6='Lookup Tables Options'!$D$196,'Lookup Tables Options'!V204,"")))))</f>
        <v/>
      </c>
      <c r="W16" s="270" t="str">
        <f>IF($E$6='Lookup Tables Options'!$D$4,'Lookup Tables Options'!W12,IF($E$6='Lookup Tables Options'!$D$52,'Lookup Tables Options'!W60,IF($E$6='Lookup Tables Options'!$D$100,'Lookup Tables Options'!W108,IF($E$6='Lookup Tables Options'!$D$148,'Lookup Tables Options'!W156,IF($E$6='Lookup Tables Options'!$D$196,'Lookup Tables Options'!W204,"")))))</f>
        <v/>
      </c>
      <c r="X16" s="270" t="str">
        <f>IF($E$6='Lookup Tables Options'!$D$4,'Lookup Tables Options'!X12,IF($E$6='Lookup Tables Options'!$D$52,'Lookup Tables Options'!X60,IF($E$6='Lookup Tables Options'!$D$100,'Lookup Tables Options'!X108,IF($E$6='Lookup Tables Options'!$D$148,'Lookup Tables Options'!X156,IF($E$6='Lookup Tables Options'!$D$196,'Lookup Tables Options'!X204,"")))))</f>
        <v/>
      </c>
      <c r="Y16" s="270" t="str">
        <f>IF($E$6='Lookup Tables Options'!$D$4,'Lookup Tables Options'!Y12,IF($E$6='Lookup Tables Options'!$D$52,'Lookup Tables Options'!Y60,IF($E$6='Lookup Tables Options'!$D$100,'Lookup Tables Options'!Y108,IF($E$6='Lookup Tables Options'!$D$148,'Lookup Tables Options'!Y156,IF($E$6='Lookup Tables Options'!$D$196,'Lookup Tables Options'!Y204,"")))))</f>
        <v/>
      </c>
      <c r="Z16" s="270" t="str">
        <f>IF($E$6='Lookup Tables Options'!$D$4,'Lookup Tables Options'!Z12,IF($E$6='Lookup Tables Options'!$D$52,'Lookup Tables Options'!Z60,IF($E$6='Lookup Tables Options'!$D$100,'Lookup Tables Options'!Z108,IF($E$6='Lookup Tables Options'!$D$148,'Lookup Tables Options'!Z156,IF($E$6='Lookup Tables Options'!$D$196,'Lookup Tables Options'!Z204,"")))))</f>
        <v/>
      </c>
      <c r="AA16" s="270" t="str">
        <f>IF($E$6='Lookup Tables Options'!$D$4,'Lookup Tables Options'!AA12,IF($E$6='Lookup Tables Options'!$D$52,'Lookup Tables Options'!AA60,IF($E$6='Lookup Tables Options'!$D$100,'Lookup Tables Options'!AA108,IF($E$6='Lookup Tables Options'!$D$148,'Lookup Tables Options'!AA156,IF($E$6='Lookup Tables Options'!$D$196,'Lookup Tables Options'!AA204,"")))))</f>
        <v/>
      </c>
      <c r="AB16" s="270" t="str">
        <f>IF($E$6='Lookup Tables Options'!$D$4,'Lookup Tables Options'!AB12,IF($E$6='Lookup Tables Options'!$D$52,'Lookup Tables Options'!AB60,IF($E$6='Lookup Tables Options'!$D$100,'Lookup Tables Options'!AB108,IF($E$6='Lookup Tables Options'!$D$148,'Lookup Tables Options'!AB156,IF($E$6='Lookup Tables Options'!$D$196,'Lookup Tables Options'!AB204,"")))))</f>
        <v/>
      </c>
      <c r="AC16" s="270" t="str">
        <f>IF($E$6='Lookup Tables Options'!$D$4,'Lookup Tables Options'!AC12,IF($E$6='Lookup Tables Options'!$D$52,'Lookup Tables Options'!AC60,IF($E$6='Lookup Tables Options'!$D$100,'Lookup Tables Options'!AC108,IF($E$6='Lookup Tables Options'!$D$148,'Lookup Tables Options'!AC156,IF($E$6='Lookup Tables Options'!$D$196,'Lookup Tables Options'!AC204,"")))))</f>
        <v/>
      </c>
      <c r="AD16" s="268" t="str">
        <f>IF($E$6='Lookup Tables Options'!$D$4,'Lookup Tables Options'!AD12,IF($E$6='Lookup Tables Options'!$D$52,'Lookup Tables Options'!AD60,IF($E$6='Lookup Tables Options'!$D$100,'Lookup Tables Options'!AD108,IF($E$6='Lookup Tables Options'!$D$148,'Lookup Tables Options'!AD156,IF($E$6='Lookup Tables Options'!$D$196,'Lookup Tables Options'!AD204,"")))))</f>
        <v/>
      </c>
      <c r="AE16" s="270" t="str">
        <f>IF($E$6='Lookup Tables Options'!$D$4,'Lookup Tables Options'!AE12,IF($E$6='Lookup Tables Options'!$D$52,'Lookup Tables Options'!AE60,IF($E$6='Lookup Tables Options'!$D$100,'Lookup Tables Options'!AE108,IF($E$6='Lookup Tables Options'!$D$148,'Lookup Tables Options'!AE156,IF($E$6='Lookup Tables Options'!$D$196,'Lookup Tables Options'!AE204,"")))))</f>
        <v/>
      </c>
      <c r="AF16" s="270" t="str">
        <f>IF($E$6='Lookup Tables Options'!$D$4,'Lookup Tables Options'!AF12,IF($E$6='Lookup Tables Options'!$D$52,'Lookup Tables Options'!AF60,IF($E$6='Lookup Tables Options'!$D$100,'Lookup Tables Options'!AF108,IF($E$6='Lookup Tables Options'!$D$148,'Lookup Tables Options'!AF156,IF($E$6='Lookup Tables Options'!$D$196,'Lookup Tables Options'!AF204,"")))))</f>
        <v/>
      </c>
      <c r="AG16" s="270" t="str">
        <f>IF($E$6='Lookup Tables Options'!$D$4,'Lookup Tables Options'!AG12,IF($E$6='Lookup Tables Options'!$D$52,'Lookup Tables Options'!AG60,IF($E$6='Lookup Tables Options'!$D$100,'Lookup Tables Options'!AG108,IF($E$6='Lookup Tables Options'!$D$148,'Lookup Tables Options'!AG156,IF($E$6='Lookup Tables Options'!$D$196,'Lookup Tables Options'!AG204,"")))))</f>
        <v/>
      </c>
      <c r="AH16" s="270" t="str">
        <f>IF($E$6='Lookup Tables Options'!$D$4,'Lookup Tables Options'!AH12,IF($E$6='Lookup Tables Options'!$D$52,'Lookup Tables Options'!AH60,IF($E$6='Lookup Tables Options'!$D$100,'Lookup Tables Options'!AH108,IF($E$6='Lookup Tables Options'!$D$148,'Lookup Tables Options'!AH156,IF($E$6='Lookup Tables Options'!$D$196,'Lookup Tables Options'!AH204,"")))))</f>
        <v/>
      </c>
      <c r="AI16" s="270" t="str">
        <f>IF($E$6='Lookup Tables Options'!$D$4,'Lookup Tables Options'!AI12,IF($E$6='Lookup Tables Options'!$D$52,'Lookup Tables Options'!AI60,IF($E$6='Lookup Tables Options'!$D$100,'Lookup Tables Options'!AI108,IF($E$6='Lookup Tables Options'!$D$148,'Lookup Tables Options'!AI156,IF($E$6='Lookup Tables Options'!$D$196,'Lookup Tables Options'!AI204,"")))))</f>
        <v/>
      </c>
      <c r="AJ16" s="270" t="str">
        <f>IF($E$6='Lookup Tables Options'!$D$4,'Lookup Tables Options'!AJ12,IF($E$6='Lookup Tables Options'!$D$52,'Lookup Tables Options'!AJ60,IF($E$6='Lookup Tables Options'!$D$100,'Lookup Tables Options'!AJ108,IF($E$6='Lookup Tables Options'!$D$148,'Lookup Tables Options'!AJ156,IF($E$6='Lookup Tables Options'!$D$196,'Lookup Tables Options'!AJ204,"")))))</f>
        <v/>
      </c>
      <c r="AK16" s="270" t="str">
        <f>IF($E$6='Lookup Tables Options'!$D$4,'Lookup Tables Options'!AK12,IF($E$6='Lookup Tables Options'!$D$52,'Lookup Tables Options'!AK60,IF($E$6='Lookup Tables Options'!$D$100,'Lookup Tables Options'!AK108,IF($E$6='Lookup Tables Options'!$D$148,'Lookup Tables Options'!AK156,IF($E$6='Lookup Tables Options'!$D$196,'Lookup Tables Options'!AK204,"")))))</f>
        <v/>
      </c>
      <c r="AL16" s="270" t="str">
        <f>IF($E$6='Lookup Tables Options'!$D$4,'Lookup Tables Options'!AL12,IF($E$6='Lookup Tables Options'!$D$52,'Lookup Tables Options'!AL60,IF($E$6='Lookup Tables Options'!$D$100,'Lookup Tables Options'!AL108,IF($E$6='Lookup Tables Options'!$D$148,'Lookup Tables Options'!AL156,IF($E$6='Lookup Tables Options'!$D$196,'Lookup Tables Options'!AL204,"")))))</f>
        <v/>
      </c>
      <c r="AM16" s="269" t="str">
        <f>IF($E$6='Lookup Tables Options'!$D$4,'Lookup Tables Options'!AM12,IF($E$6='Lookup Tables Options'!$D$52,'Lookup Tables Options'!AM60,IF($E$6='Lookup Tables Options'!$D$100,'Lookup Tables Options'!AM108,IF($E$6='Lookup Tables Options'!$D$148,'Lookup Tables Options'!AM156,IF($E$6='Lookup Tables Options'!$D$196,'Lookup Tables Options'!AM204,"")))))</f>
        <v/>
      </c>
    </row>
    <row r="17" spans="4:39" ht="15.6">
      <c r="D17" s="267">
        <v>4</v>
      </c>
      <c r="E17" s="268" t="str">
        <f>IF($E$6='Lookup Tables Options'!$D$4,'Lookup Tables Options'!E13,IF($E$6='Lookup Tables Options'!$D$52,'Lookup Tables Options'!E61,IF($E$6='Lookup Tables Options'!$D$100,'Lookup Tables Options'!E109,IF($E$6='Lookup Tables Options'!$D$148,'Lookup Tables Options'!E157,IF($E$6='Lookup Tables Options'!$D$196,'Lookup Tables Options'!E205,"")))))</f>
        <v/>
      </c>
      <c r="F17" s="269" t="str">
        <f>IF($E$6='Lookup Tables Options'!$D$4,'Lookup Tables Options'!F13,IF($E$6='Lookup Tables Options'!$D$52,'Lookup Tables Options'!F61,IF($E$6='Lookup Tables Options'!$D$100,'Lookup Tables Options'!F109,IF($E$6='Lookup Tables Options'!$D$148,'Lookup Tables Options'!F157,IF($E$6='Lookup Tables Options'!$D$196,'Lookup Tables Options'!F205,"")))))</f>
        <v/>
      </c>
      <c r="G17" s="268" t="str">
        <f>IF($E$6='Lookup Tables Options'!$D$4,'Lookup Tables Options'!G13,IF($E$6='Lookup Tables Options'!$D$52,'Lookup Tables Options'!G61,IF($E$6='Lookup Tables Options'!$D$100,'Lookup Tables Options'!G109,IF($E$6='Lookup Tables Options'!$D$148,'Lookup Tables Options'!G157,IF($E$6='Lookup Tables Options'!$D$196,'Lookup Tables Options'!G205,"")))))</f>
        <v/>
      </c>
      <c r="H17" s="270" t="str">
        <f>IF($E$6='Lookup Tables Options'!$D$4,'Lookup Tables Options'!H13,IF($E$6='Lookup Tables Options'!$D$52,'Lookup Tables Options'!H61,IF($E$6='Lookup Tables Options'!$D$100,'Lookup Tables Options'!H109,IF($E$6='Lookup Tables Options'!$D$148,'Lookup Tables Options'!H157,IF($E$6='Lookup Tables Options'!$D$196,'Lookup Tables Options'!H205,"")))))</f>
        <v/>
      </c>
      <c r="I17" s="270" t="str">
        <f>IF($E$6='Lookup Tables Options'!$D$4,'Lookup Tables Options'!I13,IF($E$6='Lookup Tables Options'!$D$52,'Lookup Tables Options'!I61,IF($E$6='Lookup Tables Options'!$D$100,'Lookup Tables Options'!I109,IF($E$6='Lookup Tables Options'!$D$148,'Lookup Tables Options'!I157,IF($E$6='Lookup Tables Options'!$D$196,'Lookup Tables Options'!I205,"")))))</f>
        <v/>
      </c>
      <c r="J17" s="268" t="str">
        <f>IF($E$6='Lookup Tables Options'!$D$4,'Lookup Tables Options'!J13,IF($E$6='Lookup Tables Options'!$D$52,'Lookup Tables Options'!J61,IF($E$6='Lookup Tables Options'!$D$100,'Lookup Tables Options'!J109,IF($E$6='Lookup Tables Options'!$D$148,'Lookup Tables Options'!J157,IF($E$6='Lookup Tables Options'!$D$196,'Lookup Tables Options'!J205,"")))))</f>
        <v/>
      </c>
      <c r="K17" s="270" t="str">
        <f>IF($E$6='Lookup Tables Options'!$D$4,'Lookup Tables Options'!K13,IF($E$6='Lookup Tables Options'!$D$52,'Lookup Tables Options'!K61,IF($E$6='Lookup Tables Options'!$D$100,'Lookup Tables Options'!K109,IF($E$6='Lookup Tables Options'!$D$148,'Lookup Tables Options'!K157,IF($E$6='Lookup Tables Options'!$D$196,'Lookup Tables Options'!K205,"")))))</f>
        <v/>
      </c>
      <c r="L17" s="270" t="str">
        <f>IF($E$6='Lookup Tables Options'!$D$4,'Lookup Tables Options'!L13,IF($E$6='Lookup Tables Options'!$D$52,'Lookup Tables Options'!L61,IF($E$6='Lookup Tables Options'!$D$100,'Lookup Tables Options'!L109,IF($E$6='Lookup Tables Options'!$D$148,'Lookup Tables Options'!L157,IF($E$6='Lookup Tables Options'!$D$196,'Lookup Tables Options'!L205,"")))))</f>
        <v/>
      </c>
      <c r="M17" s="270" t="str">
        <f>IF($E$6='Lookup Tables Options'!$D$4,'Lookup Tables Options'!M13,IF($E$6='Lookup Tables Options'!$D$52,'Lookup Tables Options'!M61,IF($E$6='Lookup Tables Options'!$D$100,'Lookup Tables Options'!M109,IF($E$6='Lookup Tables Options'!$D$148,'Lookup Tables Options'!M157,IF($E$6='Lookup Tables Options'!$D$196,'Lookup Tables Options'!M205,"")))))</f>
        <v/>
      </c>
      <c r="N17" s="270" t="str">
        <f>IF($E$6='Lookup Tables Options'!$D$4,'Lookup Tables Options'!N13,IF($E$6='Lookup Tables Options'!$D$52,'Lookup Tables Options'!N61,IF($E$6='Lookup Tables Options'!$D$100,'Lookup Tables Options'!N109,IF($E$6='Lookup Tables Options'!$D$148,'Lookup Tables Options'!N157,IF($E$6='Lookup Tables Options'!$D$196,'Lookup Tables Options'!N205,"")))))</f>
        <v/>
      </c>
      <c r="O17" s="270" t="str">
        <f>IF($E$6='Lookup Tables Options'!$D$4,'Lookup Tables Options'!O13,IF($E$6='Lookup Tables Options'!$D$52,'Lookup Tables Options'!O61,IF($E$6='Lookup Tables Options'!$D$100,'Lookup Tables Options'!O109,IF($E$6='Lookup Tables Options'!$D$148,'Lookup Tables Options'!O157,IF($E$6='Lookup Tables Options'!$D$196,'Lookup Tables Options'!O205,"")))))</f>
        <v/>
      </c>
      <c r="P17" s="270" t="str">
        <f>IF($E$6='Lookup Tables Options'!$D$4,'Lookup Tables Options'!P13,IF($E$6='Lookup Tables Options'!$D$52,'Lookup Tables Options'!P61,IF($E$6='Lookup Tables Options'!$D$100,'Lookup Tables Options'!P109,IF($E$6='Lookup Tables Options'!$D$148,'Lookup Tables Options'!P157,IF($E$6='Lookup Tables Options'!$D$196,'Lookup Tables Options'!P205,"")))))</f>
        <v/>
      </c>
      <c r="Q17" s="270" t="str">
        <f>IF($E$6='Lookup Tables Options'!$D$4,'Lookup Tables Options'!Q13,IF($E$6='Lookup Tables Options'!$D$52,'Lookup Tables Options'!Q61,IF($E$6='Lookup Tables Options'!$D$100,'Lookup Tables Options'!Q109,IF($E$6='Lookup Tables Options'!$D$148,'Lookup Tables Options'!Q157,IF($E$6='Lookup Tables Options'!$D$196,'Lookup Tables Options'!Q205,"")))))</f>
        <v/>
      </c>
      <c r="R17" s="270" t="str">
        <f>IF($E$6='Lookup Tables Options'!$D$4,'Lookup Tables Options'!R13,IF($E$6='Lookup Tables Options'!$D$52,'Lookup Tables Options'!R61,IF($E$6='Lookup Tables Options'!$D$100,'Lookup Tables Options'!R109,IF($E$6='Lookup Tables Options'!$D$148,'Lookup Tables Options'!R157,IF($E$6='Lookup Tables Options'!$D$196,'Lookup Tables Options'!R205,"")))))</f>
        <v/>
      </c>
      <c r="S17" s="269" t="str">
        <f>IF($E$6='Lookup Tables Options'!$D$4,'Lookup Tables Options'!S13,IF($E$6='Lookup Tables Options'!$D$52,'Lookup Tables Options'!S61,IF($E$6='Lookup Tables Options'!$D$100,'Lookup Tables Options'!S109,IF($E$6='Lookup Tables Options'!$D$148,'Lookup Tables Options'!S157,IF($E$6='Lookup Tables Options'!$D$196,'Lookup Tables Options'!S205,"")))))</f>
        <v/>
      </c>
      <c r="T17" s="268" t="str">
        <f>IF($E$6='Lookup Tables Options'!$D$4,'Lookup Tables Options'!T13,IF($E$6='Lookup Tables Options'!$D$52,'Lookup Tables Options'!T61,IF($E$6='Lookup Tables Options'!$D$100,'Lookup Tables Options'!T109,IF($E$6='Lookup Tables Options'!$D$148,'Lookup Tables Options'!T157,IF($E$6='Lookup Tables Options'!$D$196,'Lookup Tables Options'!T205,"")))))</f>
        <v/>
      </c>
      <c r="U17" s="270" t="str">
        <f>IF($E$6='Lookup Tables Options'!$D$4,'Lookup Tables Options'!U13,IF($E$6='Lookup Tables Options'!$D$52,'Lookup Tables Options'!U61,IF($E$6='Lookup Tables Options'!$D$100,'Lookup Tables Options'!U109,IF($E$6='Lookup Tables Options'!$D$148,'Lookup Tables Options'!U157,IF($E$6='Lookup Tables Options'!$D$196,'Lookup Tables Options'!U205,"")))))</f>
        <v/>
      </c>
      <c r="V17" s="270" t="str">
        <f>IF($E$6='Lookup Tables Options'!$D$4,'Lookup Tables Options'!V13,IF($E$6='Lookup Tables Options'!$D$52,'Lookup Tables Options'!V61,IF($E$6='Lookup Tables Options'!$D$100,'Lookup Tables Options'!V109,IF($E$6='Lookup Tables Options'!$D$148,'Lookup Tables Options'!V157,IF($E$6='Lookup Tables Options'!$D$196,'Lookup Tables Options'!V205,"")))))</f>
        <v/>
      </c>
      <c r="W17" s="270" t="str">
        <f>IF($E$6='Lookup Tables Options'!$D$4,'Lookup Tables Options'!W13,IF($E$6='Lookup Tables Options'!$D$52,'Lookup Tables Options'!W61,IF($E$6='Lookup Tables Options'!$D$100,'Lookup Tables Options'!W109,IF($E$6='Lookup Tables Options'!$D$148,'Lookup Tables Options'!W157,IF($E$6='Lookup Tables Options'!$D$196,'Lookup Tables Options'!W205,"")))))</f>
        <v/>
      </c>
      <c r="X17" s="270" t="str">
        <f>IF($E$6='Lookup Tables Options'!$D$4,'Lookup Tables Options'!X13,IF($E$6='Lookup Tables Options'!$D$52,'Lookup Tables Options'!X61,IF($E$6='Lookup Tables Options'!$D$100,'Lookup Tables Options'!X109,IF($E$6='Lookup Tables Options'!$D$148,'Lookup Tables Options'!X157,IF($E$6='Lookup Tables Options'!$D$196,'Lookup Tables Options'!X205,"")))))</f>
        <v/>
      </c>
      <c r="Y17" s="270" t="str">
        <f>IF($E$6='Lookup Tables Options'!$D$4,'Lookup Tables Options'!Y13,IF($E$6='Lookup Tables Options'!$D$52,'Lookup Tables Options'!Y61,IF($E$6='Lookup Tables Options'!$D$100,'Lookup Tables Options'!Y109,IF($E$6='Lookup Tables Options'!$D$148,'Lookup Tables Options'!Y157,IF($E$6='Lookup Tables Options'!$D$196,'Lookup Tables Options'!Y205,"")))))</f>
        <v/>
      </c>
      <c r="Z17" s="270" t="str">
        <f>IF($E$6='Lookup Tables Options'!$D$4,'Lookup Tables Options'!Z13,IF($E$6='Lookup Tables Options'!$D$52,'Lookup Tables Options'!Z61,IF($E$6='Lookup Tables Options'!$D$100,'Lookup Tables Options'!Z109,IF($E$6='Lookup Tables Options'!$D$148,'Lookup Tables Options'!Z157,IF($E$6='Lookup Tables Options'!$D$196,'Lookup Tables Options'!Z205,"")))))</f>
        <v/>
      </c>
      <c r="AA17" s="270" t="str">
        <f>IF($E$6='Lookup Tables Options'!$D$4,'Lookup Tables Options'!AA13,IF($E$6='Lookup Tables Options'!$D$52,'Lookup Tables Options'!AA61,IF($E$6='Lookup Tables Options'!$D$100,'Lookup Tables Options'!AA109,IF($E$6='Lookup Tables Options'!$D$148,'Lookup Tables Options'!AA157,IF($E$6='Lookup Tables Options'!$D$196,'Lookup Tables Options'!AA205,"")))))</f>
        <v/>
      </c>
      <c r="AB17" s="270" t="str">
        <f>IF($E$6='Lookup Tables Options'!$D$4,'Lookup Tables Options'!AB13,IF($E$6='Lookup Tables Options'!$D$52,'Lookup Tables Options'!AB61,IF($E$6='Lookup Tables Options'!$D$100,'Lookup Tables Options'!AB109,IF($E$6='Lookup Tables Options'!$D$148,'Lookup Tables Options'!AB157,IF($E$6='Lookup Tables Options'!$D$196,'Lookup Tables Options'!AB205,"")))))</f>
        <v/>
      </c>
      <c r="AC17" s="270" t="str">
        <f>IF($E$6='Lookup Tables Options'!$D$4,'Lookup Tables Options'!AC13,IF($E$6='Lookup Tables Options'!$D$52,'Lookup Tables Options'!AC61,IF($E$6='Lookup Tables Options'!$D$100,'Lookup Tables Options'!AC109,IF($E$6='Lookup Tables Options'!$D$148,'Lookup Tables Options'!AC157,IF($E$6='Lookup Tables Options'!$D$196,'Lookup Tables Options'!AC205,"")))))</f>
        <v/>
      </c>
      <c r="AD17" s="268" t="str">
        <f>IF($E$6='Lookup Tables Options'!$D$4,'Lookup Tables Options'!AD13,IF($E$6='Lookup Tables Options'!$D$52,'Lookup Tables Options'!AD61,IF($E$6='Lookup Tables Options'!$D$100,'Lookup Tables Options'!AD109,IF($E$6='Lookup Tables Options'!$D$148,'Lookup Tables Options'!AD157,IF($E$6='Lookup Tables Options'!$D$196,'Lookup Tables Options'!AD205,"")))))</f>
        <v/>
      </c>
      <c r="AE17" s="270" t="str">
        <f>IF($E$6='Lookup Tables Options'!$D$4,'Lookup Tables Options'!AE13,IF($E$6='Lookup Tables Options'!$D$52,'Lookup Tables Options'!AE61,IF($E$6='Lookup Tables Options'!$D$100,'Lookup Tables Options'!AE109,IF($E$6='Lookup Tables Options'!$D$148,'Lookup Tables Options'!AE157,IF($E$6='Lookup Tables Options'!$D$196,'Lookup Tables Options'!AE205,"")))))</f>
        <v/>
      </c>
      <c r="AF17" s="270" t="str">
        <f>IF($E$6='Lookup Tables Options'!$D$4,'Lookup Tables Options'!AF13,IF($E$6='Lookup Tables Options'!$D$52,'Lookup Tables Options'!AF61,IF($E$6='Lookup Tables Options'!$D$100,'Lookup Tables Options'!AF109,IF($E$6='Lookup Tables Options'!$D$148,'Lookup Tables Options'!AF157,IF($E$6='Lookup Tables Options'!$D$196,'Lookup Tables Options'!AF205,"")))))</f>
        <v/>
      </c>
      <c r="AG17" s="270" t="str">
        <f>IF($E$6='Lookup Tables Options'!$D$4,'Lookup Tables Options'!AG13,IF($E$6='Lookup Tables Options'!$D$52,'Lookup Tables Options'!AG61,IF($E$6='Lookup Tables Options'!$D$100,'Lookup Tables Options'!AG109,IF($E$6='Lookup Tables Options'!$D$148,'Lookup Tables Options'!AG157,IF($E$6='Lookup Tables Options'!$D$196,'Lookup Tables Options'!AG205,"")))))</f>
        <v/>
      </c>
      <c r="AH17" s="270" t="str">
        <f>IF($E$6='Lookup Tables Options'!$D$4,'Lookup Tables Options'!AH13,IF($E$6='Lookup Tables Options'!$D$52,'Lookup Tables Options'!AH61,IF($E$6='Lookup Tables Options'!$D$100,'Lookup Tables Options'!AH109,IF($E$6='Lookup Tables Options'!$D$148,'Lookup Tables Options'!AH157,IF($E$6='Lookup Tables Options'!$D$196,'Lookup Tables Options'!AH205,"")))))</f>
        <v/>
      </c>
      <c r="AI17" s="270" t="str">
        <f>IF($E$6='Lookup Tables Options'!$D$4,'Lookup Tables Options'!AI13,IF($E$6='Lookup Tables Options'!$D$52,'Lookup Tables Options'!AI61,IF($E$6='Lookup Tables Options'!$D$100,'Lookup Tables Options'!AI109,IF($E$6='Lookup Tables Options'!$D$148,'Lookup Tables Options'!AI157,IF($E$6='Lookup Tables Options'!$D$196,'Lookup Tables Options'!AI205,"")))))</f>
        <v/>
      </c>
      <c r="AJ17" s="270" t="str">
        <f>IF($E$6='Lookup Tables Options'!$D$4,'Lookup Tables Options'!AJ13,IF($E$6='Lookup Tables Options'!$D$52,'Lookup Tables Options'!AJ61,IF($E$6='Lookup Tables Options'!$D$100,'Lookup Tables Options'!AJ109,IF($E$6='Lookup Tables Options'!$D$148,'Lookup Tables Options'!AJ157,IF($E$6='Lookup Tables Options'!$D$196,'Lookup Tables Options'!AJ205,"")))))</f>
        <v/>
      </c>
      <c r="AK17" s="270" t="str">
        <f>IF($E$6='Lookup Tables Options'!$D$4,'Lookup Tables Options'!AK13,IF($E$6='Lookup Tables Options'!$D$52,'Lookup Tables Options'!AK61,IF($E$6='Lookup Tables Options'!$D$100,'Lookup Tables Options'!AK109,IF($E$6='Lookup Tables Options'!$D$148,'Lookup Tables Options'!AK157,IF($E$6='Lookup Tables Options'!$D$196,'Lookup Tables Options'!AK205,"")))))</f>
        <v/>
      </c>
      <c r="AL17" s="270" t="str">
        <f>IF($E$6='Lookup Tables Options'!$D$4,'Lookup Tables Options'!AL13,IF($E$6='Lookup Tables Options'!$D$52,'Lookup Tables Options'!AL61,IF($E$6='Lookup Tables Options'!$D$100,'Lookup Tables Options'!AL109,IF($E$6='Lookup Tables Options'!$D$148,'Lookup Tables Options'!AL157,IF($E$6='Lookup Tables Options'!$D$196,'Lookup Tables Options'!AL205,"")))))</f>
        <v/>
      </c>
      <c r="AM17" s="269" t="str">
        <f>IF($E$6='Lookup Tables Options'!$D$4,'Lookup Tables Options'!AM13,IF($E$6='Lookup Tables Options'!$D$52,'Lookup Tables Options'!AM61,IF($E$6='Lookup Tables Options'!$D$100,'Lookup Tables Options'!AM109,IF($E$6='Lookup Tables Options'!$D$148,'Lookup Tables Options'!AM157,IF($E$6='Lookup Tables Options'!$D$196,'Lookup Tables Options'!AM205,"")))))</f>
        <v/>
      </c>
    </row>
    <row r="18" spans="4:39" ht="15.6">
      <c r="D18" s="267">
        <v>5</v>
      </c>
      <c r="E18" s="268" t="str">
        <f>IF($E$6='Lookup Tables Options'!$D$4,'Lookup Tables Options'!E14,IF($E$6='Lookup Tables Options'!$D$52,'Lookup Tables Options'!E62,IF($E$6='Lookup Tables Options'!$D$100,'Lookup Tables Options'!E110,IF($E$6='Lookup Tables Options'!$D$148,'Lookup Tables Options'!E158,IF($E$6='Lookup Tables Options'!$D$196,'Lookup Tables Options'!E206,"")))))</f>
        <v/>
      </c>
      <c r="F18" s="269" t="str">
        <f>IF($E$6='Lookup Tables Options'!$D$4,'Lookup Tables Options'!F14,IF($E$6='Lookup Tables Options'!$D$52,'Lookup Tables Options'!F62,IF($E$6='Lookup Tables Options'!$D$100,'Lookup Tables Options'!F110,IF($E$6='Lookup Tables Options'!$D$148,'Lookup Tables Options'!F158,IF($E$6='Lookup Tables Options'!$D$196,'Lookup Tables Options'!F206,"")))))</f>
        <v/>
      </c>
      <c r="G18" s="268" t="str">
        <f>IF($E$6='Lookup Tables Options'!$D$4,'Lookup Tables Options'!G14,IF($E$6='Lookup Tables Options'!$D$52,'Lookup Tables Options'!G62,IF($E$6='Lookup Tables Options'!$D$100,'Lookup Tables Options'!G110,IF($E$6='Lookup Tables Options'!$D$148,'Lookup Tables Options'!G158,IF($E$6='Lookup Tables Options'!$D$196,'Lookup Tables Options'!G206,"")))))</f>
        <v/>
      </c>
      <c r="H18" s="270" t="str">
        <f>IF($E$6='Lookup Tables Options'!$D$4,'Lookup Tables Options'!H14,IF($E$6='Lookup Tables Options'!$D$52,'Lookup Tables Options'!H62,IF($E$6='Lookup Tables Options'!$D$100,'Lookup Tables Options'!H110,IF($E$6='Lookup Tables Options'!$D$148,'Lookup Tables Options'!H158,IF($E$6='Lookup Tables Options'!$D$196,'Lookup Tables Options'!H206,"")))))</f>
        <v/>
      </c>
      <c r="I18" s="270" t="str">
        <f>IF($E$6='Lookup Tables Options'!$D$4,'Lookup Tables Options'!I14,IF($E$6='Lookup Tables Options'!$D$52,'Lookup Tables Options'!I62,IF($E$6='Lookup Tables Options'!$D$100,'Lookup Tables Options'!I110,IF($E$6='Lookup Tables Options'!$D$148,'Lookup Tables Options'!I158,IF($E$6='Lookup Tables Options'!$D$196,'Lookup Tables Options'!I206,"")))))</f>
        <v/>
      </c>
      <c r="J18" s="268" t="str">
        <f>IF($E$6='Lookup Tables Options'!$D$4,'Lookup Tables Options'!J14,IF($E$6='Lookup Tables Options'!$D$52,'Lookup Tables Options'!J62,IF($E$6='Lookup Tables Options'!$D$100,'Lookup Tables Options'!J110,IF($E$6='Lookup Tables Options'!$D$148,'Lookup Tables Options'!J158,IF($E$6='Lookup Tables Options'!$D$196,'Lookup Tables Options'!J206,"")))))</f>
        <v/>
      </c>
      <c r="K18" s="270" t="str">
        <f>IF($E$6='Lookup Tables Options'!$D$4,'Lookup Tables Options'!K14,IF($E$6='Lookup Tables Options'!$D$52,'Lookup Tables Options'!K62,IF($E$6='Lookup Tables Options'!$D$100,'Lookup Tables Options'!K110,IF($E$6='Lookup Tables Options'!$D$148,'Lookup Tables Options'!K158,IF($E$6='Lookup Tables Options'!$D$196,'Lookup Tables Options'!K206,"")))))</f>
        <v/>
      </c>
      <c r="L18" s="270" t="str">
        <f>IF($E$6='Lookup Tables Options'!$D$4,'Lookup Tables Options'!L14,IF($E$6='Lookup Tables Options'!$D$52,'Lookup Tables Options'!L62,IF($E$6='Lookup Tables Options'!$D$100,'Lookup Tables Options'!L110,IF($E$6='Lookup Tables Options'!$D$148,'Lookup Tables Options'!L158,IF($E$6='Lookup Tables Options'!$D$196,'Lookup Tables Options'!L206,"")))))</f>
        <v/>
      </c>
      <c r="M18" s="270" t="str">
        <f>IF($E$6='Lookup Tables Options'!$D$4,'Lookup Tables Options'!M14,IF($E$6='Lookup Tables Options'!$D$52,'Lookup Tables Options'!M62,IF($E$6='Lookup Tables Options'!$D$100,'Lookup Tables Options'!M110,IF($E$6='Lookup Tables Options'!$D$148,'Lookup Tables Options'!M158,IF($E$6='Lookup Tables Options'!$D$196,'Lookup Tables Options'!M206,"")))))</f>
        <v/>
      </c>
      <c r="N18" s="270" t="str">
        <f>IF($E$6='Lookup Tables Options'!$D$4,'Lookup Tables Options'!N14,IF($E$6='Lookup Tables Options'!$D$52,'Lookup Tables Options'!N62,IF($E$6='Lookup Tables Options'!$D$100,'Lookup Tables Options'!N110,IF($E$6='Lookup Tables Options'!$D$148,'Lookup Tables Options'!N158,IF($E$6='Lookup Tables Options'!$D$196,'Lookup Tables Options'!N206,"")))))</f>
        <v/>
      </c>
      <c r="O18" s="270" t="str">
        <f>IF($E$6='Lookup Tables Options'!$D$4,'Lookup Tables Options'!O14,IF($E$6='Lookup Tables Options'!$D$52,'Lookup Tables Options'!O62,IF($E$6='Lookup Tables Options'!$D$100,'Lookup Tables Options'!O110,IF($E$6='Lookup Tables Options'!$D$148,'Lookup Tables Options'!O158,IF($E$6='Lookup Tables Options'!$D$196,'Lookup Tables Options'!O206,"")))))</f>
        <v/>
      </c>
      <c r="P18" s="270" t="str">
        <f>IF($E$6='Lookup Tables Options'!$D$4,'Lookup Tables Options'!P14,IF($E$6='Lookup Tables Options'!$D$52,'Lookup Tables Options'!P62,IF($E$6='Lookup Tables Options'!$D$100,'Lookup Tables Options'!P110,IF($E$6='Lookup Tables Options'!$D$148,'Lookup Tables Options'!P158,IF($E$6='Lookup Tables Options'!$D$196,'Lookup Tables Options'!P206,"")))))</f>
        <v/>
      </c>
      <c r="Q18" s="270" t="str">
        <f>IF($E$6='Lookup Tables Options'!$D$4,'Lookup Tables Options'!Q14,IF($E$6='Lookup Tables Options'!$D$52,'Lookup Tables Options'!Q62,IF($E$6='Lookup Tables Options'!$D$100,'Lookup Tables Options'!Q110,IF($E$6='Lookup Tables Options'!$D$148,'Lookup Tables Options'!Q158,IF($E$6='Lookup Tables Options'!$D$196,'Lookup Tables Options'!Q206,"")))))</f>
        <v/>
      </c>
      <c r="R18" s="270" t="str">
        <f>IF($E$6='Lookup Tables Options'!$D$4,'Lookup Tables Options'!R14,IF($E$6='Lookup Tables Options'!$D$52,'Lookup Tables Options'!R62,IF($E$6='Lookup Tables Options'!$D$100,'Lookup Tables Options'!R110,IF($E$6='Lookup Tables Options'!$D$148,'Lookup Tables Options'!R158,IF($E$6='Lookup Tables Options'!$D$196,'Lookup Tables Options'!R206,"")))))</f>
        <v/>
      </c>
      <c r="S18" s="269" t="str">
        <f>IF($E$6='Lookup Tables Options'!$D$4,'Lookup Tables Options'!S14,IF($E$6='Lookup Tables Options'!$D$52,'Lookup Tables Options'!S62,IF($E$6='Lookup Tables Options'!$D$100,'Lookup Tables Options'!S110,IF($E$6='Lookup Tables Options'!$D$148,'Lookup Tables Options'!S158,IF($E$6='Lookup Tables Options'!$D$196,'Lookup Tables Options'!S206,"")))))</f>
        <v/>
      </c>
      <c r="T18" s="268" t="str">
        <f>IF($E$6='Lookup Tables Options'!$D$4,'Lookup Tables Options'!T14,IF($E$6='Lookup Tables Options'!$D$52,'Lookup Tables Options'!T62,IF($E$6='Lookup Tables Options'!$D$100,'Lookup Tables Options'!T110,IF($E$6='Lookup Tables Options'!$D$148,'Lookup Tables Options'!T158,IF($E$6='Lookup Tables Options'!$D$196,'Lookup Tables Options'!T206,"")))))</f>
        <v/>
      </c>
      <c r="U18" s="270" t="str">
        <f>IF($E$6='Lookup Tables Options'!$D$4,'Lookup Tables Options'!U14,IF($E$6='Lookup Tables Options'!$D$52,'Lookup Tables Options'!U62,IF($E$6='Lookup Tables Options'!$D$100,'Lookup Tables Options'!U110,IF($E$6='Lookup Tables Options'!$D$148,'Lookup Tables Options'!U158,IF($E$6='Lookup Tables Options'!$D$196,'Lookup Tables Options'!U206,"")))))</f>
        <v/>
      </c>
      <c r="V18" s="270" t="str">
        <f>IF($E$6='Lookup Tables Options'!$D$4,'Lookup Tables Options'!V14,IF($E$6='Lookup Tables Options'!$D$52,'Lookup Tables Options'!V62,IF($E$6='Lookup Tables Options'!$D$100,'Lookup Tables Options'!V110,IF($E$6='Lookup Tables Options'!$D$148,'Lookup Tables Options'!V158,IF($E$6='Lookup Tables Options'!$D$196,'Lookup Tables Options'!V206,"")))))</f>
        <v/>
      </c>
      <c r="W18" s="270" t="str">
        <f>IF($E$6='Lookup Tables Options'!$D$4,'Lookup Tables Options'!W14,IF($E$6='Lookup Tables Options'!$D$52,'Lookup Tables Options'!W62,IF($E$6='Lookup Tables Options'!$D$100,'Lookup Tables Options'!W110,IF($E$6='Lookup Tables Options'!$D$148,'Lookup Tables Options'!W158,IF($E$6='Lookup Tables Options'!$D$196,'Lookup Tables Options'!W206,"")))))</f>
        <v/>
      </c>
      <c r="X18" s="270" t="str">
        <f>IF($E$6='Lookup Tables Options'!$D$4,'Lookup Tables Options'!X14,IF($E$6='Lookup Tables Options'!$D$52,'Lookup Tables Options'!X62,IF($E$6='Lookup Tables Options'!$D$100,'Lookup Tables Options'!X110,IF($E$6='Lookup Tables Options'!$D$148,'Lookup Tables Options'!X158,IF($E$6='Lookup Tables Options'!$D$196,'Lookup Tables Options'!X206,"")))))</f>
        <v/>
      </c>
      <c r="Y18" s="270" t="str">
        <f>IF($E$6='Lookup Tables Options'!$D$4,'Lookup Tables Options'!Y14,IF($E$6='Lookup Tables Options'!$D$52,'Lookup Tables Options'!Y62,IF($E$6='Lookup Tables Options'!$D$100,'Lookup Tables Options'!Y110,IF($E$6='Lookup Tables Options'!$D$148,'Lookup Tables Options'!Y158,IF($E$6='Lookup Tables Options'!$D$196,'Lookup Tables Options'!Y206,"")))))</f>
        <v/>
      </c>
      <c r="Z18" s="270" t="str">
        <f>IF($E$6='Lookup Tables Options'!$D$4,'Lookup Tables Options'!Z14,IF($E$6='Lookup Tables Options'!$D$52,'Lookup Tables Options'!Z62,IF($E$6='Lookup Tables Options'!$D$100,'Lookup Tables Options'!Z110,IF($E$6='Lookup Tables Options'!$D$148,'Lookup Tables Options'!Z158,IF($E$6='Lookup Tables Options'!$D$196,'Lookup Tables Options'!Z206,"")))))</f>
        <v/>
      </c>
      <c r="AA18" s="270" t="str">
        <f>IF($E$6='Lookup Tables Options'!$D$4,'Lookup Tables Options'!AA14,IF($E$6='Lookup Tables Options'!$D$52,'Lookup Tables Options'!AA62,IF($E$6='Lookup Tables Options'!$D$100,'Lookup Tables Options'!AA110,IF($E$6='Lookup Tables Options'!$D$148,'Lookup Tables Options'!AA158,IF($E$6='Lookup Tables Options'!$D$196,'Lookup Tables Options'!AA206,"")))))</f>
        <v/>
      </c>
      <c r="AB18" s="270" t="str">
        <f>IF($E$6='Lookup Tables Options'!$D$4,'Lookup Tables Options'!AB14,IF($E$6='Lookup Tables Options'!$D$52,'Lookup Tables Options'!AB62,IF($E$6='Lookup Tables Options'!$D$100,'Lookup Tables Options'!AB110,IF($E$6='Lookup Tables Options'!$D$148,'Lookup Tables Options'!AB158,IF($E$6='Lookup Tables Options'!$D$196,'Lookup Tables Options'!AB206,"")))))</f>
        <v/>
      </c>
      <c r="AC18" s="270" t="str">
        <f>IF($E$6='Lookup Tables Options'!$D$4,'Lookup Tables Options'!AC14,IF($E$6='Lookup Tables Options'!$D$52,'Lookup Tables Options'!AC62,IF($E$6='Lookup Tables Options'!$D$100,'Lookup Tables Options'!AC110,IF($E$6='Lookup Tables Options'!$D$148,'Lookup Tables Options'!AC158,IF($E$6='Lookup Tables Options'!$D$196,'Lookup Tables Options'!AC206,"")))))</f>
        <v/>
      </c>
      <c r="AD18" s="268" t="str">
        <f>IF($E$6='Lookup Tables Options'!$D$4,'Lookup Tables Options'!AD14,IF($E$6='Lookup Tables Options'!$D$52,'Lookup Tables Options'!AD62,IF($E$6='Lookup Tables Options'!$D$100,'Lookup Tables Options'!AD110,IF($E$6='Lookup Tables Options'!$D$148,'Lookup Tables Options'!AD158,IF($E$6='Lookup Tables Options'!$D$196,'Lookup Tables Options'!AD206,"")))))</f>
        <v/>
      </c>
      <c r="AE18" s="270" t="str">
        <f>IF($E$6='Lookup Tables Options'!$D$4,'Lookup Tables Options'!AE14,IF($E$6='Lookup Tables Options'!$D$52,'Lookup Tables Options'!AE62,IF($E$6='Lookup Tables Options'!$D$100,'Lookup Tables Options'!AE110,IF($E$6='Lookup Tables Options'!$D$148,'Lookup Tables Options'!AE158,IF($E$6='Lookup Tables Options'!$D$196,'Lookup Tables Options'!AE206,"")))))</f>
        <v/>
      </c>
      <c r="AF18" s="270" t="str">
        <f>IF($E$6='Lookup Tables Options'!$D$4,'Lookup Tables Options'!AF14,IF($E$6='Lookup Tables Options'!$D$52,'Lookup Tables Options'!AF62,IF($E$6='Lookup Tables Options'!$D$100,'Lookup Tables Options'!AF110,IF($E$6='Lookup Tables Options'!$D$148,'Lookup Tables Options'!AF158,IF($E$6='Lookup Tables Options'!$D$196,'Lookup Tables Options'!AF206,"")))))</f>
        <v/>
      </c>
      <c r="AG18" s="270" t="str">
        <f>IF($E$6='Lookup Tables Options'!$D$4,'Lookup Tables Options'!AG14,IF($E$6='Lookup Tables Options'!$D$52,'Lookup Tables Options'!AG62,IF($E$6='Lookup Tables Options'!$D$100,'Lookup Tables Options'!AG110,IF($E$6='Lookup Tables Options'!$D$148,'Lookup Tables Options'!AG158,IF($E$6='Lookup Tables Options'!$D$196,'Lookup Tables Options'!AG206,"")))))</f>
        <v/>
      </c>
      <c r="AH18" s="270" t="str">
        <f>IF($E$6='Lookup Tables Options'!$D$4,'Lookup Tables Options'!AH14,IF($E$6='Lookup Tables Options'!$D$52,'Lookup Tables Options'!AH62,IF($E$6='Lookup Tables Options'!$D$100,'Lookup Tables Options'!AH110,IF($E$6='Lookup Tables Options'!$D$148,'Lookup Tables Options'!AH158,IF($E$6='Lookup Tables Options'!$D$196,'Lookup Tables Options'!AH206,"")))))</f>
        <v/>
      </c>
      <c r="AI18" s="270" t="str">
        <f>IF($E$6='Lookup Tables Options'!$D$4,'Lookup Tables Options'!AI14,IF($E$6='Lookup Tables Options'!$D$52,'Lookup Tables Options'!AI62,IF($E$6='Lookup Tables Options'!$D$100,'Lookup Tables Options'!AI110,IF($E$6='Lookup Tables Options'!$D$148,'Lookup Tables Options'!AI158,IF($E$6='Lookup Tables Options'!$D$196,'Lookup Tables Options'!AI206,"")))))</f>
        <v/>
      </c>
      <c r="AJ18" s="270" t="str">
        <f>IF($E$6='Lookup Tables Options'!$D$4,'Lookup Tables Options'!AJ14,IF($E$6='Lookup Tables Options'!$D$52,'Lookup Tables Options'!AJ62,IF($E$6='Lookup Tables Options'!$D$100,'Lookup Tables Options'!AJ110,IF($E$6='Lookup Tables Options'!$D$148,'Lookup Tables Options'!AJ158,IF($E$6='Lookup Tables Options'!$D$196,'Lookup Tables Options'!AJ206,"")))))</f>
        <v/>
      </c>
      <c r="AK18" s="270" t="str">
        <f>IF($E$6='Lookup Tables Options'!$D$4,'Lookup Tables Options'!AK14,IF($E$6='Lookup Tables Options'!$D$52,'Lookup Tables Options'!AK62,IF($E$6='Lookup Tables Options'!$D$100,'Lookup Tables Options'!AK110,IF($E$6='Lookup Tables Options'!$D$148,'Lookup Tables Options'!AK158,IF($E$6='Lookup Tables Options'!$D$196,'Lookup Tables Options'!AK206,"")))))</f>
        <v/>
      </c>
      <c r="AL18" s="270" t="str">
        <f>IF($E$6='Lookup Tables Options'!$D$4,'Lookup Tables Options'!AL14,IF($E$6='Lookup Tables Options'!$D$52,'Lookup Tables Options'!AL62,IF($E$6='Lookup Tables Options'!$D$100,'Lookup Tables Options'!AL110,IF($E$6='Lookup Tables Options'!$D$148,'Lookup Tables Options'!AL158,IF($E$6='Lookup Tables Options'!$D$196,'Lookup Tables Options'!AL206,"")))))</f>
        <v/>
      </c>
      <c r="AM18" s="269" t="str">
        <f>IF($E$6='Lookup Tables Options'!$D$4,'Lookup Tables Options'!AM14,IF($E$6='Lookup Tables Options'!$D$52,'Lookup Tables Options'!AM62,IF($E$6='Lookup Tables Options'!$D$100,'Lookup Tables Options'!AM110,IF($E$6='Lookup Tables Options'!$D$148,'Lookup Tables Options'!AM158,IF($E$6='Lookup Tables Options'!$D$196,'Lookup Tables Options'!AM206,"")))))</f>
        <v/>
      </c>
    </row>
    <row r="19" spans="4:39" ht="15.6">
      <c r="D19" s="267">
        <v>6</v>
      </c>
      <c r="E19" s="268" t="str">
        <f>IF($E$6='Lookup Tables Options'!$D$4,'Lookup Tables Options'!E15,IF($E$6='Lookup Tables Options'!$D$52,'Lookup Tables Options'!E63,IF($E$6='Lookup Tables Options'!$D$100,'Lookup Tables Options'!E111,IF($E$6='Lookup Tables Options'!$D$148,'Lookup Tables Options'!E159,IF($E$6='Lookup Tables Options'!$D$196,'Lookup Tables Options'!E207,"")))))</f>
        <v/>
      </c>
      <c r="F19" s="269" t="str">
        <f>IF($E$6='Lookup Tables Options'!$D$4,'Lookup Tables Options'!F15,IF($E$6='Lookup Tables Options'!$D$52,'Lookup Tables Options'!F63,IF($E$6='Lookup Tables Options'!$D$100,'Lookup Tables Options'!F111,IF($E$6='Lookup Tables Options'!$D$148,'Lookup Tables Options'!F159,IF($E$6='Lookup Tables Options'!$D$196,'Lookup Tables Options'!F207,"")))))</f>
        <v/>
      </c>
      <c r="G19" s="268" t="str">
        <f>IF($E$6='Lookup Tables Options'!$D$4,'Lookup Tables Options'!G15,IF($E$6='Lookup Tables Options'!$D$52,'Lookup Tables Options'!G63,IF($E$6='Lookup Tables Options'!$D$100,'Lookup Tables Options'!G111,IF($E$6='Lookup Tables Options'!$D$148,'Lookup Tables Options'!G159,IF($E$6='Lookup Tables Options'!$D$196,'Lookup Tables Options'!G207,"")))))</f>
        <v/>
      </c>
      <c r="H19" s="270" t="str">
        <f>IF($E$6='Lookup Tables Options'!$D$4,'Lookup Tables Options'!H15,IF($E$6='Lookup Tables Options'!$D$52,'Lookup Tables Options'!H63,IF($E$6='Lookup Tables Options'!$D$100,'Lookup Tables Options'!H111,IF($E$6='Lookup Tables Options'!$D$148,'Lookup Tables Options'!H159,IF($E$6='Lookup Tables Options'!$D$196,'Lookup Tables Options'!H207,"")))))</f>
        <v/>
      </c>
      <c r="I19" s="270" t="str">
        <f>IF($E$6='Lookup Tables Options'!$D$4,'Lookup Tables Options'!I15,IF($E$6='Lookup Tables Options'!$D$52,'Lookup Tables Options'!I63,IF($E$6='Lookup Tables Options'!$D$100,'Lookup Tables Options'!I111,IF($E$6='Lookup Tables Options'!$D$148,'Lookup Tables Options'!I159,IF($E$6='Lookup Tables Options'!$D$196,'Lookup Tables Options'!I207,"")))))</f>
        <v/>
      </c>
      <c r="J19" s="268" t="str">
        <f>IF($E$6='Lookup Tables Options'!$D$4,'Lookup Tables Options'!J15,IF($E$6='Lookup Tables Options'!$D$52,'Lookup Tables Options'!J63,IF($E$6='Lookup Tables Options'!$D$100,'Lookup Tables Options'!J111,IF($E$6='Lookup Tables Options'!$D$148,'Lookup Tables Options'!J159,IF($E$6='Lookup Tables Options'!$D$196,'Lookup Tables Options'!J207,"")))))</f>
        <v/>
      </c>
      <c r="K19" s="270" t="str">
        <f>IF($E$6='Lookup Tables Options'!$D$4,'Lookup Tables Options'!K15,IF($E$6='Lookup Tables Options'!$D$52,'Lookup Tables Options'!K63,IF($E$6='Lookup Tables Options'!$D$100,'Lookup Tables Options'!K111,IF($E$6='Lookup Tables Options'!$D$148,'Lookup Tables Options'!K159,IF($E$6='Lookup Tables Options'!$D$196,'Lookup Tables Options'!K207,"")))))</f>
        <v/>
      </c>
      <c r="L19" s="270" t="str">
        <f>IF($E$6='Lookup Tables Options'!$D$4,'Lookup Tables Options'!L15,IF($E$6='Lookup Tables Options'!$D$52,'Lookup Tables Options'!L63,IF($E$6='Lookup Tables Options'!$D$100,'Lookup Tables Options'!L111,IF($E$6='Lookup Tables Options'!$D$148,'Lookup Tables Options'!L159,IF($E$6='Lookup Tables Options'!$D$196,'Lookup Tables Options'!L207,"")))))</f>
        <v/>
      </c>
      <c r="M19" s="270" t="str">
        <f>IF($E$6='Lookup Tables Options'!$D$4,'Lookup Tables Options'!M15,IF($E$6='Lookup Tables Options'!$D$52,'Lookup Tables Options'!M63,IF($E$6='Lookup Tables Options'!$D$100,'Lookup Tables Options'!M111,IF($E$6='Lookup Tables Options'!$D$148,'Lookup Tables Options'!M159,IF($E$6='Lookup Tables Options'!$D$196,'Lookup Tables Options'!M207,"")))))</f>
        <v/>
      </c>
      <c r="N19" s="270" t="str">
        <f>IF($E$6='Lookup Tables Options'!$D$4,'Lookup Tables Options'!N15,IF($E$6='Lookup Tables Options'!$D$52,'Lookup Tables Options'!N63,IF($E$6='Lookup Tables Options'!$D$100,'Lookup Tables Options'!N111,IF($E$6='Lookup Tables Options'!$D$148,'Lookup Tables Options'!N159,IF($E$6='Lookup Tables Options'!$D$196,'Lookup Tables Options'!N207,"")))))</f>
        <v/>
      </c>
      <c r="O19" s="270" t="str">
        <f>IF($E$6='Lookup Tables Options'!$D$4,'Lookup Tables Options'!O15,IF($E$6='Lookup Tables Options'!$D$52,'Lookup Tables Options'!O63,IF($E$6='Lookup Tables Options'!$D$100,'Lookup Tables Options'!O111,IF($E$6='Lookup Tables Options'!$D$148,'Lookup Tables Options'!O159,IF($E$6='Lookup Tables Options'!$D$196,'Lookup Tables Options'!O207,"")))))</f>
        <v/>
      </c>
      <c r="P19" s="270" t="str">
        <f>IF($E$6='Lookup Tables Options'!$D$4,'Lookup Tables Options'!P15,IF($E$6='Lookup Tables Options'!$D$52,'Lookup Tables Options'!P63,IF($E$6='Lookup Tables Options'!$D$100,'Lookup Tables Options'!P111,IF($E$6='Lookup Tables Options'!$D$148,'Lookup Tables Options'!P159,IF($E$6='Lookup Tables Options'!$D$196,'Lookup Tables Options'!P207,"")))))</f>
        <v/>
      </c>
      <c r="Q19" s="270" t="str">
        <f>IF($E$6='Lookup Tables Options'!$D$4,'Lookup Tables Options'!Q15,IF($E$6='Lookup Tables Options'!$D$52,'Lookup Tables Options'!Q63,IF($E$6='Lookup Tables Options'!$D$100,'Lookup Tables Options'!Q111,IF($E$6='Lookup Tables Options'!$D$148,'Lookup Tables Options'!Q159,IF($E$6='Lookup Tables Options'!$D$196,'Lookup Tables Options'!Q207,"")))))</f>
        <v/>
      </c>
      <c r="R19" s="270" t="str">
        <f>IF($E$6='Lookup Tables Options'!$D$4,'Lookup Tables Options'!R15,IF($E$6='Lookup Tables Options'!$D$52,'Lookup Tables Options'!R63,IF($E$6='Lookup Tables Options'!$D$100,'Lookup Tables Options'!R111,IF($E$6='Lookup Tables Options'!$D$148,'Lookup Tables Options'!R159,IF($E$6='Lookup Tables Options'!$D$196,'Lookup Tables Options'!R207,"")))))</f>
        <v/>
      </c>
      <c r="S19" s="269" t="str">
        <f>IF($E$6='Lookup Tables Options'!$D$4,'Lookup Tables Options'!S15,IF($E$6='Lookup Tables Options'!$D$52,'Lookup Tables Options'!S63,IF($E$6='Lookup Tables Options'!$D$100,'Lookup Tables Options'!S111,IF($E$6='Lookup Tables Options'!$D$148,'Lookup Tables Options'!S159,IF($E$6='Lookup Tables Options'!$D$196,'Lookup Tables Options'!S207,"")))))</f>
        <v/>
      </c>
      <c r="T19" s="268" t="str">
        <f>IF($E$6='Lookup Tables Options'!$D$4,'Lookup Tables Options'!T15,IF($E$6='Lookup Tables Options'!$D$52,'Lookup Tables Options'!T63,IF($E$6='Lookup Tables Options'!$D$100,'Lookup Tables Options'!T111,IF($E$6='Lookup Tables Options'!$D$148,'Lookup Tables Options'!T159,IF($E$6='Lookup Tables Options'!$D$196,'Lookup Tables Options'!T207,"")))))</f>
        <v/>
      </c>
      <c r="U19" s="270" t="str">
        <f>IF($E$6='Lookup Tables Options'!$D$4,'Lookup Tables Options'!U15,IF($E$6='Lookup Tables Options'!$D$52,'Lookup Tables Options'!U63,IF($E$6='Lookup Tables Options'!$D$100,'Lookup Tables Options'!U111,IF($E$6='Lookup Tables Options'!$D$148,'Lookup Tables Options'!U159,IF($E$6='Lookup Tables Options'!$D$196,'Lookup Tables Options'!U207,"")))))</f>
        <v/>
      </c>
      <c r="V19" s="270" t="str">
        <f>IF($E$6='Lookup Tables Options'!$D$4,'Lookup Tables Options'!V15,IF($E$6='Lookup Tables Options'!$D$52,'Lookup Tables Options'!V63,IF($E$6='Lookup Tables Options'!$D$100,'Lookup Tables Options'!V111,IF($E$6='Lookup Tables Options'!$D$148,'Lookup Tables Options'!V159,IF($E$6='Lookup Tables Options'!$D$196,'Lookup Tables Options'!V207,"")))))</f>
        <v/>
      </c>
      <c r="W19" s="270" t="str">
        <f>IF($E$6='Lookup Tables Options'!$D$4,'Lookup Tables Options'!W15,IF($E$6='Lookup Tables Options'!$D$52,'Lookup Tables Options'!W63,IF($E$6='Lookup Tables Options'!$D$100,'Lookup Tables Options'!W111,IF($E$6='Lookup Tables Options'!$D$148,'Lookup Tables Options'!W159,IF($E$6='Lookup Tables Options'!$D$196,'Lookup Tables Options'!W207,"")))))</f>
        <v/>
      </c>
      <c r="X19" s="270" t="str">
        <f>IF($E$6='Lookup Tables Options'!$D$4,'Lookup Tables Options'!X15,IF($E$6='Lookup Tables Options'!$D$52,'Lookup Tables Options'!X63,IF($E$6='Lookup Tables Options'!$D$100,'Lookup Tables Options'!X111,IF($E$6='Lookup Tables Options'!$D$148,'Lookup Tables Options'!X159,IF($E$6='Lookup Tables Options'!$D$196,'Lookup Tables Options'!X207,"")))))</f>
        <v/>
      </c>
      <c r="Y19" s="270" t="str">
        <f>IF($E$6='Lookup Tables Options'!$D$4,'Lookup Tables Options'!Y15,IF($E$6='Lookup Tables Options'!$D$52,'Lookup Tables Options'!Y63,IF($E$6='Lookup Tables Options'!$D$100,'Lookup Tables Options'!Y111,IF($E$6='Lookup Tables Options'!$D$148,'Lookup Tables Options'!Y159,IF($E$6='Lookup Tables Options'!$D$196,'Lookup Tables Options'!Y207,"")))))</f>
        <v/>
      </c>
      <c r="Z19" s="270" t="str">
        <f>IF($E$6='Lookup Tables Options'!$D$4,'Lookup Tables Options'!Z15,IF($E$6='Lookup Tables Options'!$D$52,'Lookup Tables Options'!Z63,IF($E$6='Lookup Tables Options'!$D$100,'Lookup Tables Options'!Z111,IF($E$6='Lookup Tables Options'!$D$148,'Lookup Tables Options'!Z159,IF($E$6='Lookup Tables Options'!$D$196,'Lookup Tables Options'!Z207,"")))))</f>
        <v/>
      </c>
      <c r="AA19" s="270" t="str">
        <f>IF($E$6='Lookup Tables Options'!$D$4,'Lookup Tables Options'!AA15,IF($E$6='Lookup Tables Options'!$D$52,'Lookup Tables Options'!AA63,IF($E$6='Lookup Tables Options'!$D$100,'Lookup Tables Options'!AA111,IF($E$6='Lookup Tables Options'!$D$148,'Lookup Tables Options'!AA159,IF($E$6='Lookup Tables Options'!$D$196,'Lookup Tables Options'!AA207,"")))))</f>
        <v/>
      </c>
      <c r="AB19" s="270" t="str">
        <f>IF($E$6='Lookup Tables Options'!$D$4,'Lookup Tables Options'!AB15,IF($E$6='Lookup Tables Options'!$D$52,'Lookup Tables Options'!AB63,IF($E$6='Lookup Tables Options'!$D$100,'Lookup Tables Options'!AB111,IF($E$6='Lookup Tables Options'!$D$148,'Lookup Tables Options'!AB159,IF($E$6='Lookup Tables Options'!$D$196,'Lookup Tables Options'!AB207,"")))))</f>
        <v/>
      </c>
      <c r="AC19" s="270" t="str">
        <f>IF($E$6='Lookup Tables Options'!$D$4,'Lookup Tables Options'!AC15,IF($E$6='Lookup Tables Options'!$D$52,'Lookup Tables Options'!AC63,IF($E$6='Lookup Tables Options'!$D$100,'Lookup Tables Options'!AC111,IF($E$6='Lookup Tables Options'!$D$148,'Lookup Tables Options'!AC159,IF($E$6='Lookup Tables Options'!$D$196,'Lookup Tables Options'!AC207,"")))))</f>
        <v/>
      </c>
      <c r="AD19" s="268" t="str">
        <f>IF($E$6='Lookup Tables Options'!$D$4,'Lookup Tables Options'!AD15,IF($E$6='Lookup Tables Options'!$D$52,'Lookup Tables Options'!AD63,IF($E$6='Lookup Tables Options'!$D$100,'Lookup Tables Options'!AD111,IF($E$6='Lookup Tables Options'!$D$148,'Lookup Tables Options'!AD159,IF($E$6='Lookup Tables Options'!$D$196,'Lookup Tables Options'!AD207,"")))))</f>
        <v/>
      </c>
      <c r="AE19" s="270" t="str">
        <f>IF($E$6='Lookup Tables Options'!$D$4,'Lookup Tables Options'!AE15,IF($E$6='Lookup Tables Options'!$D$52,'Lookup Tables Options'!AE63,IF($E$6='Lookup Tables Options'!$D$100,'Lookup Tables Options'!AE111,IF($E$6='Lookup Tables Options'!$D$148,'Lookup Tables Options'!AE159,IF($E$6='Lookup Tables Options'!$D$196,'Lookup Tables Options'!AE207,"")))))</f>
        <v/>
      </c>
      <c r="AF19" s="270" t="str">
        <f>IF($E$6='Lookup Tables Options'!$D$4,'Lookup Tables Options'!AF15,IF($E$6='Lookup Tables Options'!$D$52,'Lookup Tables Options'!AF63,IF($E$6='Lookup Tables Options'!$D$100,'Lookup Tables Options'!AF111,IF($E$6='Lookup Tables Options'!$D$148,'Lookup Tables Options'!AF159,IF($E$6='Lookup Tables Options'!$D$196,'Lookup Tables Options'!AF207,"")))))</f>
        <v/>
      </c>
      <c r="AG19" s="270" t="str">
        <f>IF($E$6='Lookup Tables Options'!$D$4,'Lookup Tables Options'!AG15,IF($E$6='Lookup Tables Options'!$D$52,'Lookup Tables Options'!AG63,IF($E$6='Lookup Tables Options'!$D$100,'Lookup Tables Options'!AG111,IF($E$6='Lookup Tables Options'!$D$148,'Lookup Tables Options'!AG159,IF($E$6='Lookup Tables Options'!$D$196,'Lookup Tables Options'!AG207,"")))))</f>
        <v/>
      </c>
      <c r="AH19" s="270" t="str">
        <f>IF($E$6='Lookup Tables Options'!$D$4,'Lookup Tables Options'!AH15,IF($E$6='Lookup Tables Options'!$D$52,'Lookup Tables Options'!AH63,IF($E$6='Lookup Tables Options'!$D$100,'Lookup Tables Options'!AH111,IF($E$6='Lookup Tables Options'!$D$148,'Lookup Tables Options'!AH159,IF($E$6='Lookup Tables Options'!$D$196,'Lookup Tables Options'!AH207,"")))))</f>
        <v/>
      </c>
      <c r="AI19" s="270" t="str">
        <f>IF($E$6='Lookup Tables Options'!$D$4,'Lookup Tables Options'!AI15,IF($E$6='Lookup Tables Options'!$D$52,'Lookup Tables Options'!AI63,IF($E$6='Lookup Tables Options'!$D$100,'Lookup Tables Options'!AI111,IF($E$6='Lookup Tables Options'!$D$148,'Lookup Tables Options'!AI159,IF($E$6='Lookup Tables Options'!$D$196,'Lookup Tables Options'!AI207,"")))))</f>
        <v/>
      </c>
      <c r="AJ19" s="270" t="str">
        <f>IF($E$6='Lookup Tables Options'!$D$4,'Lookup Tables Options'!AJ15,IF($E$6='Lookup Tables Options'!$D$52,'Lookup Tables Options'!AJ63,IF($E$6='Lookup Tables Options'!$D$100,'Lookup Tables Options'!AJ111,IF($E$6='Lookup Tables Options'!$D$148,'Lookup Tables Options'!AJ159,IF($E$6='Lookup Tables Options'!$D$196,'Lookup Tables Options'!AJ207,"")))))</f>
        <v/>
      </c>
      <c r="AK19" s="270" t="str">
        <f>IF($E$6='Lookup Tables Options'!$D$4,'Lookup Tables Options'!AK15,IF($E$6='Lookup Tables Options'!$D$52,'Lookup Tables Options'!AK63,IF($E$6='Lookup Tables Options'!$D$100,'Lookup Tables Options'!AK111,IF($E$6='Lookup Tables Options'!$D$148,'Lookup Tables Options'!AK159,IF($E$6='Lookup Tables Options'!$D$196,'Lookup Tables Options'!AK207,"")))))</f>
        <v/>
      </c>
      <c r="AL19" s="270" t="str">
        <f>IF($E$6='Lookup Tables Options'!$D$4,'Lookup Tables Options'!AL15,IF($E$6='Lookup Tables Options'!$D$52,'Lookup Tables Options'!AL63,IF($E$6='Lookup Tables Options'!$D$100,'Lookup Tables Options'!AL111,IF($E$6='Lookup Tables Options'!$D$148,'Lookup Tables Options'!AL159,IF($E$6='Lookup Tables Options'!$D$196,'Lookup Tables Options'!AL207,"")))))</f>
        <v/>
      </c>
      <c r="AM19" s="269" t="str">
        <f>IF($E$6='Lookup Tables Options'!$D$4,'Lookup Tables Options'!AM15,IF($E$6='Lookup Tables Options'!$D$52,'Lookup Tables Options'!AM63,IF($E$6='Lookup Tables Options'!$D$100,'Lookup Tables Options'!AM111,IF($E$6='Lookup Tables Options'!$D$148,'Lookup Tables Options'!AM159,IF($E$6='Lookup Tables Options'!$D$196,'Lookup Tables Options'!AM207,"")))))</f>
        <v/>
      </c>
    </row>
    <row r="20" spans="4:39" ht="15.6">
      <c r="D20" s="267">
        <v>7</v>
      </c>
      <c r="E20" s="268" t="str">
        <f>IF($E$6='Lookup Tables Options'!$D$4,'Lookup Tables Options'!E16,IF($E$6='Lookup Tables Options'!$D$52,'Lookup Tables Options'!E64,IF($E$6='Lookup Tables Options'!$D$100,'Lookup Tables Options'!E112,IF($E$6='Lookup Tables Options'!$D$148,'Lookup Tables Options'!E160,IF($E$6='Lookup Tables Options'!$D$196,'Lookup Tables Options'!E208,"")))))</f>
        <v/>
      </c>
      <c r="F20" s="269" t="str">
        <f>IF($E$6='Lookup Tables Options'!$D$4,'Lookup Tables Options'!F16,IF($E$6='Lookup Tables Options'!$D$52,'Lookup Tables Options'!F64,IF($E$6='Lookup Tables Options'!$D$100,'Lookup Tables Options'!F112,IF($E$6='Lookup Tables Options'!$D$148,'Lookup Tables Options'!F160,IF($E$6='Lookup Tables Options'!$D$196,'Lookup Tables Options'!F208,"")))))</f>
        <v/>
      </c>
      <c r="G20" s="268" t="str">
        <f>IF($E$6='Lookup Tables Options'!$D$4,'Lookup Tables Options'!G16,IF($E$6='Lookup Tables Options'!$D$52,'Lookup Tables Options'!G64,IF($E$6='Lookup Tables Options'!$D$100,'Lookup Tables Options'!G112,IF($E$6='Lookup Tables Options'!$D$148,'Lookup Tables Options'!G160,IF($E$6='Lookup Tables Options'!$D$196,'Lookup Tables Options'!G208,"")))))</f>
        <v/>
      </c>
      <c r="H20" s="270" t="str">
        <f>IF($E$6='Lookup Tables Options'!$D$4,'Lookup Tables Options'!H16,IF($E$6='Lookup Tables Options'!$D$52,'Lookup Tables Options'!H64,IF($E$6='Lookup Tables Options'!$D$100,'Lookup Tables Options'!H112,IF($E$6='Lookup Tables Options'!$D$148,'Lookup Tables Options'!H160,IF($E$6='Lookup Tables Options'!$D$196,'Lookup Tables Options'!H208,"")))))</f>
        <v/>
      </c>
      <c r="I20" s="270" t="str">
        <f>IF($E$6='Lookup Tables Options'!$D$4,'Lookup Tables Options'!I16,IF($E$6='Lookup Tables Options'!$D$52,'Lookup Tables Options'!I64,IF($E$6='Lookup Tables Options'!$D$100,'Lookup Tables Options'!I112,IF($E$6='Lookup Tables Options'!$D$148,'Lookup Tables Options'!I160,IF($E$6='Lookup Tables Options'!$D$196,'Lookup Tables Options'!I208,"")))))</f>
        <v/>
      </c>
      <c r="J20" s="268" t="str">
        <f>IF($E$6='Lookup Tables Options'!$D$4,'Lookup Tables Options'!J16,IF($E$6='Lookup Tables Options'!$D$52,'Lookup Tables Options'!J64,IF($E$6='Lookup Tables Options'!$D$100,'Lookup Tables Options'!J112,IF($E$6='Lookup Tables Options'!$D$148,'Lookup Tables Options'!J160,IF($E$6='Lookup Tables Options'!$D$196,'Lookup Tables Options'!J208,"")))))</f>
        <v/>
      </c>
      <c r="K20" s="270" t="str">
        <f>IF($E$6='Lookup Tables Options'!$D$4,'Lookup Tables Options'!K16,IF($E$6='Lookup Tables Options'!$D$52,'Lookup Tables Options'!K64,IF($E$6='Lookup Tables Options'!$D$100,'Lookup Tables Options'!K112,IF($E$6='Lookup Tables Options'!$D$148,'Lookup Tables Options'!K160,IF($E$6='Lookup Tables Options'!$D$196,'Lookup Tables Options'!K208,"")))))</f>
        <v/>
      </c>
      <c r="L20" s="270" t="str">
        <f>IF($E$6='Lookup Tables Options'!$D$4,'Lookup Tables Options'!L16,IF($E$6='Lookup Tables Options'!$D$52,'Lookup Tables Options'!L64,IF($E$6='Lookup Tables Options'!$D$100,'Lookup Tables Options'!L112,IF($E$6='Lookup Tables Options'!$D$148,'Lookup Tables Options'!L160,IF($E$6='Lookup Tables Options'!$D$196,'Lookup Tables Options'!L208,"")))))</f>
        <v/>
      </c>
      <c r="M20" s="270" t="str">
        <f>IF($E$6='Lookup Tables Options'!$D$4,'Lookup Tables Options'!M16,IF($E$6='Lookup Tables Options'!$D$52,'Lookup Tables Options'!M64,IF($E$6='Lookup Tables Options'!$D$100,'Lookup Tables Options'!M112,IF($E$6='Lookup Tables Options'!$D$148,'Lookup Tables Options'!M160,IF($E$6='Lookup Tables Options'!$D$196,'Lookup Tables Options'!M208,"")))))</f>
        <v/>
      </c>
      <c r="N20" s="270" t="str">
        <f>IF($E$6='Lookup Tables Options'!$D$4,'Lookup Tables Options'!N16,IF($E$6='Lookup Tables Options'!$D$52,'Lookup Tables Options'!N64,IF($E$6='Lookup Tables Options'!$D$100,'Lookup Tables Options'!N112,IF($E$6='Lookup Tables Options'!$D$148,'Lookup Tables Options'!N160,IF($E$6='Lookup Tables Options'!$D$196,'Lookup Tables Options'!N208,"")))))</f>
        <v/>
      </c>
      <c r="O20" s="270" t="str">
        <f>IF($E$6='Lookup Tables Options'!$D$4,'Lookup Tables Options'!O16,IF($E$6='Lookup Tables Options'!$D$52,'Lookup Tables Options'!O64,IF($E$6='Lookup Tables Options'!$D$100,'Lookup Tables Options'!O112,IF($E$6='Lookup Tables Options'!$D$148,'Lookup Tables Options'!O160,IF($E$6='Lookup Tables Options'!$D$196,'Lookup Tables Options'!O208,"")))))</f>
        <v/>
      </c>
      <c r="P20" s="270" t="str">
        <f>IF($E$6='Lookup Tables Options'!$D$4,'Lookup Tables Options'!P16,IF($E$6='Lookup Tables Options'!$D$52,'Lookup Tables Options'!P64,IF($E$6='Lookup Tables Options'!$D$100,'Lookup Tables Options'!P112,IF($E$6='Lookup Tables Options'!$D$148,'Lookup Tables Options'!P160,IF($E$6='Lookup Tables Options'!$D$196,'Lookup Tables Options'!P208,"")))))</f>
        <v/>
      </c>
      <c r="Q20" s="270" t="str">
        <f>IF($E$6='Lookup Tables Options'!$D$4,'Lookup Tables Options'!Q16,IF($E$6='Lookup Tables Options'!$D$52,'Lookup Tables Options'!Q64,IF($E$6='Lookup Tables Options'!$D$100,'Lookup Tables Options'!Q112,IF($E$6='Lookup Tables Options'!$D$148,'Lookup Tables Options'!Q160,IF($E$6='Lookup Tables Options'!$D$196,'Lookup Tables Options'!Q208,"")))))</f>
        <v/>
      </c>
      <c r="R20" s="270" t="str">
        <f>IF($E$6='Lookup Tables Options'!$D$4,'Lookup Tables Options'!R16,IF($E$6='Lookup Tables Options'!$D$52,'Lookup Tables Options'!R64,IF($E$6='Lookup Tables Options'!$D$100,'Lookup Tables Options'!R112,IF($E$6='Lookup Tables Options'!$D$148,'Lookup Tables Options'!R160,IF($E$6='Lookup Tables Options'!$D$196,'Lookup Tables Options'!R208,"")))))</f>
        <v/>
      </c>
      <c r="S20" s="269" t="str">
        <f>IF($E$6='Lookup Tables Options'!$D$4,'Lookup Tables Options'!S16,IF($E$6='Lookup Tables Options'!$D$52,'Lookup Tables Options'!S64,IF($E$6='Lookup Tables Options'!$D$100,'Lookup Tables Options'!S112,IF($E$6='Lookup Tables Options'!$D$148,'Lookup Tables Options'!S160,IF($E$6='Lookup Tables Options'!$D$196,'Lookup Tables Options'!S208,"")))))</f>
        <v/>
      </c>
      <c r="T20" s="268" t="str">
        <f>IF($E$6='Lookup Tables Options'!$D$4,'Lookup Tables Options'!T16,IF($E$6='Lookup Tables Options'!$D$52,'Lookup Tables Options'!T64,IF($E$6='Lookup Tables Options'!$D$100,'Lookup Tables Options'!T112,IF($E$6='Lookup Tables Options'!$D$148,'Lookup Tables Options'!T160,IF($E$6='Lookup Tables Options'!$D$196,'Lookup Tables Options'!T208,"")))))</f>
        <v/>
      </c>
      <c r="U20" s="270" t="str">
        <f>IF($E$6='Lookup Tables Options'!$D$4,'Lookup Tables Options'!U16,IF($E$6='Lookup Tables Options'!$D$52,'Lookup Tables Options'!U64,IF($E$6='Lookup Tables Options'!$D$100,'Lookup Tables Options'!U112,IF($E$6='Lookup Tables Options'!$D$148,'Lookup Tables Options'!U160,IF($E$6='Lookup Tables Options'!$D$196,'Lookup Tables Options'!U208,"")))))</f>
        <v/>
      </c>
      <c r="V20" s="270" t="str">
        <f>IF($E$6='Lookup Tables Options'!$D$4,'Lookup Tables Options'!V16,IF($E$6='Lookup Tables Options'!$D$52,'Lookup Tables Options'!V64,IF($E$6='Lookup Tables Options'!$D$100,'Lookup Tables Options'!V112,IF($E$6='Lookup Tables Options'!$D$148,'Lookup Tables Options'!V160,IF($E$6='Lookup Tables Options'!$D$196,'Lookup Tables Options'!V208,"")))))</f>
        <v/>
      </c>
      <c r="W20" s="270" t="str">
        <f>IF($E$6='Lookup Tables Options'!$D$4,'Lookup Tables Options'!W16,IF($E$6='Lookup Tables Options'!$D$52,'Lookup Tables Options'!W64,IF($E$6='Lookup Tables Options'!$D$100,'Lookup Tables Options'!W112,IF($E$6='Lookup Tables Options'!$D$148,'Lookup Tables Options'!W160,IF($E$6='Lookup Tables Options'!$D$196,'Lookup Tables Options'!W208,"")))))</f>
        <v/>
      </c>
      <c r="X20" s="270" t="str">
        <f>IF($E$6='Lookup Tables Options'!$D$4,'Lookup Tables Options'!X16,IF($E$6='Lookup Tables Options'!$D$52,'Lookup Tables Options'!X64,IF($E$6='Lookup Tables Options'!$D$100,'Lookup Tables Options'!X112,IF($E$6='Lookup Tables Options'!$D$148,'Lookup Tables Options'!X160,IF($E$6='Lookup Tables Options'!$D$196,'Lookup Tables Options'!X208,"")))))</f>
        <v/>
      </c>
      <c r="Y20" s="270" t="str">
        <f>IF($E$6='Lookup Tables Options'!$D$4,'Lookup Tables Options'!Y16,IF($E$6='Lookup Tables Options'!$D$52,'Lookup Tables Options'!Y64,IF($E$6='Lookup Tables Options'!$D$100,'Lookup Tables Options'!Y112,IF($E$6='Lookup Tables Options'!$D$148,'Lookup Tables Options'!Y160,IF($E$6='Lookup Tables Options'!$D$196,'Lookup Tables Options'!Y208,"")))))</f>
        <v/>
      </c>
      <c r="Z20" s="270" t="str">
        <f>IF($E$6='Lookup Tables Options'!$D$4,'Lookup Tables Options'!Z16,IF($E$6='Lookup Tables Options'!$D$52,'Lookup Tables Options'!Z64,IF($E$6='Lookup Tables Options'!$D$100,'Lookup Tables Options'!Z112,IF($E$6='Lookup Tables Options'!$D$148,'Lookup Tables Options'!Z160,IF($E$6='Lookup Tables Options'!$D$196,'Lookup Tables Options'!Z208,"")))))</f>
        <v/>
      </c>
      <c r="AA20" s="270" t="str">
        <f>IF($E$6='Lookup Tables Options'!$D$4,'Lookup Tables Options'!AA16,IF($E$6='Lookup Tables Options'!$D$52,'Lookup Tables Options'!AA64,IF($E$6='Lookup Tables Options'!$D$100,'Lookup Tables Options'!AA112,IF($E$6='Lookup Tables Options'!$D$148,'Lookup Tables Options'!AA160,IF($E$6='Lookup Tables Options'!$D$196,'Lookup Tables Options'!AA208,"")))))</f>
        <v/>
      </c>
      <c r="AB20" s="270" t="str">
        <f>IF($E$6='Lookup Tables Options'!$D$4,'Lookup Tables Options'!AB16,IF($E$6='Lookup Tables Options'!$D$52,'Lookup Tables Options'!AB64,IF($E$6='Lookup Tables Options'!$D$100,'Lookup Tables Options'!AB112,IF($E$6='Lookup Tables Options'!$D$148,'Lookup Tables Options'!AB160,IF($E$6='Lookup Tables Options'!$D$196,'Lookup Tables Options'!AB208,"")))))</f>
        <v/>
      </c>
      <c r="AC20" s="270" t="str">
        <f>IF($E$6='Lookup Tables Options'!$D$4,'Lookup Tables Options'!AC16,IF($E$6='Lookup Tables Options'!$D$52,'Lookup Tables Options'!AC64,IF($E$6='Lookup Tables Options'!$D$100,'Lookup Tables Options'!AC112,IF($E$6='Lookup Tables Options'!$D$148,'Lookup Tables Options'!AC160,IF($E$6='Lookup Tables Options'!$D$196,'Lookup Tables Options'!AC208,"")))))</f>
        <v/>
      </c>
      <c r="AD20" s="268" t="str">
        <f>IF($E$6='Lookup Tables Options'!$D$4,'Lookup Tables Options'!AD16,IF($E$6='Lookup Tables Options'!$D$52,'Lookup Tables Options'!AD64,IF($E$6='Lookup Tables Options'!$D$100,'Lookup Tables Options'!AD112,IF($E$6='Lookup Tables Options'!$D$148,'Lookup Tables Options'!AD160,IF($E$6='Lookup Tables Options'!$D$196,'Lookup Tables Options'!AD208,"")))))</f>
        <v/>
      </c>
      <c r="AE20" s="270" t="str">
        <f>IF($E$6='Lookup Tables Options'!$D$4,'Lookup Tables Options'!AE16,IF($E$6='Lookup Tables Options'!$D$52,'Lookup Tables Options'!AE64,IF($E$6='Lookup Tables Options'!$D$100,'Lookup Tables Options'!AE112,IF($E$6='Lookup Tables Options'!$D$148,'Lookup Tables Options'!AE160,IF($E$6='Lookup Tables Options'!$D$196,'Lookup Tables Options'!AE208,"")))))</f>
        <v/>
      </c>
      <c r="AF20" s="270" t="str">
        <f>IF($E$6='Lookup Tables Options'!$D$4,'Lookup Tables Options'!AF16,IF($E$6='Lookup Tables Options'!$D$52,'Lookup Tables Options'!AF64,IF($E$6='Lookup Tables Options'!$D$100,'Lookup Tables Options'!AF112,IF($E$6='Lookup Tables Options'!$D$148,'Lookup Tables Options'!AF160,IF($E$6='Lookup Tables Options'!$D$196,'Lookup Tables Options'!AF208,"")))))</f>
        <v/>
      </c>
      <c r="AG20" s="270" t="str">
        <f>IF($E$6='Lookup Tables Options'!$D$4,'Lookup Tables Options'!AG16,IF($E$6='Lookup Tables Options'!$D$52,'Lookup Tables Options'!AG64,IF($E$6='Lookup Tables Options'!$D$100,'Lookup Tables Options'!AG112,IF($E$6='Lookup Tables Options'!$D$148,'Lookup Tables Options'!AG160,IF($E$6='Lookup Tables Options'!$D$196,'Lookup Tables Options'!AG208,"")))))</f>
        <v/>
      </c>
      <c r="AH20" s="270" t="str">
        <f>IF($E$6='Lookup Tables Options'!$D$4,'Lookup Tables Options'!AH16,IF($E$6='Lookup Tables Options'!$D$52,'Lookup Tables Options'!AH64,IF($E$6='Lookup Tables Options'!$D$100,'Lookup Tables Options'!AH112,IF($E$6='Lookup Tables Options'!$D$148,'Lookup Tables Options'!AH160,IF($E$6='Lookup Tables Options'!$D$196,'Lookup Tables Options'!AH208,"")))))</f>
        <v/>
      </c>
      <c r="AI20" s="270" t="str">
        <f>IF($E$6='Lookup Tables Options'!$D$4,'Lookup Tables Options'!AI16,IF($E$6='Lookup Tables Options'!$D$52,'Lookup Tables Options'!AI64,IF($E$6='Lookup Tables Options'!$D$100,'Lookup Tables Options'!AI112,IF($E$6='Lookup Tables Options'!$D$148,'Lookup Tables Options'!AI160,IF($E$6='Lookup Tables Options'!$D$196,'Lookup Tables Options'!AI208,"")))))</f>
        <v/>
      </c>
      <c r="AJ20" s="270" t="str">
        <f>IF($E$6='Lookup Tables Options'!$D$4,'Lookup Tables Options'!AJ16,IF($E$6='Lookup Tables Options'!$D$52,'Lookup Tables Options'!AJ64,IF($E$6='Lookup Tables Options'!$D$100,'Lookup Tables Options'!AJ112,IF($E$6='Lookup Tables Options'!$D$148,'Lookup Tables Options'!AJ160,IF($E$6='Lookup Tables Options'!$D$196,'Lookup Tables Options'!AJ208,"")))))</f>
        <v/>
      </c>
      <c r="AK20" s="270" t="str">
        <f>IF($E$6='Lookup Tables Options'!$D$4,'Lookup Tables Options'!AK16,IF($E$6='Lookup Tables Options'!$D$52,'Lookup Tables Options'!AK64,IF($E$6='Lookup Tables Options'!$D$100,'Lookup Tables Options'!AK112,IF($E$6='Lookup Tables Options'!$D$148,'Lookup Tables Options'!AK160,IF($E$6='Lookup Tables Options'!$D$196,'Lookup Tables Options'!AK208,"")))))</f>
        <v/>
      </c>
      <c r="AL20" s="270" t="str">
        <f>IF($E$6='Lookup Tables Options'!$D$4,'Lookup Tables Options'!AL16,IF($E$6='Lookup Tables Options'!$D$52,'Lookup Tables Options'!AL64,IF($E$6='Lookup Tables Options'!$D$100,'Lookup Tables Options'!AL112,IF($E$6='Lookup Tables Options'!$D$148,'Lookup Tables Options'!AL160,IF($E$6='Lookup Tables Options'!$D$196,'Lookup Tables Options'!AL208,"")))))</f>
        <v/>
      </c>
      <c r="AM20" s="269" t="str">
        <f>IF($E$6='Lookup Tables Options'!$D$4,'Lookup Tables Options'!AM16,IF($E$6='Lookup Tables Options'!$D$52,'Lookup Tables Options'!AM64,IF($E$6='Lookup Tables Options'!$D$100,'Lookup Tables Options'!AM112,IF($E$6='Lookup Tables Options'!$D$148,'Lookup Tables Options'!AM160,IF($E$6='Lookup Tables Options'!$D$196,'Lookup Tables Options'!AM208,"")))))</f>
        <v/>
      </c>
    </row>
    <row r="21" spans="4:39" ht="15.6">
      <c r="D21" s="267">
        <v>8</v>
      </c>
      <c r="E21" s="268" t="str">
        <f>IF($E$6='Lookup Tables Options'!$D$4,'Lookup Tables Options'!E17,IF($E$6='Lookup Tables Options'!$D$52,'Lookup Tables Options'!E65,IF($E$6='Lookup Tables Options'!$D$100,'Lookup Tables Options'!E113,IF($E$6='Lookup Tables Options'!$D$148,'Lookup Tables Options'!E161,IF($E$6='Lookup Tables Options'!$D$196,'Lookup Tables Options'!E209,"")))))</f>
        <v/>
      </c>
      <c r="F21" s="269" t="str">
        <f>IF($E$6='Lookup Tables Options'!$D$4,'Lookup Tables Options'!F17,IF($E$6='Lookup Tables Options'!$D$52,'Lookup Tables Options'!F65,IF($E$6='Lookup Tables Options'!$D$100,'Lookup Tables Options'!F113,IF($E$6='Lookup Tables Options'!$D$148,'Lookup Tables Options'!F161,IF($E$6='Lookup Tables Options'!$D$196,'Lookup Tables Options'!F209,"")))))</f>
        <v/>
      </c>
      <c r="G21" s="268" t="str">
        <f>IF($E$6='Lookup Tables Options'!$D$4,'Lookup Tables Options'!G17,IF($E$6='Lookup Tables Options'!$D$52,'Lookup Tables Options'!G65,IF($E$6='Lookup Tables Options'!$D$100,'Lookup Tables Options'!G113,IF($E$6='Lookup Tables Options'!$D$148,'Lookup Tables Options'!G161,IF($E$6='Lookup Tables Options'!$D$196,'Lookup Tables Options'!G209,"")))))</f>
        <v/>
      </c>
      <c r="H21" s="270" t="str">
        <f>IF($E$6='Lookup Tables Options'!$D$4,'Lookup Tables Options'!H17,IF($E$6='Lookup Tables Options'!$D$52,'Lookup Tables Options'!H65,IF($E$6='Lookup Tables Options'!$D$100,'Lookup Tables Options'!H113,IF($E$6='Lookup Tables Options'!$D$148,'Lookup Tables Options'!H161,IF($E$6='Lookup Tables Options'!$D$196,'Lookup Tables Options'!H209,"")))))</f>
        <v/>
      </c>
      <c r="I21" s="270" t="str">
        <f>IF($E$6='Lookup Tables Options'!$D$4,'Lookup Tables Options'!I17,IF($E$6='Lookup Tables Options'!$D$52,'Lookup Tables Options'!I65,IF($E$6='Lookup Tables Options'!$D$100,'Lookup Tables Options'!I113,IF($E$6='Lookup Tables Options'!$D$148,'Lookup Tables Options'!I161,IF($E$6='Lookup Tables Options'!$D$196,'Lookup Tables Options'!I209,"")))))</f>
        <v/>
      </c>
      <c r="J21" s="268" t="str">
        <f>IF($E$6='Lookup Tables Options'!$D$4,'Lookup Tables Options'!J17,IF($E$6='Lookup Tables Options'!$D$52,'Lookup Tables Options'!J65,IF($E$6='Lookup Tables Options'!$D$100,'Lookup Tables Options'!J113,IF($E$6='Lookup Tables Options'!$D$148,'Lookup Tables Options'!J161,IF($E$6='Lookup Tables Options'!$D$196,'Lookup Tables Options'!J209,"")))))</f>
        <v/>
      </c>
      <c r="K21" s="270" t="str">
        <f>IF($E$6='Lookup Tables Options'!$D$4,'Lookup Tables Options'!K17,IF($E$6='Lookup Tables Options'!$D$52,'Lookup Tables Options'!K65,IF($E$6='Lookup Tables Options'!$D$100,'Lookup Tables Options'!K113,IF($E$6='Lookup Tables Options'!$D$148,'Lookup Tables Options'!K161,IF($E$6='Lookup Tables Options'!$D$196,'Lookup Tables Options'!K209,"")))))</f>
        <v/>
      </c>
      <c r="L21" s="270" t="str">
        <f>IF($E$6='Lookup Tables Options'!$D$4,'Lookup Tables Options'!L17,IF($E$6='Lookup Tables Options'!$D$52,'Lookup Tables Options'!L65,IF($E$6='Lookup Tables Options'!$D$100,'Lookup Tables Options'!L113,IF($E$6='Lookup Tables Options'!$D$148,'Lookup Tables Options'!L161,IF($E$6='Lookup Tables Options'!$D$196,'Lookup Tables Options'!L209,"")))))</f>
        <v/>
      </c>
      <c r="M21" s="270" t="str">
        <f>IF($E$6='Lookup Tables Options'!$D$4,'Lookup Tables Options'!M17,IF($E$6='Lookup Tables Options'!$D$52,'Lookup Tables Options'!M65,IF($E$6='Lookup Tables Options'!$D$100,'Lookup Tables Options'!M113,IF($E$6='Lookup Tables Options'!$D$148,'Lookup Tables Options'!M161,IF($E$6='Lookup Tables Options'!$D$196,'Lookup Tables Options'!M209,"")))))</f>
        <v/>
      </c>
      <c r="N21" s="270" t="str">
        <f>IF($E$6='Lookup Tables Options'!$D$4,'Lookup Tables Options'!N17,IF($E$6='Lookup Tables Options'!$D$52,'Lookup Tables Options'!N65,IF($E$6='Lookup Tables Options'!$D$100,'Lookup Tables Options'!N113,IF($E$6='Lookup Tables Options'!$D$148,'Lookup Tables Options'!N161,IF($E$6='Lookup Tables Options'!$D$196,'Lookup Tables Options'!N209,"")))))</f>
        <v/>
      </c>
      <c r="O21" s="270" t="str">
        <f>IF($E$6='Lookup Tables Options'!$D$4,'Lookup Tables Options'!O17,IF($E$6='Lookup Tables Options'!$D$52,'Lookup Tables Options'!O65,IF($E$6='Lookup Tables Options'!$D$100,'Lookup Tables Options'!O113,IF($E$6='Lookup Tables Options'!$D$148,'Lookup Tables Options'!O161,IF($E$6='Lookup Tables Options'!$D$196,'Lookup Tables Options'!O209,"")))))</f>
        <v/>
      </c>
      <c r="P21" s="270" t="str">
        <f>IF($E$6='Lookup Tables Options'!$D$4,'Lookup Tables Options'!P17,IF($E$6='Lookup Tables Options'!$D$52,'Lookup Tables Options'!P65,IF($E$6='Lookup Tables Options'!$D$100,'Lookup Tables Options'!P113,IF($E$6='Lookup Tables Options'!$D$148,'Lookup Tables Options'!P161,IF($E$6='Lookup Tables Options'!$D$196,'Lookup Tables Options'!P209,"")))))</f>
        <v/>
      </c>
      <c r="Q21" s="270" t="str">
        <f>IF($E$6='Lookup Tables Options'!$D$4,'Lookup Tables Options'!Q17,IF($E$6='Lookup Tables Options'!$D$52,'Lookup Tables Options'!Q65,IF($E$6='Lookup Tables Options'!$D$100,'Lookup Tables Options'!Q113,IF($E$6='Lookup Tables Options'!$D$148,'Lookup Tables Options'!Q161,IF($E$6='Lookup Tables Options'!$D$196,'Lookup Tables Options'!Q209,"")))))</f>
        <v/>
      </c>
      <c r="R21" s="270" t="str">
        <f>IF($E$6='Lookup Tables Options'!$D$4,'Lookup Tables Options'!R17,IF($E$6='Lookup Tables Options'!$D$52,'Lookup Tables Options'!R65,IF($E$6='Lookup Tables Options'!$D$100,'Lookup Tables Options'!R113,IF($E$6='Lookup Tables Options'!$D$148,'Lookup Tables Options'!R161,IF($E$6='Lookup Tables Options'!$D$196,'Lookup Tables Options'!R209,"")))))</f>
        <v/>
      </c>
      <c r="S21" s="269" t="str">
        <f>IF($E$6='Lookup Tables Options'!$D$4,'Lookup Tables Options'!S17,IF($E$6='Lookup Tables Options'!$D$52,'Lookup Tables Options'!S65,IF($E$6='Lookup Tables Options'!$D$100,'Lookup Tables Options'!S113,IF($E$6='Lookup Tables Options'!$D$148,'Lookup Tables Options'!S161,IF($E$6='Lookup Tables Options'!$D$196,'Lookup Tables Options'!S209,"")))))</f>
        <v/>
      </c>
      <c r="T21" s="268" t="str">
        <f>IF($E$6='Lookup Tables Options'!$D$4,'Lookup Tables Options'!T17,IF($E$6='Lookup Tables Options'!$D$52,'Lookup Tables Options'!T65,IF($E$6='Lookup Tables Options'!$D$100,'Lookup Tables Options'!T113,IF($E$6='Lookup Tables Options'!$D$148,'Lookup Tables Options'!T161,IF($E$6='Lookup Tables Options'!$D$196,'Lookup Tables Options'!T209,"")))))</f>
        <v/>
      </c>
      <c r="U21" s="270" t="str">
        <f>IF($E$6='Lookup Tables Options'!$D$4,'Lookup Tables Options'!U17,IF($E$6='Lookup Tables Options'!$D$52,'Lookup Tables Options'!U65,IF($E$6='Lookup Tables Options'!$D$100,'Lookup Tables Options'!U113,IF($E$6='Lookup Tables Options'!$D$148,'Lookup Tables Options'!U161,IF($E$6='Lookup Tables Options'!$D$196,'Lookup Tables Options'!U209,"")))))</f>
        <v/>
      </c>
      <c r="V21" s="270" t="str">
        <f>IF($E$6='Lookup Tables Options'!$D$4,'Lookup Tables Options'!V17,IF($E$6='Lookup Tables Options'!$D$52,'Lookup Tables Options'!V65,IF($E$6='Lookup Tables Options'!$D$100,'Lookup Tables Options'!V113,IF($E$6='Lookup Tables Options'!$D$148,'Lookup Tables Options'!V161,IF($E$6='Lookup Tables Options'!$D$196,'Lookup Tables Options'!V209,"")))))</f>
        <v/>
      </c>
      <c r="W21" s="270" t="str">
        <f>IF($E$6='Lookup Tables Options'!$D$4,'Lookup Tables Options'!W17,IF($E$6='Lookup Tables Options'!$D$52,'Lookup Tables Options'!W65,IF($E$6='Lookup Tables Options'!$D$100,'Lookup Tables Options'!W113,IF($E$6='Lookup Tables Options'!$D$148,'Lookup Tables Options'!W161,IF($E$6='Lookup Tables Options'!$D$196,'Lookup Tables Options'!W209,"")))))</f>
        <v/>
      </c>
      <c r="X21" s="270" t="str">
        <f>IF($E$6='Lookup Tables Options'!$D$4,'Lookup Tables Options'!X17,IF($E$6='Lookup Tables Options'!$D$52,'Lookup Tables Options'!X65,IF($E$6='Lookup Tables Options'!$D$100,'Lookup Tables Options'!X113,IF($E$6='Lookup Tables Options'!$D$148,'Lookup Tables Options'!X161,IF($E$6='Lookup Tables Options'!$D$196,'Lookup Tables Options'!X209,"")))))</f>
        <v/>
      </c>
      <c r="Y21" s="270" t="str">
        <f>IF($E$6='Lookup Tables Options'!$D$4,'Lookup Tables Options'!Y17,IF($E$6='Lookup Tables Options'!$D$52,'Lookup Tables Options'!Y65,IF($E$6='Lookup Tables Options'!$D$100,'Lookup Tables Options'!Y113,IF($E$6='Lookup Tables Options'!$D$148,'Lookup Tables Options'!Y161,IF($E$6='Lookup Tables Options'!$D$196,'Lookup Tables Options'!Y209,"")))))</f>
        <v/>
      </c>
      <c r="Z21" s="270" t="str">
        <f>IF($E$6='Lookup Tables Options'!$D$4,'Lookup Tables Options'!Z17,IF($E$6='Lookup Tables Options'!$D$52,'Lookup Tables Options'!Z65,IF($E$6='Lookup Tables Options'!$D$100,'Lookup Tables Options'!Z113,IF($E$6='Lookup Tables Options'!$D$148,'Lookup Tables Options'!Z161,IF($E$6='Lookup Tables Options'!$D$196,'Lookup Tables Options'!Z209,"")))))</f>
        <v/>
      </c>
      <c r="AA21" s="270" t="str">
        <f>IF($E$6='Lookup Tables Options'!$D$4,'Lookup Tables Options'!AA17,IF($E$6='Lookup Tables Options'!$D$52,'Lookup Tables Options'!AA65,IF($E$6='Lookup Tables Options'!$D$100,'Lookup Tables Options'!AA113,IF($E$6='Lookup Tables Options'!$D$148,'Lookup Tables Options'!AA161,IF($E$6='Lookup Tables Options'!$D$196,'Lookup Tables Options'!AA209,"")))))</f>
        <v/>
      </c>
      <c r="AB21" s="270" t="str">
        <f>IF($E$6='Lookup Tables Options'!$D$4,'Lookup Tables Options'!AB17,IF($E$6='Lookup Tables Options'!$D$52,'Lookup Tables Options'!AB65,IF($E$6='Lookup Tables Options'!$D$100,'Lookup Tables Options'!AB113,IF($E$6='Lookup Tables Options'!$D$148,'Lookup Tables Options'!AB161,IF($E$6='Lookup Tables Options'!$D$196,'Lookup Tables Options'!AB209,"")))))</f>
        <v/>
      </c>
      <c r="AC21" s="270" t="str">
        <f>IF($E$6='Lookup Tables Options'!$D$4,'Lookup Tables Options'!AC17,IF($E$6='Lookup Tables Options'!$D$52,'Lookup Tables Options'!AC65,IF($E$6='Lookup Tables Options'!$D$100,'Lookup Tables Options'!AC113,IF($E$6='Lookup Tables Options'!$D$148,'Lookup Tables Options'!AC161,IF($E$6='Lookup Tables Options'!$D$196,'Lookup Tables Options'!AC209,"")))))</f>
        <v/>
      </c>
      <c r="AD21" s="268" t="str">
        <f>IF($E$6='Lookup Tables Options'!$D$4,'Lookup Tables Options'!AD17,IF($E$6='Lookup Tables Options'!$D$52,'Lookup Tables Options'!AD65,IF($E$6='Lookup Tables Options'!$D$100,'Lookup Tables Options'!AD113,IF($E$6='Lookup Tables Options'!$D$148,'Lookup Tables Options'!AD161,IF($E$6='Lookup Tables Options'!$D$196,'Lookup Tables Options'!AD209,"")))))</f>
        <v/>
      </c>
      <c r="AE21" s="270" t="str">
        <f>IF($E$6='Lookup Tables Options'!$D$4,'Lookup Tables Options'!AE17,IF($E$6='Lookup Tables Options'!$D$52,'Lookup Tables Options'!AE65,IF($E$6='Lookup Tables Options'!$D$100,'Lookup Tables Options'!AE113,IF($E$6='Lookup Tables Options'!$D$148,'Lookup Tables Options'!AE161,IF($E$6='Lookup Tables Options'!$D$196,'Lookup Tables Options'!AE209,"")))))</f>
        <v/>
      </c>
      <c r="AF21" s="270" t="str">
        <f>IF($E$6='Lookup Tables Options'!$D$4,'Lookup Tables Options'!AF17,IF($E$6='Lookup Tables Options'!$D$52,'Lookup Tables Options'!AF65,IF($E$6='Lookup Tables Options'!$D$100,'Lookup Tables Options'!AF113,IF($E$6='Lookup Tables Options'!$D$148,'Lookup Tables Options'!AF161,IF($E$6='Lookup Tables Options'!$D$196,'Lookup Tables Options'!AF209,"")))))</f>
        <v/>
      </c>
      <c r="AG21" s="270" t="str">
        <f>IF($E$6='Lookup Tables Options'!$D$4,'Lookup Tables Options'!AG17,IF($E$6='Lookup Tables Options'!$D$52,'Lookup Tables Options'!AG65,IF($E$6='Lookup Tables Options'!$D$100,'Lookup Tables Options'!AG113,IF($E$6='Lookup Tables Options'!$D$148,'Lookup Tables Options'!AG161,IF($E$6='Lookup Tables Options'!$D$196,'Lookup Tables Options'!AG209,"")))))</f>
        <v/>
      </c>
      <c r="AH21" s="270" t="str">
        <f>IF($E$6='Lookup Tables Options'!$D$4,'Lookup Tables Options'!AH17,IF($E$6='Lookup Tables Options'!$D$52,'Lookup Tables Options'!AH65,IF($E$6='Lookup Tables Options'!$D$100,'Lookup Tables Options'!AH113,IF($E$6='Lookup Tables Options'!$D$148,'Lookup Tables Options'!AH161,IF($E$6='Lookup Tables Options'!$D$196,'Lookup Tables Options'!AH209,"")))))</f>
        <v/>
      </c>
      <c r="AI21" s="270" t="str">
        <f>IF($E$6='Lookup Tables Options'!$D$4,'Lookup Tables Options'!AI17,IF($E$6='Lookup Tables Options'!$D$52,'Lookup Tables Options'!AI65,IF($E$6='Lookup Tables Options'!$D$100,'Lookup Tables Options'!AI113,IF($E$6='Lookup Tables Options'!$D$148,'Lookup Tables Options'!AI161,IF($E$6='Lookup Tables Options'!$D$196,'Lookup Tables Options'!AI209,"")))))</f>
        <v/>
      </c>
      <c r="AJ21" s="270" t="str">
        <f>IF($E$6='Lookup Tables Options'!$D$4,'Lookup Tables Options'!AJ17,IF($E$6='Lookup Tables Options'!$D$52,'Lookup Tables Options'!AJ65,IF($E$6='Lookup Tables Options'!$D$100,'Lookup Tables Options'!AJ113,IF($E$6='Lookup Tables Options'!$D$148,'Lookup Tables Options'!AJ161,IF($E$6='Lookup Tables Options'!$D$196,'Lookup Tables Options'!AJ209,"")))))</f>
        <v/>
      </c>
      <c r="AK21" s="270" t="str">
        <f>IF($E$6='Lookup Tables Options'!$D$4,'Lookup Tables Options'!AK17,IF($E$6='Lookup Tables Options'!$D$52,'Lookup Tables Options'!AK65,IF($E$6='Lookup Tables Options'!$D$100,'Lookup Tables Options'!AK113,IF($E$6='Lookup Tables Options'!$D$148,'Lookup Tables Options'!AK161,IF($E$6='Lookup Tables Options'!$D$196,'Lookup Tables Options'!AK209,"")))))</f>
        <v/>
      </c>
      <c r="AL21" s="270" t="str">
        <f>IF($E$6='Lookup Tables Options'!$D$4,'Lookup Tables Options'!AL17,IF($E$6='Lookup Tables Options'!$D$52,'Lookup Tables Options'!AL65,IF($E$6='Lookup Tables Options'!$D$100,'Lookup Tables Options'!AL113,IF($E$6='Lookup Tables Options'!$D$148,'Lookup Tables Options'!AL161,IF($E$6='Lookup Tables Options'!$D$196,'Lookup Tables Options'!AL209,"")))))</f>
        <v/>
      </c>
      <c r="AM21" s="269" t="str">
        <f>IF($E$6='Lookup Tables Options'!$D$4,'Lookup Tables Options'!AM17,IF($E$6='Lookup Tables Options'!$D$52,'Lookup Tables Options'!AM65,IF($E$6='Lookup Tables Options'!$D$100,'Lookup Tables Options'!AM113,IF($E$6='Lookup Tables Options'!$D$148,'Lookup Tables Options'!AM161,IF($E$6='Lookup Tables Options'!$D$196,'Lookup Tables Options'!AM209,"")))))</f>
        <v/>
      </c>
    </row>
    <row r="22" spans="4:39" ht="15.6">
      <c r="D22" s="267">
        <v>9</v>
      </c>
      <c r="E22" s="268" t="str">
        <f>IF($E$6='Lookup Tables Options'!$D$4,'Lookup Tables Options'!E18,IF($E$6='Lookup Tables Options'!$D$52,'Lookup Tables Options'!E66,IF($E$6='Lookup Tables Options'!$D$100,'Lookup Tables Options'!E114,IF($E$6='Lookup Tables Options'!$D$148,'Lookup Tables Options'!E162,IF($E$6='Lookup Tables Options'!$D$196,'Lookup Tables Options'!E210,"")))))</f>
        <v/>
      </c>
      <c r="F22" s="269" t="str">
        <f>IF($E$6='Lookup Tables Options'!$D$4,'Lookup Tables Options'!F18,IF($E$6='Lookup Tables Options'!$D$52,'Lookup Tables Options'!F66,IF($E$6='Lookup Tables Options'!$D$100,'Lookup Tables Options'!F114,IF($E$6='Lookup Tables Options'!$D$148,'Lookup Tables Options'!F162,IF($E$6='Lookup Tables Options'!$D$196,'Lookup Tables Options'!F210,"")))))</f>
        <v/>
      </c>
      <c r="G22" s="268" t="str">
        <f>IF($E$6='Lookup Tables Options'!$D$4,'Lookup Tables Options'!G18,IF($E$6='Lookup Tables Options'!$D$52,'Lookup Tables Options'!G66,IF($E$6='Lookup Tables Options'!$D$100,'Lookup Tables Options'!G114,IF($E$6='Lookup Tables Options'!$D$148,'Lookup Tables Options'!G162,IF($E$6='Lookup Tables Options'!$D$196,'Lookup Tables Options'!G210,"")))))</f>
        <v/>
      </c>
      <c r="H22" s="270" t="str">
        <f>IF($E$6='Lookup Tables Options'!$D$4,'Lookup Tables Options'!H18,IF($E$6='Lookup Tables Options'!$D$52,'Lookup Tables Options'!H66,IF($E$6='Lookup Tables Options'!$D$100,'Lookup Tables Options'!H114,IF($E$6='Lookup Tables Options'!$D$148,'Lookup Tables Options'!H162,IF($E$6='Lookup Tables Options'!$D$196,'Lookup Tables Options'!H210,"")))))</f>
        <v/>
      </c>
      <c r="I22" s="270" t="str">
        <f>IF($E$6='Lookup Tables Options'!$D$4,'Lookup Tables Options'!I18,IF($E$6='Lookup Tables Options'!$D$52,'Lookup Tables Options'!I66,IF($E$6='Lookup Tables Options'!$D$100,'Lookup Tables Options'!I114,IF($E$6='Lookup Tables Options'!$D$148,'Lookup Tables Options'!I162,IF($E$6='Lookup Tables Options'!$D$196,'Lookup Tables Options'!I210,"")))))</f>
        <v/>
      </c>
      <c r="J22" s="268" t="str">
        <f>IF($E$6='Lookup Tables Options'!$D$4,'Lookup Tables Options'!J18,IF($E$6='Lookup Tables Options'!$D$52,'Lookup Tables Options'!J66,IF($E$6='Lookup Tables Options'!$D$100,'Lookup Tables Options'!J114,IF($E$6='Lookup Tables Options'!$D$148,'Lookup Tables Options'!J162,IF($E$6='Lookup Tables Options'!$D$196,'Lookup Tables Options'!J210,"")))))</f>
        <v/>
      </c>
      <c r="K22" s="270" t="str">
        <f>IF($E$6='Lookup Tables Options'!$D$4,'Lookup Tables Options'!K18,IF($E$6='Lookup Tables Options'!$D$52,'Lookup Tables Options'!K66,IF($E$6='Lookup Tables Options'!$D$100,'Lookup Tables Options'!K114,IF($E$6='Lookup Tables Options'!$D$148,'Lookup Tables Options'!K162,IF($E$6='Lookup Tables Options'!$D$196,'Lookup Tables Options'!K210,"")))))</f>
        <v/>
      </c>
      <c r="L22" s="270" t="str">
        <f>IF($E$6='Lookup Tables Options'!$D$4,'Lookup Tables Options'!L18,IF($E$6='Lookup Tables Options'!$D$52,'Lookup Tables Options'!L66,IF($E$6='Lookup Tables Options'!$D$100,'Lookup Tables Options'!L114,IF($E$6='Lookup Tables Options'!$D$148,'Lookup Tables Options'!L162,IF($E$6='Lookup Tables Options'!$D$196,'Lookup Tables Options'!L210,"")))))</f>
        <v/>
      </c>
      <c r="M22" s="270" t="str">
        <f>IF($E$6='Lookup Tables Options'!$D$4,'Lookup Tables Options'!M18,IF($E$6='Lookup Tables Options'!$D$52,'Lookup Tables Options'!M66,IF($E$6='Lookup Tables Options'!$D$100,'Lookup Tables Options'!M114,IF($E$6='Lookup Tables Options'!$D$148,'Lookup Tables Options'!M162,IF($E$6='Lookup Tables Options'!$D$196,'Lookup Tables Options'!M210,"")))))</f>
        <v/>
      </c>
      <c r="N22" s="270" t="str">
        <f>IF($E$6='Lookup Tables Options'!$D$4,'Lookup Tables Options'!N18,IF($E$6='Lookup Tables Options'!$D$52,'Lookup Tables Options'!N66,IF($E$6='Lookup Tables Options'!$D$100,'Lookup Tables Options'!N114,IF($E$6='Lookup Tables Options'!$D$148,'Lookup Tables Options'!N162,IF($E$6='Lookup Tables Options'!$D$196,'Lookup Tables Options'!N210,"")))))</f>
        <v/>
      </c>
      <c r="O22" s="270" t="str">
        <f>IF($E$6='Lookup Tables Options'!$D$4,'Lookup Tables Options'!O18,IF($E$6='Lookup Tables Options'!$D$52,'Lookup Tables Options'!O66,IF($E$6='Lookup Tables Options'!$D$100,'Lookup Tables Options'!O114,IF($E$6='Lookup Tables Options'!$D$148,'Lookup Tables Options'!O162,IF($E$6='Lookup Tables Options'!$D$196,'Lookup Tables Options'!O210,"")))))</f>
        <v/>
      </c>
      <c r="P22" s="270" t="str">
        <f>IF($E$6='Lookup Tables Options'!$D$4,'Lookup Tables Options'!P18,IF($E$6='Lookup Tables Options'!$D$52,'Lookup Tables Options'!P66,IF($E$6='Lookup Tables Options'!$D$100,'Lookup Tables Options'!P114,IF($E$6='Lookup Tables Options'!$D$148,'Lookup Tables Options'!P162,IF($E$6='Lookup Tables Options'!$D$196,'Lookup Tables Options'!P210,"")))))</f>
        <v/>
      </c>
      <c r="Q22" s="270" t="str">
        <f>IF($E$6='Lookup Tables Options'!$D$4,'Lookup Tables Options'!Q18,IF($E$6='Lookup Tables Options'!$D$52,'Lookup Tables Options'!Q66,IF($E$6='Lookup Tables Options'!$D$100,'Lookup Tables Options'!Q114,IF($E$6='Lookup Tables Options'!$D$148,'Lookup Tables Options'!Q162,IF($E$6='Lookup Tables Options'!$D$196,'Lookup Tables Options'!Q210,"")))))</f>
        <v/>
      </c>
      <c r="R22" s="270" t="str">
        <f>IF($E$6='Lookup Tables Options'!$D$4,'Lookup Tables Options'!R18,IF($E$6='Lookup Tables Options'!$D$52,'Lookup Tables Options'!R66,IF($E$6='Lookup Tables Options'!$D$100,'Lookup Tables Options'!R114,IF($E$6='Lookup Tables Options'!$D$148,'Lookup Tables Options'!R162,IF($E$6='Lookup Tables Options'!$D$196,'Lookup Tables Options'!R210,"")))))</f>
        <v/>
      </c>
      <c r="S22" s="269" t="str">
        <f>IF($E$6='Lookup Tables Options'!$D$4,'Lookup Tables Options'!S18,IF($E$6='Lookup Tables Options'!$D$52,'Lookup Tables Options'!S66,IF($E$6='Lookup Tables Options'!$D$100,'Lookup Tables Options'!S114,IF($E$6='Lookup Tables Options'!$D$148,'Lookup Tables Options'!S162,IF($E$6='Lookup Tables Options'!$D$196,'Lookup Tables Options'!S210,"")))))</f>
        <v/>
      </c>
      <c r="T22" s="268" t="str">
        <f>IF($E$6='Lookup Tables Options'!$D$4,'Lookup Tables Options'!T18,IF($E$6='Lookup Tables Options'!$D$52,'Lookup Tables Options'!T66,IF($E$6='Lookup Tables Options'!$D$100,'Lookup Tables Options'!T114,IF($E$6='Lookup Tables Options'!$D$148,'Lookup Tables Options'!T162,IF($E$6='Lookup Tables Options'!$D$196,'Lookup Tables Options'!T210,"")))))</f>
        <v/>
      </c>
      <c r="U22" s="270" t="str">
        <f>IF($E$6='Lookup Tables Options'!$D$4,'Lookup Tables Options'!U18,IF($E$6='Lookup Tables Options'!$D$52,'Lookup Tables Options'!U66,IF($E$6='Lookup Tables Options'!$D$100,'Lookup Tables Options'!U114,IF($E$6='Lookup Tables Options'!$D$148,'Lookup Tables Options'!U162,IF($E$6='Lookup Tables Options'!$D$196,'Lookup Tables Options'!U210,"")))))</f>
        <v/>
      </c>
      <c r="V22" s="270" t="str">
        <f>IF($E$6='Lookup Tables Options'!$D$4,'Lookup Tables Options'!V18,IF($E$6='Lookup Tables Options'!$D$52,'Lookup Tables Options'!V66,IF($E$6='Lookup Tables Options'!$D$100,'Lookup Tables Options'!V114,IF($E$6='Lookup Tables Options'!$D$148,'Lookup Tables Options'!V162,IF($E$6='Lookup Tables Options'!$D$196,'Lookup Tables Options'!V210,"")))))</f>
        <v/>
      </c>
      <c r="W22" s="270" t="str">
        <f>IF($E$6='Lookup Tables Options'!$D$4,'Lookup Tables Options'!W18,IF($E$6='Lookup Tables Options'!$D$52,'Lookup Tables Options'!W66,IF($E$6='Lookup Tables Options'!$D$100,'Lookup Tables Options'!W114,IF($E$6='Lookup Tables Options'!$D$148,'Lookup Tables Options'!W162,IF($E$6='Lookup Tables Options'!$D$196,'Lookup Tables Options'!W210,"")))))</f>
        <v/>
      </c>
      <c r="X22" s="270" t="str">
        <f>IF($E$6='Lookup Tables Options'!$D$4,'Lookup Tables Options'!X18,IF($E$6='Lookup Tables Options'!$D$52,'Lookup Tables Options'!X66,IF($E$6='Lookup Tables Options'!$D$100,'Lookup Tables Options'!X114,IF($E$6='Lookup Tables Options'!$D$148,'Lookup Tables Options'!X162,IF($E$6='Lookup Tables Options'!$D$196,'Lookup Tables Options'!X210,"")))))</f>
        <v/>
      </c>
      <c r="Y22" s="270" t="str">
        <f>IF($E$6='Lookup Tables Options'!$D$4,'Lookup Tables Options'!Y18,IF($E$6='Lookup Tables Options'!$D$52,'Lookup Tables Options'!Y66,IF($E$6='Lookup Tables Options'!$D$100,'Lookup Tables Options'!Y114,IF($E$6='Lookup Tables Options'!$D$148,'Lookup Tables Options'!Y162,IF($E$6='Lookup Tables Options'!$D$196,'Lookup Tables Options'!Y210,"")))))</f>
        <v/>
      </c>
      <c r="Z22" s="270" t="str">
        <f>IF($E$6='Lookup Tables Options'!$D$4,'Lookup Tables Options'!Z18,IF($E$6='Lookup Tables Options'!$D$52,'Lookup Tables Options'!Z66,IF($E$6='Lookup Tables Options'!$D$100,'Lookup Tables Options'!Z114,IF($E$6='Lookup Tables Options'!$D$148,'Lookup Tables Options'!Z162,IF($E$6='Lookup Tables Options'!$D$196,'Lookup Tables Options'!Z210,"")))))</f>
        <v/>
      </c>
      <c r="AA22" s="270" t="str">
        <f>IF($E$6='Lookup Tables Options'!$D$4,'Lookup Tables Options'!AA18,IF($E$6='Lookup Tables Options'!$D$52,'Lookup Tables Options'!AA66,IF($E$6='Lookup Tables Options'!$D$100,'Lookup Tables Options'!AA114,IF($E$6='Lookup Tables Options'!$D$148,'Lookup Tables Options'!AA162,IF($E$6='Lookup Tables Options'!$D$196,'Lookup Tables Options'!AA210,"")))))</f>
        <v/>
      </c>
      <c r="AB22" s="270" t="str">
        <f>IF($E$6='Lookup Tables Options'!$D$4,'Lookup Tables Options'!AB18,IF($E$6='Lookup Tables Options'!$D$52,'Lookup Tables Options'!AB66,IF($E$6='Lookup Tables Options'!$D$100,'Lookup Tables Options'!AB114,IF($E$6='Lookup Tables Options'!$D$148,'Lookup Tables Options'!AB162,IF($E$6='Lookup Tables Options'!$D$196,'Lookup Tables Options'!AB210,"")))))</f>
        <v/>
      </c>
      <c r="AC22" s="270" t="str">
        <f>IF($E$6='Lookup Tables Options'!$D$4,'Lookup Tables Options'!AC18,IF($E$6='Lookup Tables Options'!$D$52,'Lookup Tables Options'!AC66,IF($E$6='Lookup Tables Options'!$D$100,'Lookup Tables Options'!AC114,IF($E$6='Lookup Tables Options'!$D$148,'Lookup Tables Options'!AC162,IF($E$6='Lookup Tables Options'!$D$196,'Lookup Tables Options'!AC210,"")))))</f>
        <v/>
      </c>
      <c r="AD22" s="268" t="str">
        <f>IF($E$6='Lookup Tables Options'!$D$4,'Lookup Tables Options'!AD18,IF($E$6='Lookup Tables Options'!$D$52,'Lookup Tables Options'!AD66,IF($E$6='Lookup Tables Options'!$D$100,'Lookup Tables Options'!AD114,IF($E$6='Lookup Tables Options'!$D$148,'Lookup Tables Options'!AD162,IF($E$6='Lookup Tables Options'!$D$196,'Lookup Tables Options'!AD210,"")))))</f>
        <v/>
      </c>
      <c r="AE22" s="270" t="str">
        <f>IF($E$6='Lookup Tables Options'!$D$4,'Lookup Tables Options'!AE18,IF($E$6='Lookup Tables Options'!$D$52,'Lookup Tables Options'!AE66,IF($E$6='Lookup Tables Options'!$D$100,'Lookup Tables Options'!AE114,IF($E$6='Lookup Tables Options'!$D$148,'Lookup Tables Options'!AE162,IF($E$6='Lookup Tables Options'!$D$196,'Lookup Tables Options'!AE210,"")))))</f>
        <v/>
      </c>
      <c r="AF22" s="270" t="str">
        <f>IF($E$6='Lookup Tables Options'!$D$4,'Lookup Tables Options'!AF18,IF($E$6='Lookup Tables Options'!$D$52,'Lookup Tables Options'!AF66,IF($E$6='Lookup Tables Options'!$D$100,'Lookup Tables Options'!AF114,IF($E$6='Lookup Tables Options'!$D$148,'Lookup Tables Options'!AF162,IF($E$6='Lookup Tables Options'!$D$196,'Lookup Tables Options'!AF210,"")))))</f>
        <v/>
      </c>
      <c r="AG22" s="270" t="str">
        <f>IF($E$6='Lookup Tables Options'!$D$4,'Lookup Tables Options'!AG18,IF($E$6='Lookup Tables Options'!$D$52,'Lookup Tables Options'!AG66,IF($E$6='Lookup Tables Options'!$D$100,'Lookup Tables Options'!AG114,IF($E$6='Lookup Tables Options'!$D$148,'Lookup Tables Options'!AG162,IF($E$6='Lookup Tables Options'!$D$196,'Lookup Tables Options'!AG210,"")))))</f>
        <v/>
      </c>
      <c r="AH22" s="270" t="str">
        <f>IF($E$6='Lookup Tables Options'!$D$4,'Lookup Tables Options'!AH18,IF($E$6='Lookup Tables Options'!$D$52,'Lookup Tables Options'!AH66,IF($E$6='Lookup Tables Options'!$D$100,'Lookup Tables Options'!AH114,IF($E$6='Lookup Tables Options'!$D$148,'Lookup Tables Options'!AH162,IF($E$6='Lookup Tables Options'!$D$196,'Lookup Tables Options'!AH210,"")))))</f>
        <v/>
      </c>
      <c r="AI22" s="270" t="str">
        <f>IF($E$6='Lookup Tables Options'!$D$4,'Lookup Tables Options'!AI18,IF($E$6='Lookup Tables Options'!$D$52,'Lookup Tables Options'!AI66,IF($E$6='Lookup Tables Options'!$D$100,'Lookup Tables Options'!AI114,IF($E$6='Lookup Tables Options'!$D$148,'Lookup Tables Options'!AI162,IF($E$6='Lookup Tables Options'!$D$196,'Lookup Tables Options'!AI210,"")))))</f>
        <v/>
      </c>
      <c r="AJ22" s="270" t="str">
        <f>IF($E$6='Lookup Tables Options'!$D$4,'Lookup Tables Options'!AJ18,IF($E$6='Lookup Tables Options'!$D$52,'Lookup Tables Options'!AJ66,IF($E$6='Lookup Tables Options'!$D$100,'Lookup Tables Options'!AJ114,IF($E$6='Lookup Tables Options'!$D$148,'Lookup Tables Options'!AJ162,IF($E$6='Lookup Tables Options'!$D$196,'Lookup Tables Options'!AJ210,"")))))</f>
        <v/>
      </c>
      <c r="AK22" s="270" t="str">
        <f>IF($E$6='Lookup Tables Options'!$D$4,'Lookup Tables Options'!AK18,IF($E$6='Lookup Tables Options'!$D$52,'Lookup Tables Options'!AK66,IF($E$6='Lookup Tables Options'!$D$100,'Lookup Tables Options'!AK114,IF($E$6='Lookup Tables Options'!$D$148,'Lookup Tables Options'!AK162,IF($E$6='Lookup Tables Options'!$D$196,'Lookup Tables Options'!AK210,"")))))</f>
        <v/>
      </c>
      <c r="AL22" s="270" t="str">
        <f>IF($E$6='Lookup Tables Options'!$D$4,'Lookup Tables Options'!AL18,IF($E$6='Lookup Tables Options'!$D$52,'Lookup Tables Options'!AL66,IF($E$6='Lookup Tables Options'!$D$100,'Lookup Tables Options'!AL114,IF($E$6='Lookup Tables Options'!$D$148,'Lookup Tables Options'!AL162,IF($E$6='Lookup Tables Options'!$D$196,'Lookup Tables Options'!AL210,"")))))</f>
        <v/>
      </c>
      <c r="AM22" s="269" t="str">
        <f>IF($E$6='Lookup Tables Options'!$D$4,'Lookup Tables Options'!AM18,IF($E$6='Lookup Tables Options'!$D$52,'Lookup Tables Options'!AM66,IF($E$6='Lookup Tables Options'!$D$100,'Lookup Tables Options'!AM114,IF($E$6='Lookup Tables Options'!$D$148,'Lookup Tables Options'!AM162,IF($E$6='Lookup Tables Options'!$D$196,'Lookup Tables Options'!AM210,"")))))</f>
        <v/>
      </c>
    </row>
    <row r="23" spans="4:39" ht="15.6">
      <c r="D23" s="274">
        <v>10</v>
      </c>
      <c r="E23" s="264" t="str">
        <f>IF($E$6='Lookup Tables Options'!$D$4,'Lookup Tables Options'!E19,IF($E$6='Lookup Tables Options'!$D$52,'Lookup Tables Options'!E67,IF($E$6='Lookup Tables Options'!$D$100,'Lookup Tables Options'!E115,IF($E$6='Lookup Tables Options'!$D$148,'Lookup Tables Options'!E163,IF($E$6='Lookup Tables Options'!$D$196,'Lookup Tables Options'!E211,"")))))</f>
        <v/>
      </c>
      <c r="F23" s="266" t="str">
        <f>IF($E$6='Lookup Tables Options'!$D$4,'Lookup Tables Options'!F19,IF($E$6='Lookup Tables Options'!$D$52,'Lookup Tables Options'!F67,IF($E$6='Lookup Tables Options'!$D$100,'Lookup Tables Options'!F115,IF($E$6='Lookup Tables Options'!$D$148,'Lookup Tables Options'!F163,IF($E$6='Lookup Tables Options'!$D$196,'Lookup Tables Options'!F211,"")))))</f>
        <v/>
      </c>
      <c r="G23" s="264" t="str">
        <f>IF($E$6='Lookup Tables Options'!$D$4,'Lookup Tables Options'!G19,IF($E$6='Lookup Tables Options'!$D$52,'Lookup Tables Options'!G67,IF($E$6='Lookup Tables Options'!$D$100,'Lookup Tables Options'!G115,IF($E$6='Lookup Tables Options'!$D$148,'Lookup Tables Options'!G163,IF($E$6='Lookup Tables Options'!$D$196,'Lookup Tables Options'!G211,"")))))</f>
        <v/>
      </c>
      <c r="H23" s="265" t="str">
        <f>IF($E$6='Lookup Tables Options'!$D$4,'Lookup Tables Options'!H19,IF($E$6='Lookup Tables Options'!$D$52,'Lookup Tables Options'!H67,IF($E$6='Lookup Tables Options'!$D$100,'Lookup Tables Options'!H115,IF($E$6='Lookup Tables Options'!$D$148,'Lookup Tables Options'!H163,IF($E$6='Lookup Tables Options'!$D$196,'Lookup Tables Options'!H211,"")))))</f>
        <v/>
      </c>
      <c r="I23" s="265" t="str">
        <f>IF($E$6='Lookup Tables Options'!$D$4,'Lookup Tables Options'!I19,IF($E$6='Lookup Tables Options'!$D$52,'Lookup Tables Options'!I67,IF($E$6='Lookup Tables Options'!$D$100,'Lookup Tables Options'!I115,IF($E$6='Lookup Tables Options'!$D$148,'Lookup Tables Options'!I163,IF($E$6='Lookup Tables Options'!$D$196,'Lookup Tables Options'!I211,"")))))</f>
        <v/>
      </c>
      <c r="J23" s="264" t="str">
        <f>IF($E$6='Lookup Tables Options'!$D$4,'Lookup Tables Options'!J19,IF($E$6='Lookup Tables Options'!$D$52,'Lookup Tables Options'!J67,IF($E$6='Lookup Tables Options'!$D$100,'Lookup Tables Options'!J115,IF($E$6='Lookup Tables Options'!$D$148,'Lookup Tables Options'!J163,IF($E$6='Lookup Tables Options'!$D$196,'Lookup Tables Options'!J211,"")))))</f>
        <v/>
      </c>
      <c r="K23" s="265" t="str">
        <f>IF($E$6='Lookup Tables Options'!$D$4,'Lookup Tables Options'!K19,IF($E$6='Lookup Tables Options'!$D$52,'Lookup Tables Options'!K67,IF($E$6='Lookup Tables Options'!$D$100,'Lookup Tables Options'!K115,IF($E$6='Lookup Tables Options'!$D$148,'Lookup Tables Options'!K163,IF($E$6='Lookup Tables Options'!$D$196,'Lookup Tables Options'!K211,"")))))</f>
        <v/>
      </c>
      <c r="L23" s="265" t="str">
        <f>IF($E$6='Lookup Tables Options'!$D$4,'Lookup Tables Options'!L19,IF($E$6='Lookup Tables Options'!$D$52,'Lookup Tables Options'!L67,IF($E$6='Lookup Tables Options'!$D$100,'Lookup Tables Options'!L115,IF($E$6='Lookup Tables Options'!$D$148,'Lookup Tables Options'!L163,IF($E$6='Lookup Tables Options'!$D$196,'Lookup Tables Options'!L211,"")))))</f>
        <v/>
      </c>
      <c r="M23" s="265" t="str">
        <f>IF($E$6='Lookup Tables Options'!$D$4,'Lookup Tables Options'!M19,IF($E$6='Lookup Tables Options'!$D$52,'Lookup Tables Options'!M67,IF($E$6='Lookup Tables Options'!$D$100,'Lookup Tables Options'!M115,IF($E$6='Lookup Tables Options'!$D$148,'Lookup Tables Options'!M163,IF($E$6='Lookup Tables Options'!$D$196,'Lookup Tables Options'!M211,"")))))</f>
        <v/>
      </c>
      <c r="N23" s="265" t="str">
        <f>IF($E$6='Lookup Tables Options'!$D$4,'Lookup Tables Options'!N19,IF($E$6='Lookup Tables Options'!$D$52,'Lookup Tables Options'!N67,IF($E$6='Lookup Tables Options'!$D$100,'Lookup Tables Options'!N115,IF($E$6='Lookup Tables Options'!$D$148,'Lookup Tables Options'!N163,IF($E$6='Lookup Tables Options'!$D$196,'Lookup Tables Options'!N211,"")))))</f>
        <v/>
      </c>
      <c r="O23" s="265" t="str">
        <f>IF($E$6='Lookup Tables Options'!$D$4,'Lookup Tables Options'!O19,IF($E$6='Lookup Tables Options'!$D$52,'Lookup Tables Options'!O67,IF($E$6='Lookup Tables Options'!$D$100,'Lookup Tables Options'!O115,IF($E$6='Lookup Tables Options'!$D$148,'Lookup Tables Options'!O163,IF($E$6='Lookup Tables Options'!$D$196,'Lookup Tables Options'!O211,"")))))</f>
        <v/>
      </c>
      <c r="P23" s="265" t="str">
        <f>IF($E$6='Lookup Tables Options'!$D$4,'Lookup Tables Options'!P19,IF($E$6='Lookup Tables Options'!$D$52,'Lookup Tables Options'!P67,IF($E$6='Lookup Tables Options'!$D$100,'Lookup Tables Options'!P115,IF($E$6='Lookup Tables Options'!$D$148,'Lookup Tables Options'!P163,IF($E$6='Lookup Tables Options'!$D$196,'Lookup Tables Options'!P211,"")))))</f>
        <v/>
      </c>
      <c r="Q23" s="265" t="str">
        <f>IF($E$6='Lookup Tables Options'!$D$4,'Lookup Tables Options'!Q19,IF($E$6='Lookup Tables Options'!$D$52,'Lookup Tables Options'!Q67,IF($E$6='Lookup Tables Options'!$D$100,'Lookup Tables Options'!Q115,IF($E$6='Lookup Tables Options'!$D$148,'Lookup Tables Options'!Q163,IF($E$6='Lookup Tables Options'!$D$196,'Lookup Tables Options'!Q211,"")))))</f>
        <v/>
      </c>
      <c r="R23" s="265" t="str">
        <f>IF($E$6='Lookup Tables Options'!$D$4,'Lookup Tables Options'!R19,IF($E$6='Lookup Tables Options'!$D$52,'Lookup Tables Options'!R67,IF($E$6='Lookup Tables Options'!$D$100,'Lookup Tables Options'!R115,IF($E$6='Lookup Tables Options'!$D$148,'Lookup Tables Options'!R163,IF($E$6='Lookup Tables Options'!$D$196,'Lookup Tables Options'!R211,"")))))</f>
        <v/>
      </c>
      <c r="S23" s="266" t="str">
        <f>IF($E$6='Lookup Tables Options'!$D$4,'Lookup Tables Options'!S19,IF($E$6='Lookup Tables Options'!$D$52,'Lookup Tables Options'!S67,IF($E$6='Lookup Tables Options'!$D$100,'Lookup Tables Options'!S115,IF($E$6='Lookup Tables Options'!$D$148,'Lookup Tables Options'!S163,IF($E$6='Lookup Tables Options'!$D$196,'Lookup Tables Options'!S211,"")))))</f>
        <v/>
      </c>
      <c r="T23" s="264" t="str">
        <f>IF($E$6='Lookup Tables Options'!$D$4,'Lookup Tables Options'!T19,IF($E$6='Lookup Tables Options'!$D$52,'Lookup Tables Options'!T67,IF($E$6='Lookup Tables Options'!$D$100,'Lookup Tables Options'!T115,IF($E$6='Lookup Tables Options'!$D$148,'Lookup Tables Options'!T163,IF($E$6='Lookup Tables Options'!$D$196,'Lookup Tables Options'!T211,"")))))</f>
        <v/>
      </c>
      <c r="U23" s="265" t="str">
        <f>IF($E$6='Lookup Tables Options'!$D$4,'Lookup Tables Options'!U19,IF($E$6='Lookup Tables Options'!$D$52,'Lookup Tables Options'!U67,IF($E$6='Lookup Tables Options'!$D$100,'Lookup Tables Options'!U115,IF($E$6='Lookup Tables Options'!$D$148,'Lookup Tables Options'!U163,IF($E$6='Lookup Tables Options'!$D$196,'Lookup Tables Options'!U211,"")))))</f>
        <v/>
      </c>
      <c r="V23" s="265" t="str">
        <f>IF($E$6='Lookup Tables Options'!$D$4,'Lookup Tables Options'!V19,IF($E$6='Lookup Tables Options'!$D$52,'Lookup Tables Options'!V67,IF($E$6='Lookup Tables Options'!$D$100,'Lookup Tables Options'!V115,IF($E$6='Lookup Tables Options'!$D$148,'Lookup Tables Options'!V163,IF($E$6='Lookup Tables Options'!$D$196,'Lookup Tables Options'!V211,"")))))</f>
        <v/>
      </c>
      <c r="W23" s="265" t="str">
        <f>IF($E$6='Lookup Tables Options'!$D$4,'Lookup Tables Options'!W19,IF($E$6='Lookup Tables Options'!$D$52,'Lookup Tables Options'!W67,IF($E$6='Lookup Tables Options'!$D$100,'Lookup Tables Options'!W115,IF($E$6='Lookup Tables Options'!$D$148,'Lookup Tables Options'!W163,IF($E$6='Lookup Tables Options'!$D$196,'Lookup Tables Options'!W211,"")))))</f>
        <v/>
      </c>
      <c r="X23" s="265" t="str">
        <f>IF($E$6='Lookup Tables Options'!$D$4,'Lookup Tables Options'!X19,IF($E$6='Lookup Tables Options'!$D$52,'Lookup Tables Options'!X67,IF($E$6='Lookup Tables Options'!$D$100,'Lookup Tables Options'!X115,IF($E$6='Lookup Tables Options'!$D$148,'Lookup Tables Options'!X163,IF($E$6='Lookup Tables Options'!$D$196,'Lookup Tables Options'!X211,"")))))</f>
        <v/>
      </c>
      <c r="Y23" s="265" t="str">
        <f>IF($E$6='Lookup Tables Options'!$D$4,'Lookup Tables Options'!Y19,IF($E$6='Lookup Tables Options'!$D$52,'Lookup Tables Options'!Y67,IF($E$6='Lookup Tables Options'!$D$100,'Lookup Tables Options'!Y115,IF($E$6='Lookup Tables Options'!$D$148,'Lookup Tables Options'!Y163,IF($E$6='Lookup Tables Options'!$D$196,'Lookup Tables Options'!Y211,"")))))</f>
        <v/>
      </c>
      <c r="Z23" s="265" t="str">
        <f>IF($E$6='Lookup Tables Options'!$D$4,'Lookup Tables Options'!Z19,IF($E$6='Lookup Tables Options'!$D$52,'Lookup Tables Options'!Z67,IF($E$6='Lookup Tables Options'!$D$100,'Lookup Tables Options'!Z115,IF($E$6='Lookup Tables Options'!$D$148,'Lookup Tables Options'!Z163,IF($E$6='Lookup Tables Options'!$D$196,'Lookup Tables Options'!Z211,"")))))</f>
        <v/>
      </c>
      <c r="AA23" s="265" t="str">
        <f>IF($E$6='Lookup Tables Options'!$D$4,'Lookup Tables Options'!AA19,IF($E$6='Lookup Tables Options'!$D$52,'Lookup Tables Options'!AA67,IF($E$6='Lookup Tables Options'!$D$100,'Lookup Tables Options'!AA115,IF($E$6='Lookup Tables Options'!$D$148,'Lookup Tables Options'!AA163,IF($E$6='Lookup Tables Options'!$D$196,'Lookup Tables Options'!AA211,"")))))</f>
        <v/>
      </c>
      <c r="AB23" s="265" t="str">
        <f>IF($E$6='Lookup Tables Options'!$D$4,'Lookup Tables Options'!AB19,IF($E$6='Lookup Tables Options'!$D$52,'Lookup Tables Options'!AB67,IF($E$6='Lookup Tables Options'!$D$100,'Lookup Tables Options'!AB115,IF($E$6='Lookup Tables Options'!$D$148,'Lookup Tables Options'!AB163,IF($E$6='Lookup Tables Options'!$D$196,'Lookup Tables Options'!AB211,"")))))</f>
        <v/>
      </c>
      <c r="AC23" s="265" t="str">
        <f>IF($E$6='Lookup Tables Options'!$D$4,'Lookup Tables Options'!AC19,IF($E$6='Lookup Tables Options'!$D$52,'Lookup Tables Options'!AC67,IF($E$6='Lookup Tables Options'!$D$100,'Lookup Tables Options'!AC115,IF($E$6='Lookup Tables Options'!$D$148,'Lookup Tables Options'!AC163,IF($E$6='Lookup Tables Options'!$D$196,'Lookup Tables Options'!AC211,"")))))</f>
        <v/>
      </c>
      <c r="AD23" s="264" t="str">
        <f>IF($E$6='Lookup Tables Options'!$D$4,'Lookup Tables Options'!AD19,IF($E$6='Lookup Tables Options'!$D$52,'Lookup Tables Options'!AD67,IF($E$6='Lookup Tables Options'!$D$100,'Lookup Tables Options'!AD115,IF($E$6='Lookup Tables Options'!$D$148,'Lookup Tables Options'!AD163,IF($E$6='Lookup Tables Options'!$D$196,'Lookup Tables Options'!AD211,"")))))</f>
        <v/>
      </c>
      <c r="AE23" s="265" t="str">
        <f>IF($E$6='Lookup Tables Options'!$D$4,'Lookup Tables Options'!AE19,IF($E$6='Lookup Tables Options'!$D$52,'Lookup Tables Options'!AE67,IF($E$6='Lookup Tables Options'!$D$100,'Lookup Tables Options'!AE115,IF($E$6='Lookup Tables Options'!$D$148,'Lookup Tables Options'!AE163,IF($E$6='Lookup Tables Options'!$D$196,'Lookup Tables Options'!AE211,"")))))</f>
        <v/>
      </c>
      <c r="AF23" s="265" t="str">
        <f>IF($E$6='Lookup Tables Options'!$D$4,'Lookup Tables Options'!AF19,IF($E$6='Lookup Tables Options'!$D$52,'Lookup Tables Options'!AF67,IF($E$6='Lookup Tables Options'!$D$100,'Lookup Tables Options'!AF115,IF($E$6='Lookup Tables Options'!$D$148,'Lookup Tables Options'!AF163,IF($E$6='Lookup Tables Options'!$D$196,'Lookup Tables Options'!AF211,"")))))</f>
        <v/>
      </c>
      <c r="AG23" s="265" t="str">
        <f>IF($E$6='Lookup Tables Options'!$D$4,'Lookup Tables Options'!AG19,IF($E$6='Lookup Tables Options'!$D$52,'Lookup Tables Options'!AG67,IF($E$6='Lookup Tables Options'!$D$100,'Lookup Tables Options'!AG115,IF($E$6='Lookup Tables Options'!$D$148,'Lookup Tables Options'!AG163,IF($E$6='Lookup Tables Options'!$D$196,'Lookup Tables Options'!AG211,"")))))</f>
        <v/>
      </c>
      <c r="AH23" s="265" t="str">
        <f>IF($E$6='Lookup Tables Options'!$D$4,'Lookup Tables Options'!AH19,IF($E$6='Lookup Tables Options'!$D$52,'Lookup Tables Options'!AH67,IF($E$6='Lookup Tables Options'!$D$100,'Lookup Tables Options'!AH115,IF($E$6='Lookup Tables Options'!$D$148,'Lookup Tables Options'!AH163,IF($E$6='Lookup Tables Options'!$D$196,'Lookup Tables Options'!AH211,"")))))</f>
        <v/>
      </c>
      <c r="AI23" s="265" t="str">
        <f>IF($E$6='Lookup Tables Options'!$D$4,'Lookup Tables Options'!AI19,IF($E$6='Lookup Tables Options'!$D$52,'Lookup Tables Options'!AI67,IF($E$6='Lookup Tables Options'!$D$100,'Lookup Tables Options'!AI115,IF($E$6='Lookup Tables Options'!$D$148,'Lookup Tables Options'!AI163,IF($E$6='Lookup Tables Options'!$D$196,'Lookup Tables Options'!AI211,"")))))</f>
        <v/>
      </c>
      <c r="AJ23" s="265" t="str">
        <f>IF($E$6='Lookup Tables Options'!$D$4,'Lookup Tables Options'!AJ19,IF($E$6='Lookup Tables Options'!$D$52,'Lookup Tables Options'!AJ67,IF($E$6='Lookup Tables Options'!$D$100,'Lookup Tables Options'!AJ115,IF($E$6='Lookup Tables Options'!$D$148,'Lookup Tables Options'!AJ163,IF($E$6='Lookup Tables Options'!$D$196,'Lookup Tables Options'!AJ211,"")))))</f>
        <v/>
      </c>
      <c r="AK23" s="265" t="str">
        <f>IF($E$6='Lookup Tables Options'!$D$4,'Lookup Tables Options'!AK19,IF($E$6='Lookup Tables Options'!$D$52,'Lookup Tables Options'!AK67,IF($E$6='Lookup Tables Options'!$D$100,'Lookup Tables Options'!AK115,IF($E$6='Lookup Tables Options'!$D$148,'Lookup Tables Options'!AK163,IF($E$6='Lookup Tables Options'!$D$196,'Lookup Tables Options'!AK211,"")))))</f>
        <v/>
      </c>
      <c r="AL23" s="265" t="str">
        <f>IF($E$6='Lookup Tables Options'!$D$4,'Lookup Tables Options'!AL19,IF($E$6='Lookup Tables Options'!$D$52,'Lookup Tables Options'!AL67,IF($E$6='Lookup Tables Options'!$D$100,'Lookup Tables Options'!AL115,IF($E$6='Lookup Tables Options'!$D$148,'Lookup Tables Options'!AL163,IF($E$6='Lookup Tables Options'!$D$196,'Lookup Tables Options'!AL211,"")))))</f>
        <v/>
      </c>
      <c r="AM23" s="266" t="str">
        <f>IF($E$6='Lookup Tables Options'!$D$4,'Lookup Tables Options'!AM19,IF($E$6='Lookup Tables Options'!$D$52,'Lookup Tables Options'!AM67,IF($E$6='Lookup Tables Options'!$D$100,'Lookup Tables Options'!AM115,IF($E$6='Lookup Tables Options'!$D$148,'Lookup Tables Options'!AM163,IF($E$6='Lookup Tables Options'!$D$196,'Lookup Tables Options'!AM211,"")))))</f>
        <v/>
      </c>
    </row>
    <row r="24" spans="4:39" ht="15.6">
      <c r="D24" s="267">
        <v>11</v>
      </c>
      <c r="E24" s="268" t="str">
        <f>IF($E$6='Lookup Tables Options'!$D$4,'Lookup Tables Options'!E20,IF($E$6='Lookup Tables Options'!$D$52,'Lookup Tables Options'!E68,IF($E$6='Lookup Tables Options'!$D$100,'Lookup Tables Options'!E116,IF($E$6='Lookup Tables Options'!$D$148,'Lookup Tables Options'!E164,IF($E$6='Lookup Tables Options'!$D$196,'Lookup Tables Options'!E212,"")))))</f>
        <v/>
      </c>
      <c r="F24" s="269" t="str">
        <f>IF($E$6='Lookup Tables Options'!$D$4,'Lookup Tables Options'!F20,IF($E$6='Lookup Tables Options'!$D$52,'Lookup Tables Options'!F68,IF($E$6='Lookup Tables Options'!$D$100,'Lookup Tables Options'!F116,IF($E$6='Lookup Tables Options'!$D$148,'Lookup Tables Options'!F164,IF($E$6='Lookup Tables Options'!$D$196,'Lookup Tables Options'!F212,"")))))</f>
        <v/>
      </c>
      <c r="G24" s="268" t="str">
        <f>IF($E$6='Lookup Tables Options'!$D$4,'Lookup Tables Options'!G20,IF($E$6='Lookup Tables Options'!$D$52,'Lookup Tables Options'!G68,IF($E$6='Lookup Tables Options'!$D$100,'Lookup Tables Options'!G116,IF($E$6='Lookup Tables Options'!$D$148,'Lookup Tables Options'!G164,IF($E$6='Lookup Tables Options'!$D$196,'Lookup Tables Options'!G212,"")))))</f>
        <v/>
      </c>
      <c r="H24" s="270" t="str">
        <f>IF($E$6='Lookup Tables Options'!$D$4,'Lookup Tables Options'!H20,IF($E$6='Lookup Tables Options'!$D$52,'Lookup Tables Options'!H68,IF($E$6='Lookup Tables Options'!$D$100,'Lookup Tables Options'!H116,IF($E$6='Lookup Tables Options'!$D$148,'Lookup Tables Options'!H164,IF($E$6='Lookup Tables Options'!$D$196,'Lookup Tables Options'!H212,"")))))</f>
        <v/>
      </c>
      <c r="I24" s="270" t="str">
        <f>IF($E$6='Lookup Tables Options'!$D$4,'Lookup Tables Options'!I20,IF($E$6='Lookup Tables Options'!$D$52,'Lookup Tables Options'!I68,IF($E$6='Lookup Tables Options'!$D$100,'Lookup Tables Options'!I116,IF($E$6='Lookup Tables Options'!$D$148,'Lookup Tables Options'!I164,IF($E$6='Lookup Tables Options'!$D$196,'Lookup Tables Options'!I212,"")))))</f>
        <v/>
      </c>
      <c r="J24" s="268" t="str">
        <f>IF($E$6='Lookup Tables Options'!$D$4,'Lookup Tables Options'!J20,IF($E$6='Lookup Tables Options'!$D$52,'Lookup Tables Options'!J68,IF($E$6='Lookup Tables Options'!$D$100,'Lookup Tables Options'!J116,IF($E$6='Lookup Tables Options'!$D$148,'Lookup Tables Options'!J164,IF($E$6='Lookup Tables Options'!$D$196,'Lookup Tables Options'!J212,"")))))</f>
        <v/>
      </c>
      <c r="K24" s="270" t="str">
        <f>IF($E$6='Lookup Tables Options'!$D$4,'Lookup Tables Options'!K20,IF($E$6='Lookup Tables Options'!$D$52,'Lookup Tables Options'!K68,IF($E$6='Lookup Tables Options'!$D$100,'Lookup Tables Options'!K116,IF($E$6='Lookup Tables Options'!$D$148,'Lookup Tables Options'!K164,IF($E$6='Lookup Tables Options'!$D$196,'Lookup Tables Options'!K212,"")))))</f>
        <v/>
      </c>
      <c r="L24" s="270" t="str">
        <f>IF($E$6='Lookup Tables Options'!$D$4,'Lookup Tables Options'!L20,IF($E$6='Lookup Tables Options'!$D$52,'Lookup Tables Options'!L68,IF($E$6='Lookup Tables Options'!$D$100,'Lookup Tables Options'!L116,IF($E$6='Lookup Tables Options'!$D$148,'Lookup Tables Options'!L164,IF($E$6='Lookup Tables Options'!$D$196,'Lookup Tables Options'!L212,"")))))</f>
        <v/>
      </c>
      <c r="M24" s="270" t="str">
        <f>IF($E$6='Lookup Tables Options'!$D$4,'Lookup Tables Options'!M20,IF($E$6='Lookup Tables Options'!$D$52,'Lookup Tables Options'!M68,IF($E$6='Lookup Tables Options'!$D$100,'Lookup Tables Options'!M116,IF($E$6='Lookup Tables Options'!$D$148,'Lookup Tables Options'!M164,IF($E$6='Lookup Tables Options'!$D$196,'Lookup Tables Options'!M212,"")))))</f>
        <v/>
      </c>
      <c r="N24" s="270" t="str">
        <f>IF($E$6='Lookup Tables Options'!$D$4,'Lookup Tables Options'!N20,IF($E$6='Lookup Tables Options'!$D$52,'Lookup Tables Options'!N68,IF($E$6='Lookup Tables Options'!$D$100,'Lookup Tables Options'!N116,IF($E$6='Lookup Tables Options'!$D$148,'Lookup Tables Options'!N164,IF($E$6='Lookup Tables Options'!$D$196,'Lookup Tables Options'!N212,"")))))</f>
        <v/>
      </c>
      <c r="O24" s="270" t="str">
        <f>IF($E$6='Lookup Tables Options'!$D$4,'Lookup Tables Options'!O20,IF($E$6='Lookup Tables Options'!$D$52,'Lookup Tables Options'!O68,IF($E$6='Lookup Tables Options'!$D$100,'Lookup Tables Options'!O116,IF($E$6='Lookup Tables Options'!$D$148,'Lookup Tables Options'!O164,IF($E$6='Lookup Tables Options'!$D$196,'Lookup Tables Options'!O212,"")))))</f>
        <v/>
      </c>
      <c r="P24" s="270" t="str">
        <f>IF($E$6='Lookup Tables Options'!$D$4,'Lookup Tables Options'!P20,IF($E$6='Lookup Tables Options'!$D$52,'Lookup Tables Options'!P68,IF($E$6='Lookup Tables Options'!$D$100,'Lookup Tables Options'!P116,IF($E$6='Lookup Tables Options'!$D$148,'Lookup Tables Options'!P164,IF($E$6='Lookup Tables Options'!$D$196,'Lookup Tables Options'!P212,"")))))</f>
        <v/>
      </c>
      <c r="Q24" s="270" t="str">
        <f>IF($E$6='Lookup Tables Options'!$D$4,'Lookup Tables Options'!Q20,IF($E$6='Lookup Tables Options'!$D$52,'Lookup Tables Options'!Q68,IF($E$6='Lookup Tables Options'!$D$100,'Lookup Tables Options'!Q116,IF($E$6='Lookup Tables Options'!$D$148,'Lookup Tables Options'!Q164,IF($E$6='Lookup Tables Options'!$D$196,'Lookup Tables Options'!Q212,"")))))</f>
        <v/>
      </c>
      <c r="R24" s="270" t="str">
        <f>IF($E$6='Lookup Tables Options'!$D$4,'Lookup Tables Options'!R20,IF($E$6='Lookup Tables Options'!$D$52,'Lookup Tables Options'!R68,IF($E$6='Lookup Tables Options'!$D$100,'Lookup Tables Options'!R116,IF($E$6='Lookup Tables Options'!$D$148,'Lookup Tables Options'!R164,IF($E$6='Lookup Tables Options'!$D$196,'Lookup Tables Options'!R212,"")))))</f>
        <v/>
      </c>
      <c r="S24" s="269" t="str">
        <f>IF($E$6='Lookup Tables Options'!$D$4,'Lookup Tables Options'!S20,IF($E$6='Lookup Tables Options'!$D$52,'Lookup Tables Options'!S68,IF($E$6='Lookup Tables Options'!$D$100,'Lookup Tables Options'!S116,IF($E$6='Lookup Tables Options'!$D$148,'Lookup Tables Options'!S164,IF($E$6='Lookup Tables Options'!$D$196,'Lookup Tables Options'!S212,"")))))</f>
        <v/>
      </c>
      <c r="T24" s="268" t="str">
        <f>IF($E$6='Lookup Tables Options'!$D$4,'Lookup Tables Options'!T20,IF($E$6='Lookup Tables Options'!$D$52,'Lookup Tables Options'!T68,IF($E$6='Lookup Tables Options'!$D$100,'Lookup Tables Options'!T116,IF($E$6='Lookup Tables Options'!$D$148,'Lookup Tables Options'!T164,IF($E$6='Lookup Tables Options'!$D$196,'Lookup Tables Options'!T212,"")))))</f>
        <v/>
      </c>
      <c r="U24" s="270" t="str">
        <f>IF($E$6='Lookup Tables Options'!$D$4,'Lookup Tables Options'!U20,IF($E$6='Lookup Tables Options'!$D$52,'Lookup Tables Options'!U68,IF($E$6='Lookup Tables Options'!$D$100,'Lookup Tables Options'!U116,IF($E$6='Lookup Tables Options'!$D$148,'Lookup Tables Options'!U164,IF($E$6='Lookup Tables Options'!$D$196,'Lookup Tables Options'!U212,"")))))</f>
        <v/>
      </c>
      <c r="V24" s="270" t="str">
        <f>IF($E$6='Lookup Tables Options'!$D$4,'Lookup Tables Options'!V20,IF($E$6='Lookup Tables Options'!$D$52,'Lookup Tables Options'!V68,IF($E$6='Lookup Tables Options'!$D$100,'Lookup Tables Options'!V116,IF($E$6='Lookup Tables Options'!$D$148,'Lookup Tables Options'!V164,IF($E$6='Lookup Tables Options'!$D$196,'Lookup Tables Options'!V212,"")))))</f>
        <v/>
      </c>
      <c r="W24" s="270" t="str">
        <f>IF($E$6='Lookup Tables Options'!$D$4,'Lookup Tables Options'!W20,IF($E$6='Lookup Tables Options'!$D$52,'Lookup Tables Options'!W68,IF($E$6='Lookup Tables Options'!$D$100,'Lookup Tables Options'!W116,IF($E$6='Lookup Tables Options'!$D$148,'Lookup Tables Options'!W164,IF($E$6='Lookup Tables Options'!$D$196,'Lookup Tables Options'!W212,"")))))</f>
        <v/>
      </c>
      <c r="X24" s="270" t="str">
        <f>IF($E$6='Lookup Tables Options'!$D$4,'Lookup Tables Options'!X20,IF($E$6='Lookup Tables Options'!$D$52,'Lookup Tables Options'!X68,IF($E$6='Lookup Tables Options'!$D$100,'Lookup Tables Options'!X116,IF($E$6='Lookup Tables Options'!$D$148,'Lookup Tables Options'!X164,IF($E$6='Lookup Tables Options'!$D$196,'Lookup Tables Options'!X212,"")))))</f>
        <v/>
      </c>
      <c r="Y24" s="270" t="str">
        <f>IF($E$6='Lookup Tables Options'!$D$4,'Lookup Tables Options'!Y20,IF($E$6='Lookup Tables Options'!$D$52,'Lookup Tables Options'!Y68,IF($E$6='Lookup Tables Options'!$D$100,'Lookup Tables Options'!Y116,IF($E$6='Lookup Tables Options'!$D$148,'Lookup Tables Options'!Y164,IF($E$6='Lookup Tables Options'!$D$196,'Lookup Tables Options'!Y212,"")))))</f>
        <v/>
      </c>
      <c r="Z24" s="270" t="str">
        <f>IF($E$6='Lookup Tables Options'!$D$4,'Lookup Tables Options'!Z20,IF($E$6='Lookup Tables Options'!$D$52,'Lookup Tables Options'!Z68,IF($E$6='Lookup Tables Options'!$D$100,'Lookup Tables Options'!Z116,IF($E$6='Lookup Tables Options'!$D$148,'Lookup Tables Options'!Z164,IF($E$6='Lookup Tables Options'!$D$196,'Lookup Tables Options'!Z212,"")))))</f>
        <v/>
      </c>
      <c r="AA24" s="270" t="str">
        <f>IF($E$6='Lookup Tables Options'!$D$4,'Lookup Tables Options'!AA20,IF($E$6='Lookup Tables Options'!$D$52,'Lookup Tables Options'!AA68,IF($E$6='Lookup Tables Options'!$D$100,'Lookup Tables Options'!AA116,IF($E$6='Lookup Tables Options'!$D$148,'Lookup Tables Options'!AA164,IF($E$6='Lookup Tables Options'!$D$196,'Lookup Tables Options'!AA212,"")))))</f>
        <v/>
      </c>
      <c r="AB24" s="270" t="str">
        <f>IF($E$6='Lookup Tables Options'!$D$4,'Lookup Tables Options'!AB20,IF($E$6='Lookup Tables Options'!$D$52,'Lookup Tables Options'!AB68,IF($E$6='Lookup Tables Options'!$D$100,'Lookup Tables Options'!AB116,IF($E$6='Lookup Tables Options'!$D$148,'Lookup Tables Options'!AB164,IF($E$6='Lookup Tables Options'!$D$196,'Lookup Tables Options'!AB212,"")))))</f>
        <v/>
      </c>
      <c r="AC24" s="270" t="str">
        <f>IF($E$6='Lookup Tables Options'!$D$4,'Lookup Tables Options'!AC20,IF($E$6='Lookup Tables Options'!$D$52,'Lookup Tables Options'!AC68,IF($E$6='Lookup Tables Options'!$D$100,'Lookup Tables Options'!AC116,IF($E$6='Lookup Tables Options'!$D$148,'Lookup Tables Options'!AC164,IF($E$6='Lookup Tables Options'!$D$196,'Lookup Tables Options'!AC212,"")))))</f>
        <v/>
      </c>
      <c r="AD24" s="271" t="str">
        <f>IF($E$6='Lookup Tables Options'!$D$4,'Lookup Tables Options'!AD20,IF($E$6='Lookup Tables Options'!$D$52,'Lookup Tables Options'!AD68,IF($E$6='Lookup Tables Options'!$D$100,'Lookup Tables Options'!AD116,IF($E$6='Lookup Tables Options'!$D$148,'Lookup Tables Options'!AD164,IF($E$6='Lookup Tables Options'!$D$196,'Lookup Tables Options'!AD212,"")))))</f>
        <v/>
      </c>
      <c r="AE24" s="272" t="str">
        <f>IF($E$6='Lookup Tables Options'!$D$4,'Lookup Tables Options'!AE20,IF($E$6='Lookup Tables Options'!$D$52,'Lookup Tables Options'!AE68,IF($E$6='Lookup Tables Options'!$D$100,'Lookup Tables Options'!AE116,IF($E$6='Lookup Tables Options'!$D$148,'Lookup Tables Options'!AE164,IF($E$6='Lookup Tables Options'!$D$196,'Lookup Tables Options'!AE212,"")))))</f>
        <v/>
      </c>
      <c r="AF24" s="272" t="str">
        <f>IF($E$6='Lookup Tables Options'!$D$4,'Lookup Tables Options'!AF20,IF($E$6='Lookup Tables Options'!$D$52,'Lookup Tables Options'!AF68,IF($E$6='Lookup Tables Options'!$D$100,'Lookup Tables Options'!AF116,IF($E$6='Lookup Tables Options'!$D$148,'Lookup Tables Options'!AF164,IF($E$6='Lookup Tables Options'!$D$196,'Lookup Tables Options'!AF212,"")))))</f>
        <v/>
      </c>
      <c r="AG24" s="272" t="str">
        <f>IF($E$6='Lookup Tables Options'!$D$4,'Lookup Tables Options'!AG20,IF($E$6='Lookup Tables Options'!$D$52,'Lookup Tables Options'!AG68,IF($E$6='Lookup Tables Options'!$D$100,'Lookup Tables Options'!AG116,IF($E$6='Lookup Tables Options'!$D$148,'Lookup Tables Options'!AG164,IF($E$6='Lookup Tables Options'!$D$196,'Lookup Tables Options'!AG212,"")))))</f>
        <v/>
      </c>
      <c r="AH24" s="272" t="str">
        <f>IF($E$6='Lookup Tables Options'!$D$4,'Lookup Tables Options'!AH20,IF($E$6='Lookup Tables Options'!$D$52,'Lookup Tables Options'!AH68,IF($E$6='Lookup Tables Options'!$D$100,'Lookup Tables Options'!AH116,IF($E$6='Lookup Tables Options'!$D$148,'Lookup Tables Options'!AH164,IF($E$6='Lookup Tables Options'!$D$196,'Lookup Tables Options'!AH212,"")))))</f>
        <v/>
      </c>
      <c r="AI24" s="272" t="str">
        <f>IF($E$6='Lookup Tables Options'!$D$4,'Lookup Tables Options'!AI20,IF($E$6='Lookup Tables Options'!$D$52,'Lookup Tables Options'!AI68,IF($E$6='Lookup Tables Options'!$D$100,'Lookup Tables Options'!AI116,IF($E$6='Lookup Tables Options'!$D$148,'Lookup Tables Options'!AI164,IF($E$6='Lookup Tables Options'!$D$196,'Lookup Tables Options'!AI212,"")))))</f>
        <v/>
      </c>
      <c r="AJ24" s="272" t="str">
        <f>IF($E$6='Lookup Tables Options'!$D$4,'Lookup Tables Options'!AJ20,IF($E$6='Lookup Tables Options'!$D$52,'Lookup Tables Options'!AJ68,IF($E$6='Lookup Tables Options'!$D$100,'Lookup Tables Options'!AJ116,IF($E$6='Lookup Tables Options'!$D$148,'Lookup Tables Options'!AJ164,IF($E$6='Lookup Tables Options'!$D$196,'Lookup Tables Options'!AJ212,"")))))</f>
        <v/>
      </c>
      <c r="AK24" s="272" t="str">
        <f>IF($E$6='Lookup Tables Options'!$D$4,'Lookup Tables Options'!AK20,IF($E$6='Lookup Tables Options'!$D$52,'Lookup Tables Options'!AK68,IF($E$6='Lookup Tables Options'!$D$100,'Lookup Tables Options'!AK116,IF($E$6='Lookup Tables Options'!$D$148,'Lookup Tables Options'!AK164,IF($E$6='Lookup Tables Options'!$D$196,'Lookup Tables Options'!AK212,"")))))</f>
        <v/>
      </c>
      <c r="AL24" s="272" t="str">
        <f>IF($E$6='Lookup Tables Options'!$D$4,'Lookup Tables Options'!AL20,IF($E$6='Lookup Tables Options'!$D$52,'Lookup Tables Options'!AL68,IF($E$6='Lookup Tables Options'!$D$100,'Lookup Tables Options'!AL116,IF($E$6='Lookup Tables Options'!$D$148,'Lookup Tables Options'!AL164,IF($E$6='Lookup Tables Options'!$D$196,'Lookup Tables Options'!AL212,"")))))</f>
        <v/>
      </c>
      <c r="AM24" s="273" t="str">
        <f>IF($E$6='Lookup Tables Options'!$D$4,'Lookup Tables Options'!AM20,IF($E$6='Lookup Tables Options'!$D$52,'Lookup Tables Options'!AM68,IF($E$6='Lookup Tables Options'!$D$100,'Lookup Tables Options'!AM116,IF($E$6='Lookup Tables Options'!$D$148,'Lookup Tables Options'!AM164,IF($E$6='Lookup Tables Options'!$D$196,'Lookup Tables Options'!AM212,"")))))</f>
        <v/>
      </c>
    </row>
    <row r="25" spans="4:39" ht="15.6">
      <c r="D25" s="267">
        <v>12</v>
      </c>
      <c r="E25" s="268" t="str">
        <f>IF($E$6='Lookup Tables Options'!$D$4,'Lookup Tables Options'!E21,IF($E$6='Lookup Tables Options'!$D$52,'Lookup Tables Options'!E69,IF($E$6='Lookup Tables Options'!$D$100,'Lookup Tables Options'!E117,IF($E$6='Lookup Tables Options'!$D$148,'Lookup Tables Options'!E165,IF($E$6='Lookup Tables Options'!$D$196,'Lookup Tables Options'!E213,"")))))</f>
        <v/>
      </c>
      <c r="F25" s="269" t="str">
        <f>IF($E$6='Lookup Tables Options'!$D$4,'Lookup Tables Options'!F21,IF($E$6='Lookup Tables Options'!$D$52,'Lookup Tables Options'!F69,IF($E$6='Lookup Tables Options'!$D$100,'Lookup Tables Options'!F117,IF($E$6='Lookup Tables Options'!$D$148,'Lookup Tables Options'!F165,IF($E$6='Lookup Tables Options'!$D$196,'Lookup Tables Options'!F213,"")))))</f>
        <v/>
      </c>
      <c r="G25" s="268" t="str">
        <f>IF($E$6='Lookup Tables Options'!$D$4,'Lookup Tables Options'!G21,IF($E$6='Lookup Tables Options'!$D$52,'Lookup Tables Options'!G69,IF($E$6='Lookup Tables Options'!$D$100,'Lookup Tables Options'!G117,IF($E$6='Lookup Tables Options'!$D$148,'Lookup Tables Options'!G165,IF($E$6='Lookup Tables Options'!$D$196,'Lookup Tables Options'!G213,"")))))</f>
        <v/>
      </c>
      <c r="H25" s="270" t="str">
        <f>IF($E$6='Lookup Tables Options'!$D$4,'Lookup Tables Options'!H21,IF($E$6='Lookup Tables Options'!$D$52,'Lookup Tables Options'!H69,IF($E$6='Lookup Tables Options'!$D$100,'Lookup Tables Options'!H117,IF($E$6='Lookup Tables Options'!$D$148,'Lookup Tables Options'!H165,IF($E$6='Lookup Tables Options'!$D$196,'Lookup Tables Options'!H213,"")))))</f>
        <v/>
      </c>
      <c r="I25" s="270" t="str">
        <f>IF($E$6='Lookup Tables Options'!$D$4,'Lookup Tables Options'!I21,IF($E$6='Lookup Tables Options'!$D$52,'Lookup Tables Options'!I69,IF($E$6='Lookup Tables Options'!$D$100,'Lookup Tables Options'!I117,IF($E$6='Lookup Tables Options'!$D$148,'Lookup Tables Options'!I165,IF($E$6='Lookup Tables Options'!$D$196,'Lookup Tables Options'!I213,"")))))</f>
        <v/>
      </c>
      <c r="J25" s="268" t="str">
        <f>IF($E$6='Lookup Tables Options'!$D$4,'Lookup Tables Options'!J21,IF($E$6='Lookup Tables Options'!$D$52,'Lookup Tables Options'!J69,IF($E$6='Lookup Tables Options'!$D$100,'Lookup Tables Options'!J117,IF($E$6='Lookup Tables Options'!$D$148,'Lookup Tables Options'!J165,IF($E$6='Lookup Tables Options'!$D$196,'Lookup Tables Options'!J213,"")))))</f>
        <v/>
      </c>
      <c r="K25" s="270" t="str">
        <f>IF($E$6='Lookup Tables Options'!$D$4,'Lookup Tables Options'!K21,IF($E$6='Lookup Tables Options'!$D$52,'Lookup Tables Options'!K69,IF($E$6='Lookup Tables Options'!$D$100,'Lookup Tables Options'!K117,IF($E$6='Lookup Tables Options'!$D$148,'Lookup Tables Options'!K165,IF($E$6='Lookup Tables Options'!$D$196,'Lookup Tables Options'!K213,"")))))</f>
        <v/>
      </c>
      <c r="L25" s="270" t="str">
        <f>IF($E$6='Lookup Tables Options'!$D$4,'Lookup Tables Options'!L21,IF($E$6='Lookup Tables Options'!$D$52,'Lookup Tables Options'!L69,IF($E$6='Lookup Tables Options'!$D$100,'Lookup Tables Options'!L117,IF($E$6='Lookup Tables Options'!$D$148,'Lookup Tables Options'!L165,IF($E$6='Lookup Tables Options'!$D$196,'Lookup Tables Options'!L213,"")))))</f>
        <v/>
      </c>
      <c r="M25" s="270" t="str">
        <f>IF($E$6='Lookup Tables Options'!$D$4,'Lookup Tables Options'!M21,IF($E$6='Lookup Tables Options'!$D$52,'Lookup Tables Options'!M69,IF($E$6='Lookup Tables Options'!$D$100,'Lookup Tables Options'!M117,IF($E$6='Lookup Tables Options'!$D$148,'Lookup Tables Options'!M165,IF($E$6='Lookup Tables Options'!$D$196,'Lookup Tables Options'!M213,"")))))</f>
        <v/>
      </c>
      <c r="N25" s="270" t="str">
        <f>IF($E$6='Lookup Tables Options'!$D$4,'Lookup Tables Options'!N21,IF($E$6='Lookup Tables Options'!$D$52,'Lookup Tables Options'!N69,IF($E$6='Lookup Tables Options'!$D$100,'Lookup Tables Options'!N117,IF($E$6='Lookup Tables Options'!$D$148,'Lookup Tables Options'!N165,IF($E$6='Lookup Tables Options'!$D$196,'Lookup Tables Options'!N213,"")))))</f>
        <v/>
      </c>
      <c r="O25" s="270" t="str">
        <f>IF($E$6='Lookup Tables Options'!$D$4,'Lookup Tables Options'!O21,IF($E$6='Lookup Tables Options'!$D$52,'Lookup Tables Options'!O69,IF($E$6='Lookup Tables Options'!$D$100,'Lookup Tables Options'!O117,IF($E$6='Lookup Tables Options'!$D$148,'Lookup Tables Options'!O165,IF($E$6='Lookup Tables Options'!$D$196,'Lookup Tables Options'!O213,"")))))</f>
        <v/>
      </c>
      <c r="P25" s="270" t="str">
        <f>IF($E$6='Lookup Tables Options'!$D$4,'Lookup Tables Options'!P21,IF($E$6='Lookup Tables Options'!$D$52,'Lookup Tables Options'!P69,IF($E$6='Lookup Tables Options'!$D$100,'Lookup Tables Options'!P117,IF($E$6='Lookup Tables Options'!$D$148,'Lookup Tables Options'!P165,IF($E$6='Lookup Tables Options'!$D$196,'Lookup Tables Options'!P213,"")))))</f>
        <v/>
      </c>
      <c r="Q25" s="270" t="str">
        <f>IF($E$6='Lookup Tables Options'!$D$4,'Lookup Tables Options'!Q21,IF($E$6='Lookup Tables Options'!$D$52,'Lookup Tables Options'!Q69,IF($E$6='Lookup Tables Options'!$D$100,'Lookup Tables Options'!Q117,IF($E$6='Lookup Tables Options'!$D$148,'Lookup Tables Options'!Q165,IF($E$6='Lookup Tables Options'!$D$196,'Lookup Tables Options'!Q213,"")))))</f>
        <v/>
      </c>
      <c r="R25" s="270" t="str">
        <f>IF($E$6='Lookup Tables Options'!$D$4,'Lookup Tables Options'!R21,IF($E$6='Lookup Tables Options'!$D$52,'Lookup Tables Options'!R69,IF($E$6='Lookup Tables Options'!$D$100,'Lookup Tables Options'!R117,IF($E$6='Lookup Tables Options'!$D$148,'Lookup Tables Options'!R165,IF($E$6='Lookup Tables Options'!$D$196,'Lookup Tables Options'!R213,"")))))</f>
        <v/>
      </c>
      <c r="S25" s="269" t="str">
        <f>IF($E$6='Lookup Tables Options'!$D$4,'Lookup Tables Options'!S21,IF($E$6='Lookup Tables Options'!$D$52,'Lookup Tables Options'!S69,IF($E$6='Lookup Tables Options'!$D$100,'Lookup Tables Options'!S117,IF($E$6='Lookup Tables Options'!$D$148,'Lookup Tables Options'!S165,IF($E$6='Lookup Tables Options'!$D$196,'Lookup Tables Options'!S213,"")))))</f>
        <v/>
      </c>
      <c r="T25" s="268" t="str">
        <f>IF($E$6='Lookup Tables Options'!$D$4,'Lookup Tables Options'!T21,IF($E$6='Lookup Tables Options'!$D$52,'Lookup Tables Options'!T69,IF($E$6='Lookup Tables Options'!$D$100,'Lookup Tables Options'!T117,IF($E$6='Lookup Tables Options'!$D$148,'Lookup Tables Options'!T165,IF($E$6='Lookup Tables Options'!$D$196,'Lookup Tables Options'!T213,"")))))</f>
        <v/>
      </c>
      <c r="U25" s="270" t="str">
        <f>IF($E$6='Lookup Tables Options'!$D$4,'Lookup Tables Options'!U21,IF($E$6='Lookup Tables Options'!$D$52,'Lookup Tables Options'!U69,IF($E$6='Lookup Tables Options'!$D$100,'Lookup Tables Options'!U117,IF($E$6='Lookup Tables Options'!$D$148,'Lookup Tables Options'!U165,IF($E$6='Lookup Tables Options'!$D$196,'Lookup Tables Options'!U213,"")))))</f>
        <v/>
      </c>
      <c r="V25" s="270" t="str">
        <f>IF($E$6='Lookup Tables Options'!$D$4,'Lookup Tables Options'!V21,IF($E$6='Lookup Tables Options'!$D$52,'Lookup Tables Options'!V69,IF($E$6='Lookup Tables Options'!$D$100,'Lookup Tables Options'!V117,IF($E$6='Lookup Tables Options'!$D$148,'Lookup Tables Options'!V165,IF($E$6='Lookup Tables Options'!$D$196,'Lookup Tables Options'!V213,"")))))</f>
        <v/>
      </c>
      <c r="W25" s="270" t="str">
        <f>IF($E$6='Lookup Tables Options'!$D$4,'Lookup Tables Options'!W21,IF($E$6='Lookup Tables Options'!$D$52,'Lookup Tables Options'!W69,IF($E$6='Lookup Tables Options'!$D$100,'Lookup Tables Options'!W117,IF($E$6='Lookup Tables Options'!$D$148,'Lookup Tables Options'!W165,IF($E$6='Lookup Tables Options'!$D$196,'Lookup Tables Options'!W213,"")))))</f>
        <v/>
      </c>
      <c r="X25" s="270" t="str">
        <f>IF($E$6='Lookup Tables Options'!$D$4,'Lookup Tables Options'!X21,IF($E$6='Lookup Tables Options'!$D$52,'Lookup Tables Options'!X69,IF($E$6='Lookup Tables Options'!$D$100,'Lookup Tables Options'!X117,IF($E$6='Lookup Tables Options'!$D$148,'Lookup Tables Options'!X165,IF($E$6='Lookup Tables Options'!$D$196,'Lookup Tables Options'!X213,"")))))</f>
        <v/>
      </c>
      <c r="Y25" s="270" t="str">
        <f>IF($E$6='Lookup Tables Options'!$D$4,'Lookup Tables Options'!Y21,IF($E$6='Lookup Tables Options'!$D$52,'Lookup Tables Options'!Y69,IF($E$6='Lookup Tables Options'!$D$100,'Lookup Tables Options'!Y117,IF($E$6='Lookup Tables Options'!$D$148,'Lookup Tables Options'!Y165,IF($E$6='Lookup Tables Options'!$D$196,'Lookup Tables Options'!Y213,"")))))</f>
        <v/>
      </c>
      <c r="Z25" s="270" t="str">
        <f>IF($E$6='Lookup Tables Options'!$D$4,'Lookup Tables Options'!Z21,IF($E$6='Lookup Tables Options'!$D$52,'Lookup Tables Options'!Z69,IF($E$6='Lookup Tables Options'!$D$100,'Lookup Tables Options'!Z117,IF($E$6='Lookup Tables Options'!$D$148,'Lookup Tables Options'!Z165,IF($E$6='Lookup Tables Options'!$D$196,'Lookup Tables Options'!Z213,"")))))</f>
        <v/>
      </c>
      <c r="AA25" s="270" t="str">
        <f>IF($E$6='Lookup Tables Options'!$D$4,'Lookup Tables Options'!AA21,IF($E$6='Lookup Tables Options'!$D$52,'Lookup Tables Options'!AA69,IF($E$6='Lookup Tables Options'!$D$100,'Lookup Tables Options'!AA117,IF($E$6='Lookup Tables Options'!$D$148,'Lookup Tables Options'!AA165,IF($E$6='Lookup Tables Options'!$D$196,'Lookup Tables Options'!AA213,"")))))</f>
        <v/>
      </c>
      <c r="AB25" s="270" t="str">
        <f>IF($E$6='Lookup Tables Options'!$D$4,'Lookup Tables Options'!AB21,IF($E$6='Lookup Tables Options'!$D$52,'Lookup Tables Options'!AB69,IF($E$6='Lookup Tables Options'!$D$100,'Lookup Tables Options'!AB117,IF($E$6='Lookup Tables Options'!$D$148,'Lookup Tables Options'!AB165,IF($E$6='Lookup Tables Options'!$D$196,'Lookup Tables Options'!AB213,"")))))</f>
        <v/>
      </c>
      <c r="AC25" s="270" t="str">
        <f>IF($E$6='Lookup Tables Options'!$D$4,'Lookup Tables Options'!AC21,IF($E$6='Lookup Tables Options'!$D$52,'Lookup Tables Options'!AC69,IF($E$6='Lookup Tables Options'!$D$100,'Lookup Tables Options'!AC117,IF($E$6='Lookup Tables Options'!$D$148,'Lookup Tables Options'!AC165,IF($E$6='Lookup Tables Options'!$D$196,'Lookup Tables Options'!AC213,"")))))</f>
        <v/>
      </c>
      <c r="AD25" s="268" t="str">
        <f>IF($E$6='Lookup Tables Options'!$D$4,'Lookup Tables Options'!AD21,IF($E$6='Lookup Tables Options'!$D$52,'Lookup Tables Options'!AD69,IF($E$6='Lookup Tables Options'!$D$100,'Lookup Tables Options'!AD117,IF($E$6='Lookup Tables Options'!$D$148,'Lookup Tables Options'!AD165,IF($E$6='Lookup Tables Options'!$D$196,'Lookup Tables Options'!AD213,"")))))</f>
        <v/>
      </c>
      <c r="AE25" s="270" t="str">
        <f>IF($E$6='Lookup Tables Options'!$D$4,'Lookup Tables Options'!AE21,IF($E$6='Lookup Tables Options'!$D$52,'Lookup Tables Options'!AE69,IF($E$6='Lookup Tables Options'!$D$100,'Lookup Tables Options'!AE117,IF($E$6='Lookup Tables Options'!$D$148,'Lookup Tables Options'!AE165,IF($E$6='Lookup Tables Options'!$D$196,'Lookup Tables Options'!AE213,"")))))</f>
        <v/>
      </c>
      <c r="AF25" s="270" t="str">
        <f>IF($E$6='Lookup Tables Options'!$D$4,'Lookup Tables Options'!AF21,IF($E$6='Lookup Tables Options'!$D$52,'Lookup Tables Options'!AF69,IF($E$6='Lookup Tables Options'!$D$100,'Lookup Tables Options'!AF117,IF($E$6='Lookup Tables Options'!$D$148,'Lookup Tables Options'!AF165,IF($E$6='Lookup Tables Options'!$D$196,'Lookup Tables Options'!AF213,"")))))</f>
        <v/>
      </c>
      <c r="AG25" s="270" t="str">
        <f>IF($E$6='Lookup Tables Options'!$D$4,'Lookup Tables Options'!AG21,IF($E$6='Lookup Tables Options'!$D$52,'Lookup Tables Options'!AG69,IF($E$6='Lookup Tables Options'!$D$100,'Lookup Tables Options'!AG117,IF($E$6='Lookup Tables Options'!$D$148,'Lookup Tables Options'!AG165,IF($E$6='Lookup Tables Options'!$D$196,'Lookup Tables Options'!AG213,"")))))</f>
        <v/>
      </c>
      <c r="AH25" s="270" t="str">
        <f>IF($E$6='Lookup Tables Options'!$D$4,'Lookup Tables Options'!AH21,IF($E$6='Lookup Tables Options'!$D$52,'Lookup Tables Options'!AH69,IF($E$6='Lookup Tables Options'!$D$100,'Lookup Tables Options'!AH117,IF($E$6='Lookup Tables Options'!$D$148,'Lookup Tables Options'!AH165,IF($E$6='Lookup Tables Options'!$D$196,'Lookup Tables Options'!AH213,"")))))</f>
        <v/>
      </c>
      <c r="AI25" s="270" t="str">
        <f>IF($E$6='Lookup Tables Options'!$D$4,'Lookup Tables Options'!AI21,IF($E$6='Lookup Tables Options'!$D$52,'Lookup Tables Options'!AI69,IF($E$6='Lookup Tables Options'!$D$100,'Lookup Tables Options'!AI117,IF($E$6='Lookup Tables Options'!$D$148,'Lookup Tables Options'!AI165,IF($E$6='Lookup Tables Options'!$D$196,'Lookup Tables Options'!AI213,"")))))</f>
        <v/>
      </c>
      <c r="AJ25" s="270" t="str">
        <f>IF($E$6='Lookup Tables Options'!$D$4,'Lookup Tables Options'!AJ21,IF($E$6='Lookup Tables Options'!$D$52,'Lookup Tables Options'!AJ69,IF($E$6='Lookup Tables Options'!$D$100,'Lookup Tables Options'!AJ117,IF($E$6='Lookup Tables Options'!$D$148,'Lookup Tables Options'!AJ165,IF($E$6='Lookup Tables Options'!$D$196,'Lookup Tables Options'!AJ213,"")))))</f>
        <v/>
      </c>
      <c r="AK25" s="270" t="str">
        <f>IF($E$6='Lookup Tables Options'!$D$4,'Lookup Tables Options'!AK21,IF($E$6='Lookup Tables Options'!$D$52,'Lookup Tables Options'!AK69,IF($E$6='Lookup Tables Options'!$D$100,'Lookup Tables Options'!AK117,IF($E$6='Lookup Tables Options'!$D$148,'Lookup Tables Options'!AK165,IF($E$6='Lookup Tables Options'!$D$196,'Lookup Tables Options'!AK213,"")))))</f>
        <v/>
      </c>
      <c r="AL25" s="270" t="str">
        <f>IF($E$6='Lookup Tables Options'!$D$4,'Lookup Tables Options'!AL21,IF($E$6='Lookup Tables Options'!$D$52,'Lookup Tables Options'!AL69,IF($E$6='Lookup Tables Options'!$D$100,'Lookup Tables Options'!AL117,IF($E$6='Lookup Tables Options'!$D$148,'Lookup Tables Options'!AL165,IF($E$6='Lookup Tables Options'!$D$196,'Lookup Tables Options'!AL213,"")))))</f>
        <v/>
      </c>
      <c r="AM25" s="269" t="str">
        <f>IF($E$6='Lookup Tables Options'!$D$4,'Lookup Tables Options'!AM21,IF($E$6='Lookup Tables Options'!$D$52,'Lookup Tables Options'!AM69,IF($E$6='Lookup Tables Options'!$D$100,'Lookup Tables Options'!AM117,IF($E$6='Lookup Tables Options'!$D$148,'Lookup Tables Options'!AM165,IF($E$6='Lookup Tables Options'!$D$196,'Lookup Tables Options'!AM213,"")))))</f>
        <v/>
      </c>
    </row>
    <row r="26" spans="4:39" ht="15.6">
      <c r="D26" s="267">
        <v>13</v>
      </c>
      <c r="E26" s="268" t="str">
        <f>IF($E$6='Lookup Tables Options'!$D$4,'Lookup Tables Options'!E22,IF($E$6='Lookup Tables Options'!$D$52,'Lookup Tables Options'!E70,IF($E$6='Lookup Tables Options'!$D$100,'Lookup Tables Options'!E118,IF($E$6='Lookup Tables Options'!$D$148,'Lookup Tables Options'!E166,IF($E$6='Lookup Tables Options'!$D$196,'Lookup Tables Options'!E214,"")))))</f>
        <v/>
      </c>
      <c r="F26" s="269" t="str">
        <f>IF($E$6='Lookup Tables Options'!$D$4,'Lookup Tables Options'!F22,IF($E$6='Lookup Tables Options'!$D$52,'Lookup Tables Options'!F70,IF($E$6='Lookup Tables Options'!$D$100,'Lookup Tables Options'!F118,IF($E$6='Lookup Tables Options'!$D$148,'Lookup Tables Options'!F166,IF($E$6='Lookup Tables Options'!$D$196,'Lookup Tables Options'!F214,"")))))</f>
        <v/>
      </c>
      <c r="G26" s="268" t="str">
        <f>IF($E$6='Lookup Tables Options'!$D$4,'Lookup Tables Options'!G22,IF($E$6='Lookup Tables Options'!$D$52,'Lookup Tables Options'!G70,IF($E$6='Lookup Tables Options'!$D$100,'Lookup Tables Options'!G118,IF($E$6='Lookup Tables Options'!$D$148,'Lookup Tables Options'!G166,IF($E$6='Lookup Tables Options'!$D$196,'Lookup Tables Options'!G214,"")))))</f>
        <v/>
      </c>
      <c r="H26" s="270" t="str">
        <f>IF($E$6='Lookup Tables Options'!$D$4,'Lookup Tables Options'!H22,IF($E$6='Lookup Tables Options'!$D$52,'Lookup Tables Options'!H70,IF($E$6='Lookup Tables Options'!$D$100,'Lookup Tables Options'!H118,IF($E$6='Lookup Tables Options'!$D$148,'Lookup Tables Options'!H166,IF($E$6='Lookup Tables Options'!$D$196,'Lookup Tables Options'!H214,"")))))</f>
        <v/>
      </c>
      <c r="I26" s="270" t="str">
        <f>IF($E$6='Lookup Tables Options'!$D$4,'Lookup Tables Options'!I22,IF($E$6='Lookup Tables Options'!$D$52,'Lookup Tables Options'!I70,IF($E$6='Lookup Tables Options'!$D$100,'Lookup Tables Options'!I118,IF($E$6='Lookup Tables Options'!$D$148,'Lookup Tables Options'!I166,IF($E$6='Lookup Tables Options'!$D$196,'Lookup Tables Options'!I214,"")))))</f>
        <v/>
      </c>
      <c r="J26" s="268" t="str">
        <f>IF($E$6='Lookup Tables Options'!$D$4,'Lookup Tables Options'!J22,IF($E$6='Lookup Tables Options'!$D$52,'Lookup Tables Options'!J70,IF($E$6='Lookup Tables Options'!$D$100,'Lookup Tables Options'!J118,IF($E$6='Lookup Tables Options'!$D$148,'Lookup Tables Options'!J166,IF($E$6='Lookup Tables Options'!$D$196,'Lookup Tables Options'!J214,"")))))</f>
        <v/>
      </c>
      <c r="K26" s="270" t="str">
        <f>IF($E$6='Lookup Tables Options'!$D$4,'Lookup Tables Options'!K22,IF($E$6='Lookup Tables Options'!$D$52,'Lookup Tables Options'!K70,IF($E$6='Lookup Tables Options'!$D$100,'Lookup Tables Options'!K118,IF($E$6='Lookup Tables Options'!$D$148,'Lookup Tables Options'!K166,IF($E$6='Lookup Tables Options'!$D$196,'Lookup Tables Options'!K214,"")))))</f>
        <v/>
      </c>
      <c r="L26" s="270" t="str">
        <f>IF($E$6='Lookup Tables Options'!$D$4,'Lookup Tables Options'!L22,IF($E$6='Lookup Tables Options'!$D$52,'Lookup Tables Options'!L70,IF($E$6='Lookup Tables Options'!$D$100,'Lookup Tables Options'!L118,IF($E$6='Lookup Tables Options'!$D$148,'Lookup Tables Options'!L166,IF($E$6='Lookup Tables Options'!$D$196,'Lookup Tables Options'!L214,"")))))</f>
        <v/>
      </c>
      <c r="M26" s="270" t="str">
        <f>IF($E$6='Lookup Tables Options'!$D$4,'Lookup Tables Options'!M22,IF($E$6='Lookup Tables Options'!$D$52,'Lookup Tables Options'!M70,IF($E$6='Lookup Tables Options'!$D$100,'Lookup Tables Options'!M118,IF($E$6='Lookup Tables Options'!$D$148,'Lookup Tables Options'!M166,IF($E$6='Lookup Tables Options'!$D$196,'Lookup Tables Options'!M214,"")))))</f>
        <v/>
      </c>
      <c r="N26" s="270" t="str">
        <f>IF($E$6='Lookup Tables Options'!$D$4,'Lookup Tables Options'!N22,IF($E$6='Lookup Tables Options'!$D$52,'Lookup Tables Options'!N70,IF($E$6='Lookup Tables Options'!$D$100,'Lookup Tables Options'!N118,IF($E$6='Lookup Tables Options'!$D$148,'Lookup Tables Options'!N166,IF($E$6='Lookup Tables Options'!$D$196,'Lookup Tables Options'!N214,"")))))</f>
        <v/>
      </c>
      <c r="O26" s="270" t="str">
        <f>IF($E$6='Lookup Tables Options'!$D$4,'Lookup Tables Options'!O22,IF($E$6='Lookup Tables Options'!$D$52,'Lookup Tables Options'!O70,IF($E$6='Lookup Tables Options'!$D$100,'Lookup Tables Options'!O118,IF($E$6='Lookup Tables Options'!$D$148,'Lookup Tables Options'!O166,IF($E$6='Lookup Tables Options'!$D$196,'Lookup Tables Options'!O214,"")))))</f>
        <v/>
      </c>
      <c r="P26" s="270" t="str">
        <f>IF($E$6='Lookup Tables Options'!$D$4,'Lookup Tables Options'!P22,IF($E$6='Lookup Tables Options'!$D$52,'Lookup Tables Options'!P70,IF($E$6='Lookup Tables Options'!$D$100,'Lookup Tables Options'!P118,IF($E$6='Lookup Tables Options'!$D$148,'Lookup Tables Options'!P166,IF($E$6='Lookup Tables Options'!$D$196,'Lookup Tables Options'!P214,"")))))</f>
        <v/>
      </c>
      <c r="Q26" s="270" t="str">
        <f>IF($E$6='Lookup Tables Options'!$D$4,'Lookup Tables Options'!Q22,IF($E$6='Lookup Tables Options'!$D$52,'Lookup Tables Options'!Q70,IF($E$6='Lookup Tables Options'!$D$100,'Lookup Tables Options'!Q118,IF($E$6='Lookup Tables Options'!$D$148,'Lookup Tables Options'!Q166,IF($E$6='Lookup Tables Options'!$D$196,'Lookup Tables Options'!Q214,"")))))</f>
        <v/>
      </c>
      <c r="R26" s="270" t="str">
        <f>IF($E$6='Lookup Tables Options'!$D$4,'Lookup Tables Options'!R22,IF($E$6='Lookup Tables Options'!$D$52,'Lookup Tables Options'!R70,IF($E$6='Lookup Tables Options'!$D$100,'Lookup Tables Options'!R118,IF($E$6='Lookup Tables Options'!$D$148,'Lookup Tables Options'!R166,IF($E$6='Lookup Tables Options'!$D$196,'Lookup Tables Options'!R214,"")))))</f>
        <v/>
      </c>
      <c r="S26" s="269" t="str">
        <f>IF($E$6='Lookup Tables Options'!$D$4,'Lookup Tables Options'!S22,IF($E$6='Lookup Tables Options'!$D$52,'Lookup Tables Options'!S70,IF($E$6='Lookup Tables Options'!$D$100,'Lookup Tables Options'!S118,IF($E$6='Lookup Tables Options'!$D$148,'Lookup Tables Options'!S166,IF($E$6='Lookup Tables Options'!$D$196,'Lookup Tables Options'!S214,"")))))</f>
        <v/>
      </c>
      <c r="T26" s="268" t="str">
        <f>IF($E$6='Lookup Tables Options'!$D$4,'Lookup Tables Options'!T22,IF($E$6='Lookup Tables Options'!$D$52,'Lookup Tables Options'!T70,IF($E$6='Lookup Tables Options'!$D$100,'Lookup Tables Options'!T118,IF($E$6='Lookup Tables Options'!$D$148,'Lookup Tables Options'!T166,IF($E$6='Lookup Tables Options'!$D$196,'Lookup Tables Options'!T214,"")))))</f>
        <v/>
      </c>
      <c r="U26" s="270" t="str">
        <f>IF($E$6='Lookup Tables Options'!$D$4,'Lookup Tables Options'!U22,IF($E$6='Lookup Tables Options'!$D$52,'Lookup Tables Options'!U70,IF($E$6='Lookup Tables Options'!$D$100,'Lookup Tables Options'!U118,IF($E$6='Lookup Tables Options'!$D$148,'Lookup Tables Options'!U166,IF($E$6='Lookup Tables Options'!$D$196,'Lookup Tables Options'!U214,"")))))</f>
        <v/>
      </c>
      <c r="V26" s="270" t="str">
        <f>IF($E$6='Lookup Tables Options'!$D$4,'Lookup Tables Options'!V22,IF($E$6='Lookup Tables Options'!$D$52,'Lookup Tables Options'!V70,IF($E$6='Lookup Tables Options'!$D$100,'Lookup Tables Options'!V118,IF($E$6='Lookup Tables Options'!$D$148,'Lookup Tables Options'!V166,IF($E$6='Lookup Tables Options'!$D$196,'Lookup Tables Options'!V214,"")))))</f>
        <v/>
      </c>
      <c r="W26" s="270" t="str">
        <f>IF($E$6='Lookup Tables Options'!$D$4,'Lookup Tables Options'!W22,IF($E$6='Lookup Tables Options'!$D$52,'Lookup Tables Options'!W70,IF($E$6='Lookup Tables Options'!$D$100,'Lookup Tables Options'!W118,IF($E$6='Lookup Tables Options'!$D$148,'Lookup Tables Options'!W166,IF($E$6='Lookup Tables Options'!$D$196,'Lookup Tables Options'!W214,"")))))</f>
        <v/>
      </c>
      <c r="X26" s="270" t="str">
        <f>IF($E$6='Lookup Tables Options'!$D$4,'Lookup Tables Options'!X22,IF($E$6='Lookup Tables Options'!$D$52,'Lookup Tables Options'!X70,IF($E$6='Lookup Tables Options'!$D$100,'Lookup Tables Options'!X118,IF($E$6='Lookup Tables Options'!$D$148,'Lookup Tables Options'!X166,IF($E$6='Lookup Tables Options'!$D$196,'Lookup Tables Options'!X214,"")))))</f>
        <v/>
      </c>
      <c r="Y26" s="270" t="str">
        <f>IF($E$6='Lookup Tables Options'!$D$4,'Lookup Tables Options'!Y22,IF($E$6='Lookup Tables Options'!$D$52,'Lookup Tables Options'!Y70,IF($E$6='Lookup Tables Options'!$D$100,'Lookup Tables Options'!Y118,IF($E$6='Lookup Tables Options'!$D$148,'Lookup Tables Options'!Y166,IF($E$6='Lookup Tables Options'!$D$196,'Lookup Tables Options'!Y214,"")))))</f>
        <v/>
      </c>
      <c r="Z26" s="270" t="str">
        <f>IF($E$6='Lookup Tables Options'!$D$4,'Lookup Tables Options'!Z22,IF($E$6='Lookup Tables Options'!$D$52,'Lookup Tables Options'!Z70,IF($E$6='Lookup Tables Options'!$D$100,'Lookup Tables Options'!Z118,IF($E$6='Lookup Tables Options'!$D$148,'Lookup Tables Options'!Z166,IF($E$6='Lookup Tables Options'!$D$196,'Lookup Tables Options'!Z214,"")))))</f>
        <v/>
      </c>
      <c r="AA26" s="270" t="str">
        <f>IF($E$6='Lookup Tables Options'!$D$4,'Lookup Tables Options'!AA22,IF($E$6='Lookup Tables Options'!$D$52,'Lookup Tables Options'!AA70,IF($E$6='Lookup Tables Options'!$D$100,'Lookup Tables Options'!AA118,IF($E$6='Lookup Tables Options'!$D$148,'Lookup Tables Options'!AA166,IF($E$6='Lookup Tables Options'!$D$196,'Lookup Tables Options'!AA214,"")))))</f>
        <v/>
      </c>
      <c r="AB26" s="270" t="str">
        <f>IF($E$6='Lookup Tables Options'!$D$4,'Lookup Tables Options'!AB22,IF($E$6='Lookup Tables Options'!$D$52,'Lookup Tables Options'!AB70,IF($E$6='Lookup Tables Options'!$D$100,'Lookup Tables Options'!AB118,IF($E$6='Lookup Tables Options'!$D$148,'Lookup Tables Options'!AB166,IF($E$6='Lookup Tables Options'!$D$196,'Lookup Tables Options'!AB214,"")))))</f>
        <v/>
      </c>
      <c r="AC26" s="270" t="str">
        <f>IF($E$6='Lookup Tables Options'!$D$4,'Lookup Tables Options'!AC22,IF($E$6='Lookup Tables Options'!$D$52,'Lookup Tables Options'!AC70,IF($E$6='Lookup Tables Options'!$D$100,'Lookup Tables Options'!AC118,IF($E$6='Lookup Tables Options'!$D$148,'Lookup Tables Options'!AC166,IF($E$6='Lookup Tables Options'!$D$196,'Lookup Tables Options'!AC214,"")))))</f>
        <v/>
      </c>
      <c r="AD26" s="268" t="str">
        <f>IF($E$6='Lookup Tables Options'!$D$4,'Lookup Tables Options'!AD22,IF($E$6='Lookup Tables Options'!$D$52,'Lookup Tables Options'!AD70,IF($E$6='Lookup Tables Options'!$D$100,'Lookup Tables Options'!AD118,IF($E$6='Lookup Tables Options'!$D$148,'Lookup Tables Options'!AD166,IF($E$6='Lookup Tables Options'!$D$196,'Lookup Tables Options'!AD214,"")))))</f>
        <v/>
      </c>
      <c r="AE26" s="270" t="str">
        <f>IF($E$6='Lookup Tables Options'!$D$4,'Lookup Tables Options'!AE22,IF($E$6='Lookup Tables Options'!$D$52,'Lookup Tables Options'!AE70,IF($E$6='Lookup Tables Options'!$D$100,'Lookup Tables Options'!AE118,IF($E$6='Lookup Tables Options'!$D$148,'Lookup Tables Options'!AE166,IF($E$6='Lookup Tables Options'!$D$196,'Lookup Tables Options'!AE214,"")))))</f>
        <v/>
      </c>
      <c r="AF26" s="270" t="str">
        <f>IF($E$6='Lookup Tables Options'!$D$4,'Lookup Tables Options'!AF22,IF($E$6='Lookup Tables Options'!$D$52,'Lookup Tables Options'!AF70,IF($E$6='Lookup Tables Options'!$D$100,'Lookup Tables Options'!AF118,IF($E$6='Lookup Tables Options'!$D$148,'Lookup Tables Options'!AF166,IF($E$6='Lookup Tables Options'!$D$196,'Lookup Tables Options'!AF214,"")))))</f>
        <v/>
      </c>
      <c r="AG26" s="270" t="str">
        <f>IF($E$6='Lookup Tables Options'!$D$4,'Lookup Tables Options'!AG22,IF($E$6='Lookup Tables Options'!$D$52,'Lookup Tables Options'!AG70,IF($E$6='Lookup Tables Options'!$D$100,'Lookup Tables Options'!AG118,IF($E$6='Lookup Tables Options'!$D$148,'Lookup Tables Options'!AG166,IF($E$6='Lookup Tables Options'!$D$196,'Lookup Tables Options'!AG214,"")))))</f>
        <v/>
      </c>
      <c r="AH26" s="270" t="str">
        <f>IF($E$6='Lookup Tables Options'!$D$4,'Lookup Tables Options'!AH22,IF($E$6='Lookup Tables Options'!$D$52,'Lookup Tables Options'!AH70,IF($E$6='Lookup Tables Options'!$D$100,'Lookup Tables Options'!AH118,IF($E$6='Lookup Tables Options'!$D$148,'Lookup Tables Options'!AH166,IF($E$6='Lookup Tables Options'!$D$196,'Lookup Tables Options'!AH214,"")))))</f>
        <v/>
      </c>
      <c r="AI26" s="270" t="str">
        <f>IF($E$6='Lookup Tables Options'!$D$4,'Lookup Tables Options'!AI22,IF($E$6='Lookup Tables Options'!$D$52,'Lookup Tables Options'!AI70,IF($E$6='Lookup Tables Options'!$D$100,'Lookup Tables Options'!AI118,IF($E$6='Lookup Tables Options'!$D$148,'Lookup Tables Options'!AI166,IF($E$6='Lookup Tables Options'!$D$196,'Lookup Tables Options'!AI214,"")))))</f>
        <v/>
      </c>
      <c r="AJ26" s="270" t="str">
        <f>IF($E$6='Lookup Tables Options'!$D$4,'Lookup Tables Options'!AJ22,IF($E$6='Lookup Tables Options'!$D$52,'Lookup Tables Options'!AJ70,IF($E$6='Lookup Tables Options'!$D$100,'Lookup Tables Options'!AJ118,IF($E$6='Lookup Tables Options'!$D$148,'Lookup Tables Options'!AJ166,IF($E$6='Lookup Tables Options'!$D$196,'Lookup Tables Options'!AJ214,"")))))</f>
        <v/>
      </c>
      <c r="AK26" s="270" t="str">
        <f>IF($E$6='Lookup Tables Options'!$D$4,'Lookup Tables Options'!AK22,IF($E$6='Lookup Tables Options'!$D$52,'Lookup Tables Options'!AK70,IF($E$6='Lookup Tables Options'!$D$100,'Lookup Tables Options'!AK118,IF($E$6='Lookup Tables Options'!$D$148,'Lookup Tables Options'!AK166,IF($E$6='Lookup Tables Options'!$D$196,'Lookup Tables Options'!AK214,"")))))</f>
        <v/>
      </c>
      <c r="AL26" s="270" t="str">
        <f>IF($E$6='Lookup Tables Options'!$D$4,'Lookup Tables Options'!AL22,IF($E$6='Lookup Tables Options'!$D$52,'Lookup Tables Options'!AL70,IF($E$6='Lookup Tables Options'!$D$100,'Lookup Tables Options'!AL118,IF($E$6='Lookup Tables Options'!$D$148,'Lookup Tables Options'!AL166,IF($E$6='Lookup Tables Options'!$D$196,'Lookup Tables Options'!AL214,"")))))</f>
        <v/>
      </c>
      <c r="AM26" s="269" t="str">
        <f>IF($E$6='Lookup Tables Options'!$D$4,'Lookup Tables Options'!AM22,IF($E$6='Lookup Tables Options'!$D$52,'Lookup Tables Options'!AM70,IF($E$6='Lookup Tables Options'!$D$100,'Lookup Tables Options'!AM118,IF($E$6='Lookup Tables Options'!$D$148,'Lookup Tables Options'!AM166,IF($E$6='Lookup Tables Options'!$D$196,'Lookup Tables Options'!AM214,"")))))</f>
        <v/>
      </c>
    </row>
    <row r="27" spans="4:39" ht="15.6">
      <c r="D27" s="267">
        <v>14</v>
      </c>
      <c r="E27" s="268" t="str">
        <f>IF($E$6='Lookup Tables Options'!$D$4,'Lookup Tables Options'!E23,IF($E$6='Lookup Tables Options'!$D$52,'Lookup Tables Options'!E71,IF($E$6='Lookup Tables Options'!$D$100,'Lookup Tables Options'!E119,IF($E$6='Lookup Tables Options'!$D$148,'Lookup Tables Options'!E167,IF($E$6='Lookup Tables Options'!$D$196,'Lookup Tables Options'!E215,"")))))</f>
        <v/>
      </c>
      <c r="F27" s="269" t="str">
        <f>IF($E$6='Lookup Tables Options'!$D$4,'Lookup Tables Options'!F23,IF($E$6='Lookup Tables Options'!$D$52,'Lookup Tables Options'!F71,IF($E$6='Lookup Tables Options'!$D$100,'Lookup Tables Options'!F119,IF($E$6='Lookup Tables Options'!$D$148,'Lookup Tables Options'!F167,IF($E$6='Lookup Tables Options'!$D$196,'Lookup Tables Options'!F215,"")))))</f>
        <v/>
      </c>
      <c r="G27" s="268" t="str">
        <f>IF($E$6='Lookup Tables Options'!$D$4,'Lookup Tables Options'!G23,IF($E$6='Lookup Tables Options'!$D$52,'Lookup Tables Options'!G71,IF($E$6='Lookup Tables Options'!$D$100,'Lookup Tables Options'!G119,IF($E$6='Lookup Tables Options'!$D$148,'Lookup Tables Options'!G167,IF($E$6='Lookup Tables Options'!$D$196,'Lookup Tables Options'!G215,"")))))</f>
        <v/>
      </c>
      <c r="H27" s="270" t="str">
        <f>IF($E$6='Lookup Tables Options'!$D$4,'Lookup Tables Options'!H23,IF($E$6='Lookup Tables Options'!$D$52,'Lookup Tables Options'!H71,IF($E$6='Lookup Tables Options'!$D$100,'Lookup Tables Options'!H119,IF($E$6='Lookup Tables Options'!$D$148,'Lookup Tables Options'!H167,IF($E$6='Lookup Tables Options'!$D$196,'Lookup Tables Options'!H215,"")))))</f>
        <v/>
      </c>
      <c r="I27" s="270" t="str">
        <f>IF($E$6='Lookup Tables Options'!$D$4,'Lookup Tables Options'!I23,IF($E$6='Lookup Tables Options'!$D$52,'Lookup Tables Options'!I71,IF($E$6='Lookup Tables Options'!$D$100,'Lookup Tables Options'!I119,IF($E$6='Lookup Tables Options'!$D$148,'Lookup Tables Options'!I167,IF($E$6='Lookup Tables Options'!$D$196,'Lookup Tables Options'!I215,"")))))</f>
        <v/>
      </c>
      <c r="J27" s="268" t="str">
        <f>IF($E$6='Lookup Tables Options'!$D$4,'Lookup Tables Options'!J23,IF($E$6='Lookup Tables Options'!$D$52,'Lookup Tables Options'!J71,IF($E$6='Lookup Tables Options'!$D$100,'Lookup Tables Options'!J119,IF($E$6='Lookup Tables Options'!$D$148,'Lookup Tables Options'!J167,IF($E$6='Lookup Tables Options'!$D$196,'Lookup Tables Options'!J215,"")))))</f>
        <v/>
      </c>
      <c r="K27" s="270" t="str">
        <f>IF($E$6='Lookup Tables Options'!$D$4,'Lookup Tables Options'!K23,IF($E$6='Lookup Tables Options'!$D$52,'Lookup Tables Options'!K71,IF($E$6='Lookup Tables Options'!$D$100,'Lookup Tables Options'!K119,IF($E$6='Lookup Tables Options'!$D$148,'Lookup Tables Options'!K167,IF($E$6='Lookup Tables Options'!$D$196,'Lookup Tables Options'!K215,"")))))</f>
        <v/>
      </c>
      <c r="L27" s="270" t="str">
        <f>IF($E$6='Lookup Tables Options'!$D$4,'Lookup Tables Options'!L23,IF($E$6='Lookup Tables Options'!$D$52,'Lookup Tables Options'!L71,IF($E$6='Lookup Tables Options'!$D$100,'Lookup Tables Options'!L119,IF($E$6='Lookup Tables Options'!$D$148,'Lookup Tables Options'!L167,IF($E$6='Lookup Tables Options'!$D$196,'Lookup Tables Options'!L215,"")))))</f>
        <v/>
      </c>
      <c r="M27" s="270" t="str">
        <f>IF($E$6='Lookup Tables Options'!$D$4,'Lookup Tables Options'!M23,IF($E$6='Lookup Tables Options'!$D$52,'Lookup Tables Options'!M71,IF($E$6='Lookup Tables Options'!$D$100,'Lookup Tables Options'!M119,IF($E$6='Lookup Tables Options'!$D$148,'Lookup Tables Options'!M167,IF($E$6='Lookup Tables Options'!$D$196,'Lookup Tables Options'!M215,"")))))</f>
        <v/>
      </c>
      <c r="N27" s="270" t="str">
        <f>IF($E$6='Lookup Tables Options'!$D$4,'Lookup Tables Options'!N23,IF($E$6='Lookup Tables Options'!$D$52,'Lookup Tables Options'!N71,IF($E$6='Lookup Tables Options'!$D$100,'Lookup Tables Options'!N119,IF($E$6='Lookup Tables Options'!$D$148,'Lookup Tables Options'!N167,IF($E$6='Lookup Tables Options'!$D$196,'Lookup Tables Options'!N215,"")))))</f>
        <v/>
      </c>
      <c r="O27" s="270" t="str">
        <f>IF($E$6='Lookup Tables Options'!$D$4,'Lookup Tables Options'!O23,IF($E$6='Lookup Tables Options'!$D$52,'Lookup Tables Options'!O71,IF($E$6='Lookup Tables Options'!$D$100,'Lookup Tables Options'!O119,IF($E$6='Lookup Tables Options'!$D$148,'Lookup Tables Options'!O167,IF($E$6='Lookup Tables Options'!$D$196,'Lookup Tables Options'!O215,"")))))</f>
        <v/>
      </c>
      <c r="P27" s="270" t="str">
        <f>IF($E$6='Lookup Tables Options'!$D$4,'Lookup Tables Options'!P23,IF($E$6='Lookup Tables Options'!$D$52,'Lookup Tables Options'!P71,IF($E$6='Lookup Tables Options'!$D$100,'Lookup Tables Options'!P119,IF($E$6='Lookup Tables Options'!$D$148,'Lookup Tables Options'!P167,IF($E$6='Lookup Tables Options'!$D$196,'Lookup Tables Options'!P215,"")))))</f>
        <v/>
      </c>
      <c r="Q27" s="270" t="str">
        <f>IF($E$6='Lookup Tables Options'!$D$4,'Lookup Tables Options'!Q23,IF($E$6='Lookup Tables Options'!$D$52,'Lookup Tables Options'!Q71,IF($E$6='Lookup Tables Options'!$D$100,'Lookup Tables Options'!Q119,IF($E$6='Lookup Tables Options'!$D$148,'Lookup Tables Options'!Q167,IF($E$6='Lookup Tables Options'!$D$196,'Lookup Tables Options'!Q215,"")))))</f>
        <v/>
      </c>
      <c r="R27" s="270" t="str">
        <f>IF($E$6='Lookup Tables Options'!$D$4,'Lookup Tables Options'!R23,IF($E$6='Lookup Tables Options'!$D$52,'Lookup Tables Options'!R71,IF($E$6='Lookup Tables Options'!$D$100,'Lookup Tables Options'!R119,IF($E$6='Lookup Tables Options'!$D$148,'Lookup Tables Options'!R167,IF($E$6='Lookup Tables Options'!$D$196,'Lookup Tables Options'!R215,"")))))</f>
        <v/>
      </c>
      <c r="S27" s="269" t="str">
        <f>IF($E$6='Lookup Tables Options'!$D$4,'Lookup Tables Options'!S23,IF($E$6='Lookup Tables Options'!$D$52,'Lookup Tables Options'!S71,IF($E$6='Lookup Tables Options'!$D$100,'Lookup Tables Options'!S119,IF($E$6='Lookup Tables Options'!$D$148,'Lookup Tables Options'!S167,IF($E$6='Lookup Tables Options'!$D$196,'Lookup Tables Options'!S215,"")))))</f>
        <v/>
      </c>
      <c r="T27" s="268" t="str">
        <f>IF($E$6='Lookup Tables Options'!$D$4,'Lookup Tables Options'!T23,IF($E$6='Lookup Tables Options'!$D$52,'Lookup Tables Options'!T71,IF($E$6='Lookup Tables Options'!$D$100,'Lookup Tables Options'!T119,IF($E$6='Lookup Tables Options'!$D$148,'Lookup Tables Options'!T167,IF($E$6='Lookup Tables Options'!$D$196,'Lookup Tables Options'!T215,"")))))</f>
        <v/>
      </c>
      <c r="U27" s="270" t="str">
        <f>IF($E$6='Lookup Tables Options'!$D$4,'Lookup Tables Options'!U23,IF($E$6='Lookup Tables Options'!$D$52,'Lookup Tables Options'!U71,IF($E$6='Lookup Tables Options'!$D$100,'Lookup Tables Options'!U119,IF($E$6='Lookup Tables Options'!$D$148,'Lookup Tables Options'!U167,IF($E$6='Lookup Tables Options'!$D$196,'Lookup Tables Options'!U215,"")))))</f>
        <v/>
      </c>
      <c r="V27" s="270" t="str">
        <f>IF($E$6='Lookup Tables Options'!$D$4,'Lookup Tables Options'!V23,IF($E$6='Lookup Tables Options'!$D$52,'Lookup Tables Options'!V71,IF($E$6='Lookup Tables Options'!$D$100,'Lookup Tables Options'!V119,IF($E$6='Lookup Tables Options'!$D$148,'Lookup Tables Options'!V167,IF($E$6='Lookup Tables Options'!$D$196,'Lookup Tables Options'!V215,"")))))</f>
        <v/>
      </c>
      <c r="W27" s="270" t="str">
        <f>IF($E$6='Lookup Tables Options'!$D$4,'Lookup Tables Options'!W23,IF($E$6='Lookup Tables Options'!$D$52,'Lookup Tables Options'!W71,IF($E$6='Lookup Tables Options'!$D$100,'Lookup Tables Options'!W119,IF($E$6='Lookup Tables Options'!$D$148,'Lookup Tables Options'!W167,IF($E$6='Lookup Tables Options'!$D$196,'Lookup Tables Options'!W215,"")))))</f>
        <v/>
      </c>
      <c r="X27" s="270" t="str">
        <f>IF($E$6='Lookup Tables Options'!$D$4,'Lookup Tables Options'!X23,IF($E$6='Lookup Tables Options'!$D$52,'Lookup Tables Options'!X71,IF($E$6='Lookup Tables Options'!$D$100,'Lookup Tables Options'!X119,IF($E$6='Lookup Tables Options'!$D$148,'Lookup Tables Options'!X167,IF($E$6='Lookup Tables Options'!$D$196,'Lookup Tables Options'!X215,"")))))</f>
        <v/>
      </c>
      <c r="Y27" s="270" t="str">
        <f>IF($E$6='Lookup Tables Options'!$D$4,'Lookup Tables Options'!Y23,IF($E$6='Lookup Tables Options'!$D$52,'Lookup Tables Options'!Y71,IF($E$6='Lookup Tables Options'!$D$100,'Lookup Tables Options'!Y119,IF($E$6='Lookup Tables Options'!$D$148,'Lookup Tables Options'!Y167,IF($E$6='Lookup Tables Options'!$D$196,'Lookup Tables Options'!Y215,"")))))</f>
        <v/>
      </c>
      <c r="Z27" s="270" t="str">
        <f>IF($E$6='Lookup Tables Options'!$D$4,'Lookup Tables Options'!Z23,IF($E$6='Lookup Tables Options'!$D$52,'Lookup Tables Options'!Z71,IF($E$6='Lookup Tables Options'!$D$100,'Lookup Tables Options'!Z119,IF($E$6='Lookup Tables Options'!$D$148,'Lookup Tables Options'!Z167,IF($E$6='Lookup Tables Options'!$D$196,'Lookup Tables Options'!Z215,"")))))</f>
        <v/>
      </c>
      <c r="AA27" s="270" t="str">
        <f>IF($E$6='Lookup Tables Options'!$D$4,'Lookup Tables Options'!AA23,IF($E$6='Lookup Tables Options'!$D$52,'Lookup Tables Options'!AA71,IF($E$6='Lookup Tables Options'!$D$100,'Lookup Tables Options'!AA119,IF($E$6='Lookup Tables Options'!$D$148,'Lookup Tables Options'!AA167,IF($E$6='Lookup Tables Options'!$D$196,'Lookup Tables Options'!AA215,"")))))</f>
        <v/>
      </c>
      <c r="AB27" s="270" t="str">
        <f>IF($E$6='Lookup Tables Options'!$D$4,'Lookup Tables Options'!AB23,IF($E$6='Lookup Tables Options'!$D$52,'Lookup Tables Options'!AB71,IF($E$6='Lookup Tables Options'!$D$100,'Lookup Tables Options'!AB119,IF($E$6='Lookup Tables Options'!$D$148,'Lookup Tables Options'!AB167,IF($E$6='Lookup Tables Options'!$D$196,'Lookup Tables Options'!AB215,"")))))</f>
        <v/>
      </c>
      <c r="AC27" s="270" t="str">
        <f>IF($E$6='Lookup Tables Options'!$D$4,'Lookup Tables Options'!AC23,IF($E$6='Lookup Tables Options'!$D$52,'Lookup Tables Options'!AC71,IF($E$6='Lookup Tables Options'!$D$100,'Lookup Tables Options'!AC119,IF($E$6='Lookup Tables Options'!$D$148,'Lookup Tables Options'!AC167,IF($E$6='Lookup Tables Options'!$D$196,'Lookup Tables Options'!AC215,"")))))</f>
        <v/>
      </c>
      <c r="AD27" s="268" t="str">
        <f>IF($E$6='Lookup Tables Options'!$D$4,'Lookup Tables Options'!AD23,IF($E$6='Lookup Tables Options'!$D$52,'Lookup Tables Options'!AD71,IF($E$6='Lookup Tables Options'!$D$100,'Lookup Tables Options'!AD119,IF($E$6='Lookup Tables Options'!$D$148,'Lookup Tables Options'!AD167,IF($E$6='Lookup Tables Options'!$D$196,'Lookup Tables Options'!AD215,"")))))</f>
        <v/>
      </c>
      <c r="AE27" s="270" t="str">
        <f>IF($E$6='Lookup Tables Options'!$D$4,'Lookup Tables Options'!AE23,IF($E$6='Lookup Tables Options'!$D$52,'Lookup Tables Options'!AE71,IF($E$6='Lookup Tables Options'!$D$100,'Lookup Tables Options'!AE119,IF($E$6='Lookup Tables Options'!$D$148,'Lookup Tables Options'!AE167,IF($E$6='Lookup Tables Options'!$D$196,'Lookup Tables Options'!AE215,"")))))</f>
        <v/>
      </c>
      <c r="AF27" s="270" t="str">
        <f>IF($E$6='Lookup Tables Options'!$D$4,'Lookup Tables Options'!AF23,IF($E$6='Lookup Tables Options'!$D$52,'Lookup Tables Options'!AF71,IF($E$6='Lookup Tables Options'!$D$100,'Lookup Tables Options'!AF119,IF($E$6='Lookup Tables Options'!$D$148,'Lookup Tables Options'!AF167,IF($E$6='Lookup Tables Options'!$D$196,'Lookup Tables Options'!AF215,"")))))</f>
        <v/>
      </c>
      <c r="AG27" s="270" t="str">
        <f>IF($E$6='Lookup Tables Options'!$D$4,'Lookup Tables Options'!AG23,IF($E$6='Lookup Tables Options'!$D$52,'Lookup Tables Options'!AG71,IF($E$6='Lookup Tables Options'!$D$100,'Lookup Tables Options'!AG119,IF($E$6='Lookup Tables Options'!$D$148,'Lookup Tables Options'!AG167,IF($E$6='Lookup Tables Options'!$D$196,'Lookup Tables Options'!AG215,"")))))</f>
        <v/>
      </c>
      <c r="AH27" s="270" t="str">
        <f>IF($E$6='Lookup Tables Options'!$D$4,'Lookup Tables Options'!AH23,IF($E$6='Lookup Tables Options'!$D$52,'Lookup Tables Options'!AH71,IF($E$6='Lookup Tables Options'!$D$100,'Lookup Tables Options'!AH119,IF($E$6='Lookup Tables Options'!$D$148,'Lookup Tables Options'!AH167,IF($E$6='Lookup Tables Options'!$D$196,'Lookup Tables Options'!AH215,"")))))</f>
        <v/>
      </c>
      <c r="AI27" s="270" t="str">
        <f>IF($E$6='Lookup Tables Options'!$D$4,'Lookup Tables Options'!AI23,IF($E$6='Lookup Tables Options'!$D$52,'Lookup Tables Options'!AI71,IF($E$6='Lookup Tables Options'!$D$100,'Lookup Tables Options'!AI119,IF($E$6='Lookup Tables Options'!$D$148,'Lookup Tables Options'!AI167,IF($E$6='Lookup Tables Options'!$D$196,'Lookup Tables Options'!AI215,"")))))</f>
        <v/>
      </c>
      <c r="AJ27" s="270" t="str">
        <f>IF($E$6='Lookup Tables Options'!$D$4,'Lookup Tables Options'!AJ23,IF($E$6='Lookup Tables Options'!$D$52,'Lookup Tables Options'!AJ71,IF($E$6='Lookup Tables Options'!$D$100,'Lookup Tables Options'!AJ119,IF($E$6='Lookup Tables Options'!$D$148,'Lookup Tables Options'!AJ167,IF($E$6='Lookup Tables Options'!$D$196,'Lookup Tables Options'!AJ215,"")))))</f>
        <v/>
      </c>
      <c r="AK27" s="270" t="str">
        <f>IF($E$6='Lookup Tables Options'!$D$4,'Lookup Tables Options'!AK23,IF($E$6='Lookup Tables Options'!$D$52,'Lookup Tables Options'!AK71,IF($E$6='Lookup Tables Options'!$D$100,'Lookup Tables Options'!AK119,IF($E$6='Lookup Tables Options'!$D$148,'Lookup Tables Options'!AK167,IF($E$6='Lookup Tables Options'!$D$196,'Lookup Tables Options'!AK215,"")))))</f>
        <v/>
      </c>
      <c r="AL27" s="270" t="str">
        <f>IF($E$6='Lookup Tables Options'!$D$4,'Lookup Tables Options'!AL23,IF($E$6='Lookup Tables Options'!$D$52,'Lookup Tables Options'!AL71,IF($E$6='Lookup Tables Options'!$D$100,'Lookup Tables Options'!AL119,IF($E$6='Lookup Tables Options'!$D$148,'Lookup Tables Options'!AL167,IF($E$6='Lookup Tables Options'!$D$196,'Lookup Tables Options'!AL215,"")))))</f>
        <v/>
      </c>
      <c r="AM27" s="269" t="str">
        <f>IF($E$6='Lookup Tables Options'!$D$4,'Lookup Tables Options'!AM23,IF($E$6='Lookup Tables Options'!$D$52,'Lookup Tables Options'!AM71,IF($E$6='Lookup Tables Options'!$D$100,'Lookup Tables Options'!AM119,IF($E$6='Lookup Tables Options'!$D$148,'Lookup Tables Options'!AM167,IF($E$6='Lookup Tables Options'!$D$196,'Lookup Tables Options'!AM215,"")))))</f>
        <v/>
      </c>
    </row>
    <row r="28" spans="4:39" ht="15.6">
      <c r="D28" s="267">
        <v>15</v>
      </c>
      <c r="E28" s="268" t="str">
        <f>IF($E$6='Lookup Tables Options'!$D$4,'Lookup Tables Options'!E24,IF($E$6='Lookup Tables Options'!$D$52,'Lookup Tables Options'!E72,IF($E$6='Lookup Tables Options'!$D$100,'Lookup Tables Options'!E120,IF($E$6='Lookup Tables Options'!$D$148,'Lookup Tables Options'!E168,IF($E$6='Lookup Tables Options'!$D$196,'Lookup Tables Options'!E216,"")))))</f>
        <v/>
      </c>
      <c r="F28" s="269" t="str">
        <f>IF($E$6='Lookup Tables Options'!$D$4,'Lookup Tables Options'!F24,IF($E$6='Lookup Tables Options'!$D$52,'Lookup Tables Options'!F72,IF($E$6='Lookup Tables Options'!$D$100,'Lookup Tables Options'!F120,IF($E$6='Lookup Tables Options'!$D$148,'Lookup Tables Options'!F168,IF($E$6='Lookup Tables Options'!$D$196,'Lookup Tables Options'!F216,"")))))</f>
        <v/>
      </c>
      <c r="G28" s="268" t="str">
        <f>IF($E$6='Lookup Tables Options'!$D$4,'Lookup Tables Options'!G24,IF($E$6='Lookup Tables Options'!$D$52,'Lookup Tables Options'!G72,IF($E$6='Lookup Tables Options'!$D$100,'Lookup Tables Options'!G120,IF($E$6='Lookup Tables Options'!$D$148,'Lookup Tables Options'!G168,IF($E$6='Lookup Tables Options'!$D$196,'Lookup Tables Options'!G216,"")))))</f>
        <v/>
      </c>
      <c r="H28" s="270" t="str">
        <f>IF($E$6='Lookup Tables Options'!$D$4,'Lookup Tables Options'!H24,IF($E$6='Lookup Tables Options'!$D$52,'Lookup Tables Options'!H72,IF($E$6='Lookup Tables Options'!$D$100,'Lookup Tables Options'!H120,IF($E$6='Lookup Tables Options'!$D$148,'Lookup Tables Options'!H168,IF($E$6='Lookup Tables Options'!$D$196,'Lookup Tables Options'!H216,"")))))</f>
        <v/>
      </c>
      <c r="I28" s="270" t="str">
        <f>IF($E$6='Lookup Tables Options'!$D$4,'Lookup Tables Options'!I24,IF($E$6='Lookup Tables Options'!$D$52,'Lookup Tables Options'!I72,IF($E$6='Lookup Tables Options'!$D$100,'Lookup Tables Options'!I120,IF($E$6='Lookup Tables Options'!$D$148,'Lookup Tables Options'!I168,IF($E$6='Lookup Tables Options'!$D$196,'Lookup Tables Options'!I216,"")))))</f>
        <v/>
      </c>
      <c r="J28" s="268" t="str">
        <f>IF($E$6='Lookup Tables Options'!$D$4,'Lookup Tables Options'!J24,IF($E$6='Lookup Tables Options'!$D$52,'Lookup Tables Options'!J72,IF($E$6='Lookup Tables Options'!$D$100,'Lookup Tables Options'!J120,IF($E$6='Lookup Tables Options'!$D$148,'Lookup Tables Options'!J168,IF($E$6='Lookup Tables Options'!$D$196,'Lookup Tables Options'!J216,"")))))</f>
        <v/>
      </c>
      <c r="K28" s="270" t="str">
        <f>IF($E$6='Lookup Tables Options'!$D$4,'Lookup Tables Options'!K24,IF($E$6='Lookup Tables Options'!$D$52,'Lookup Tables Options'!K72,IF($E$6='Lookup Tables Options'!$D$100,'Lookup Tables Options'!K120,IF($E$6='Lookup Tables Options'!$D$148,'Lookup Tables Options'!K168,IF($E$6='Lookup Tables Options'!$D$196,'Lookup Tables Options'!K216,"")))))</f>
        <v/>
      </c>
      <c r="L28" s="270" t="str">
        <f>IF($E$6='Lookup Tables Options'!$D$4,'Lookup Tables Options'!L24,IF($E$6='Lookup Tables Options'!$D$52,'Lookup Tables Options'!L72,IF($E$6='Lookup Tables Options'!$D$100,'Lookup Tables Options'!L120,IF($E$6='Lookup Tables Options'!$D$148,'Lookup Tables Options'!L168,IF($E$6='Lookup Tables Options'!$D$196,'Lookup Tables Options'!L216,"")))))</f>
        <v/>
      </c>
      <c r="M28" s="270" t="str">
        <f>IF($E$6='Lookup Tables Options'!$D$4,'Lookup Tables Options'!M24,IF($E$6='Lookup Tables Options'!$D$52,'Lookup Tables Options'!M72,IF($E$6='Lookup Tables Options'!$D$100,'Lookup Tables Options'!M120,IF($E$6='Lookup Tables Options'!$D$148,'Lookup Tables Options'!M168,IF($E$6='Lookup Tables Options'!$D$196,'Lookup Tables Options'!M216,"")))))</f>
        <v/>
      </c>
      <c r="N28" s="270" t="str">
        <f>IF($E$6='Lookup Tables Options'!$D$4,'Lookup Tables Options'!N24,IF($E$6='Lookup Tables Options'!$D$52,'Lookup Tables Options'!N72,IF($E$6='Lookup Tables Options'!$D$100,'Lookup Tables Options'!N120,IF($E$6='Lookup Tables Options'!$D$148,'Lookup Tables Options'!N168,IF($E$6='Lookup Tables Options'!$D$196,'Lookup Tables Options'!N216,"")))))</f>
        <v/>
      </c>
      <c r="O28" s="270" t="str">
        <f>IF($E$6='Lookup Tables Options'!$D$4,'Lookup Tables Options'!O24,IF($E$6='Lookup Tables Options'!$D$52,'Lookup Tables Options'!O72,IF($E$6='Lookup Tables Options'!$D$100,'Lookup Tables Options'!O120,IF($E$6='Lookup Tables Options'!$D$148,'Lookup Tables Options'!O168,IF($E$6='Lookup Tables Options'!$D$196,'Lookup Tables Options'!O216,"")))))</f>
        <v/>
      </c>
      <c r="P28" s="270" t="str">
        <f>IF($E$6='Lookup Tables Options'!$D$4,'Lookup Tables Options'!P24,IF($E$6='Lookup Tables Options'!$D$52,'Lookup Tables Options'!P72,IF($E$6='Lookup Tables Options'!$D$100,'Lookup Tables Options'!P120,IF($E$6='Lookup Tables Options'!$D$148,'Lookup Tables Options'!P168,IF($E$6='Lookup Tables Options'!$D$196,'Lookup Tables Options'!P216,"")))))</f>
        <v/>
      </c>
      <c r="Q28" s="270" t="str">
        <f>IF($E$6='Lookup Tables Options'!$D$4,'Lookup Tables Options'!Q24,IF($E$6='Lookup Tables Options'!$D$52,'Lookup Tables Options'!Q72,IF($E$6='Lookup Tables Options'!$D$100,'Lookup Tables Options'!Q120,IF($E$6='Lookup Tables Options'!$D$148,'Lookup Tables Options'!Q168,IF($E$6='Lookup Tables Options'!$D$196,'Lookup Tables Options'!Q216,"")))))</f>
        <v/>
      </c>
      <c r="R28" s="270" t="str">
        <f>IF($E$6='Lookup Tables Options'!$D$4,'Lookup Tables Options'!R24,IF($E$6='Lookup Tables Options'!$D$52,'Lookup Tables Options'!R72,IF($E$6='Lookup Tables Options'!$D$100,'Lookup Tables Options'!R120,IF($E$6='Lookup Tables Options'!$D$148,'Lookup Tables Options'!R168,IF($E$6='Lookup Tables Options'!$D$196,'Lookup Tables Options'!R216,"")))))</f>
        <v/>
      </c>
      <c r="S28" s="269" t="str">
        <f>IF($E$6='Lookup Tables Options'!$D$4,'Lookup Tables Options'!S24,IF($E$6='Lookup Tables Options'!$D$52,'Lookup Tables Options'!S72,IF($E$6='Lookup Tables Options'!$D$100,'Lookup Tables Options'!S120,IF($E$6='Lookup Tables Options'!$D$148,'Lookup Tables Options'!S168,IF($E$6='Lookup Tables Options'!$D$196,'Lookup Tables Options'!S216,"")))))</f>
        <v/>
      </c>
      <c r="T28" s="268" t="str">
        <f>IF($E$6='Lookup Tables Options'!$D$4,'Lookup Tables Options'!T24,IF($E$6='Lookup Tables Options'!$D$52,'Lookup Tables Options'!T72,IF($E$6='Lookup Tables Options'!$D$100,'Lookup Tables Options'!T120,IF($E$6='Lookup Tables Options'!$D$148,'Lookup Tables Options'!T168,IF($E$6='Lookup Tables Options'!$D$196,'Lookup Tables Options'!T216,"")))))</f>
        <v/>
      </c>
      <c r="U28" s="270" t="str">
        <f>IF($E$6='Lookup Tables Options'!$D$4,'Lookup Tables Options'!U24,IF($E$6='Lookup Tables Options'!$D$52,'Lookup Tables Options'!U72,IF($E$6='Lookup Tables Options'!$D$100,'Lookup Tables Options'!U120,IF($E$6='Lookup Tables Options'!$D$148,'Lookup Tables Options'!U168,IF($E$6='Lookup Tables Options'!$D$196,'Lookup Tables Options'!U216,"")))))</f>
        <v/>
      </c>
      <c r="V28" s="270" t="str">
        <f>IF($E$6='Lookup Tables Options'!$D$4,'Lookup Tables Options'!V24,IF($E$6='Lookup Tables Options'!$D$52,'Lookup Tables Options'!V72,IF($E$6='Lookup Tables Options'!$D$100,'Lookup Tables Options'!V120,IF($E$6='Lookup Tables Options'!$D$148,'Lookup Tables Options'!V168,IF($E$6='Lookup Tables Options'!$D$196,'Lookup Tables Options'!V216,"")))))</f>
        <v/>
      </c>
      <c r="W28" s="270" t="str">
        <f>IF($E$6='Lookup Tables Options'!$D$4,'Lookup Tables Options'!W24,IF($E$6='Lookup Tables Options'!$D$52,'Lookup Tables Options'!W72,IF($E$6='Lookup Tables Options'!$D$100,'Lookup Tables Options'!W120,IF($E$6='Lookup Tables Options'!$D$148,'Lookup Tables Options'!W168,IF($E$6='Lookup Tables Options'!$D$196,'Lookup Tables Options'!W216,"")))))</f>
        <v/>
      </c>
      <c r="X28" s="270" t="str">
        <f>IF($E$6='Lookup Tables Options'!$D$4,'Lookup Tables Options'!X24,IF($E$6='Lookup Tables Options'!$D$52,'Lookup Tables Options'!X72,IF($E$6='Lookup Tables Options'!$D$100,'Lookup Tables Options'!X120,IF($E$6='Lookup Tables Options'!$D$148,'Lookup Tables Options'!X168,IF($E$6='Lookup Tables Options'!$D$196,'Lookup Tables Options'!X216,"")))))</f>
        <v/>
      </c>
      <c r="Y28" s="270" t="str">
        <f>IF($E$6='Lookup Tables Options'!$D$4,'Lookup Tables Options'!Y24,IF($E$6='Lookup Tables Options'!$D$52,'Lookup Tables Options'!Y72,IF($E$6='Lookup Tables Options'!$D$100,'Lookup Tables Options'!Y120,IF($E$6='Lookup Tables Options'!$D$148,'Lookup Tables Options'!Y168,IF($E$6='Lookup Tables Options'!$D$196,'Lookup Tables Options'!Y216,"")))))</f>
        <v/>
      </c>
      <c r="Z28" s="270" t="str">
        <f>IF($E$6='Lookup Tables Options'!$D$4,'Lookup Tables Options'!Z24,IF($E$6='Lookup Tables Options'!$D$52,'Lookup Tables Options'!Z72,IF($E$6='Lookup Tables Options'!$D$100,'Lookup Tables Options'!Z120,IF($E$6='Lookup Tables Options'!$D$148,'Lookup Tables Options'!Z168,IF($E$6='Lookup Tables Options'!$D$196,'Lookup Tables Options'!Z216,"")))))</f>
        <v/>
      </c>
      <c r="AA28" s="270" t="str">
        <f>IF($E$6='Lookup Tables Options'!$D$4,'Lookup Tables Options'!AA24,IF($E$6='Lookup Tables Options'!$D$52,'Lookup Tables Options'!AA72,IF($E$6='Lookup Tables Options'!$D$100,'Lookup Tables Options'!AA120,IF($E$6='Lookup Tables Options'!$D$148,'Lookup Tables Options'!AA168,IF($E$6='Lookup Tables Options'!$D$196,'Lookup Tables Options'!AA216,"")))))</f>
        <v/>
      </c>
      <c r="AB28" s="270" t="str">
        <f>IF($E$6='Lookup Tables Options'!$D$4,'Lookup Tables Options'!AB24,IF($E$6='Lookup Tables Options'!$D$52,'Lookup Tables Options'!AB72,IF($E$6='Lookup Tables Options'!$D$100,'Lookup Tables Options'!AB120,IF($E$6='Lookup Tables Options'!$D$148,'Lookup Tables Options'!AB168,IF($E$6='Lookup Tables Options'!$D$196,'Lookup Tables Options'!AB216,"")))))</f>
        <v/>
      </c>
      <c r="AC28" s="270" t="str">
        <f>IF($E$6='Lookup Tables Options'!$D$4,'Lookup Tables Options'!AC24,IF($E$6='Lookup Tables Options'!$D$52,'Lookup Tables Options'!AC72,IF($E$6='Lookup Tables Options'!$D$100,'Lookup Tables Options'!AC120,IF($E$6='Lookup Tables Options'!$D$148,'Lookup Tables Options'!AC168,IF($E$6='Lookup Tables Options'!$D$196,'Lookup Tables Options'!AC216,"")))))</f>
        <v/>
      </c>
      <c r="AD28" s="268" t="str">
        <f>IF($E$6='Lookup Tables Options'!$D$4,'Lookup Tables Options'!AD24,IF($E$6='Lookup Tables Options'!$D$52,'Lookup Tables Options'!AD72,IF($E$6='Lookup Tables Options'!$D$100,'Lookup Tables Options'!AD120,IF($E$6='Lookup Tables Options'!$D$148,'Lookup Tables Options'!AD168,IF($E$6='Lookup Tables Options'!$D$196,'Lookup Tables Options'!AD216,"")))))</f>
        <v/>
      </c>
      <c r="AE28" s="270" t="str">
        <f>IF($E$6='Lookup Tables Options'!$D$4,'Lookup Tables Options'!AE24,IF($E$6='Lookup Tables Options'!$D$52,'Lookup Tables Options'!AE72,IF($E$6='Lookup Tables Options'!$D$100,'Lookup Tables Options'!AE120,IF($E$6='Lookup Tables Options'!$D$148,'Lookup Tables Options'!AE168,IF($E$6='Lookup Tables Options'!$D$196,'Lookup Tables Options'!AE216,"")))))</f>
        <v/>
      </c>
      <c r="AF28" s="270" t="str">
        <f>IF($E$6='Lookup Tables Options'!$D$4,'Lookup Tables Options'!AF24,IF($E$6='Lookup Tables Options'!$D$52,'Lookup Tables Options'!AF72,IF($E$6='Lookup Tables Options'!$D$100,'Lookup Tables Options'!AF120,IF($E$6='Lookup Tables Options'!$D$148,'Lookup Tables Options'!AF168,IF($E$6='Lookup Tables Options'!$D$196,'Lookup Tables Options'!AF216,"")))))</f>
        <v/>
      </c>
      <c r="AG28" s="270" t="str">
        <f>IF($E$6='Lookup Tables Options'!$D$4,'Lookup Tables Options'!AG24,IF($E$6='Lookup Tables Options'!$D$52,'Lookup Tables Options'!AG72,IF($E$6='Lookup Tables Options'!$D$100,'Lookup Tables Options'!AG120,IF($E$6='Lookup Tables Options'!$D$148,'Lookup Tables Options'!AG168,IF($E$6='Lookup Tables Options'!$D$196,'Lookup Tables Options'!AG216,"")))))</f>
        <v/>
      </c>
      <c r="AH28" s="270" t="str">
        <f>IF($E$6='Lookup Tables Options'!$D$4,'Lookup Tables Options'!AH24,IF($E$6='Lookup Tables Options'!$D$52,'Lookup Tables Options'!AH72,IF($E$6='Lookup Tables Options'!$D$100,'Lookup Tables Options'!AH120,IF($E$6='Lookup Tables Options'!$D$148,'Lookup Tables Options'!AH168,IF($E$6='Lookup Tables Options'!$D$196,'Lookup Tables Options'!AH216,"")))))</f>
        <v/>
      </c>
      <c r="AI28" s="270" t="str">
        <f>IF($E$6='Lookup Tables Options'!$D$4,'Lookup Tables Options'!AI24,IF($E$6='Lookup Tables Options'!$D$52,'Lookup Tables Options'!AI72,IF($E$6='Lookup Tables Options'!$D$100,'Lookup Tables Options'!AI120,IF($E$6='Lookup Tables Options'!$D$148,'Lookup Tables Options'!AI168,IF($E$6='Lookup Tables Options'!$D$196,'Lookup Tables Options'!AI216,"")))))</f>
        <v/>
      </c>
      <c r="AJ28" s="270" t="str">
        <f>IF($E$6='Lookup Tables Options'!$D$4,'Lookup Tables Options'!AJ24,IF($E$6='Lookup Tables Options'!$D$52,'Lookup Tables Options'!AJ72,IF($E$6='Lookup Tables Options'!$D$100,'Lookup Tables Options'!AJ120,IF($E$6='Lookup Tables Options'!$D$148,'Lookup Tables Options'!AJ168,IF($E$6='Lookup Tables Options'!$D$196,'Lookup Tables Options'!AJ216,"")))))</f>
        <v/>
      </c>
      <c r="AK28" s="270" t="str">
        <f>IF($E$6='Lookup Tables Options'!$D$4,'Lookup Tables Options'!AK24,IF($E$6='Lookup Tables Options'!$D$52,'Lookup Tables Options'!AK72,IF($E$6='Lookup Tables Options'!$D$100,'Lookup Tables Options'!AK120,IF($E$6='Lookup Tables Options'!$D$148,'Lookup Tables Options'!AK168,IF($E$6='Lookup Tables Options'!$D$196,'Lookup Tables Options'!AK216,"")))))</f>
        <v/>
      </c>
      <c r="AL28" s="270" t="str">
        <f>IF($E$6='Lookup Tables Options'!$D$4,'Lookup Tables Options'!AL24,IF($E$6='Lookup Tables Options'!$D$52,'Lookup Tables Options'!AL72,IF($E$6='Lookup Tables Options'!$D$100,'Lookup Tables Options'!AL120,IF($E$6='Lookup Tables Options'!$D$148,'Lookup Tables Options'!AL168,IF($E$6='Lookup Tables Options'!$D$196,'Lookup Tables Options'!AL216,"")))))</f>
        <v/>
      </c>
      <c r="AM28" s="269" t="str">
        <f>IF($E$6='Lookup Tables Options'!$D$4,'Lookup Tables Options'!AM24,IF($E$6='Lookup Tables Options'!$D$52,'Lookup Tables Options'!AM72,IF($E$6='Lookup Tables Options'!$D$100,'Lookup Tables Options'!AM120,IF($E$6='Lookup Tables Options'!$D$148,'Lookup Tables Options'!AM168,IF($E$6='Lookup Tables Options'!$D$196,'Lookup Tables Options'!AM216,"")))))</f>
        <v/>
      </c>
    </row>
    <row r="29" spans="4:39" ht="15.6">
      <c r="D29" s="267">
        <v>16</v>
      </c>
      <c r="E29" s="268" t="str">
        <f>IF($E$6='Lookup Tables Options'!$D$4,'Lookup Tables Options'!E25,IF($E$6='Lookup Tables Options'!$D$52,'Lookup Tables Options'!E73,IF($E$6='Lookup Tables Options'!$D$100,'Lookup Tables Options'!E121,IF($E$6='Lookup Tables Options'!$D$148,'Lookup Tables Options'!E169,IF($E$6='Lookup Tables Options'!$D$196,'Lookup Tables Options'!E217,"")))))</f>
        <v/>
      </c>
      <c r="F29" s="269" t="str">
        <f>IF($E$6='Lookup Tables Options'!$D$4,'Lookup Tables Options'!F25,IF($E$6='Lookup Tables Options'!$D$52,'Lookup Tables Options'!F73,IF($E$6='Lookup Tables Options'!$D$100,'Lookup Tables Options'!F121,IF($E$6='Lookup Tables Options'!$D$148,'Lookup Tables Options'!F169,IF($E$6='Lookup Tables Options'!$D$196,'Lookup Tables Options'!F217,"")))))</f>
        <v/>
      </c>
      <c r="G29" s="268" t="str">
        <f>IF($E$6='Lookup Tables Options'!$D$4,'Lookup Tables Options'!G25,IF($E$6='Lookup Tables Options'!$D$52,'Lookup Tables Options'!G73,IF($E$6='Lookup Tables Options'!$D$100,'Lookup Tables Options'!G121,IF($E$6='Lookup Tables Options'!$D$148,'Lookup Tables Options'!G169,IF($E$6='Lookup Tables Options'!$D$196,'Lookup Tables Options'!G217,"")))))</f>
        <v/>
      </c>
      <c r="H29" s="270" t="str">
        <f>IF($E$6='Lookup Tables Options'!$D$4,'Lookup Tables Options'!H25,IF($E$6='Lookup Tables Options'!$D$52,'Lookup Tables Options'!H73,IF($E$6='Lookup Tables Options'!$D$100,'Lookup Tables Options'!H121,IF($E$6='Lookup Tables Options'!$D$148,'Lookup Tables Options'!H169,IF($E$6='Lookup Tables Options'!$D$196,'Lookup Tables Options'!H217,"")))))</f>
        <v/>
      </c>
      <c r="I29" s="270" t="str">
        <f>IF($E$6='Lookup Tables Options'!$D$4,'Lookup Tables Options'!I25,IF($E$6='Lookup Tables Options'!$D$52,'Lookup Tables Options'!I73,IF($E$6='Lookup Tables Options'!$D$100,'Lookup Tables Options'!I121,IF($E$6='Lookup Tables Options'!$D$148,'Lookup Tables Options'!I169,IF($E$6='Lookup Tables Options'!$D$196,'Lookup Tables Options'!I217,"")))))</f>
        <v/>
      </c>
      <c r="J29" s="268" t="str">
        <f>IF($E$6='Lookup Tables Options'!$D$4,'Lookup Tables Options'!J25,IF($E$6='Lookup Tables Options'!$D$52,'Lookup Tables Options'!J73,IF($E$6='Lookup Tables Options'!$D$100,'Lookup Tables Options'!J121,IF($E$6='Lookup Tables Options'!$D$148,'Lookup Tables Options'!J169,IF($E$6='Lookup Tables Options'!$D$196,'Lookup Tables Options'!J217,"")))))</f>
        <v/>
      </c>
      <c r="K29" s="270" t="str">
        <f>IF($E$6='Lookup Tables Options'!$D$4,'Lookup Tables Options'!K25,IF($E$6='Lookup Tables Options'!$D$52,'Lookup Tables Options'!K73,IF($E$6='Lookup Tables Options'!$D$100,'Lookup Tables Options'!K121,IF($E$6='Lookup Tables Options'!$D$148,'Lookup Tables Options'!K169,IF($E$6='Lookup Tables Options'!$D$196,'Lookup Tables Options'!K217,"")))))</f>
        <v/>
      </c>
      <c r="L29" s="270" t="str">
        <f>IF($E$6='Lookup Tables Options'!$D$4,'Lookup Tables Options'!L25,IF($E$6='Lookup Tables Options'!$D$52,'Lookup Tables Options'!L73,IF($E$6='Lookup Tables Options'!$D$100,'Lookup Tables Options'!L121,IF($E$6='Lookup Tables Options'!$D$148,'Lookup Tables Options'!L169,IF($E$6='Lookup Tables Options'!$D$196,'Lookup Tables Options'!L217,"")))))</f>
        <v/>
      </c>
      <c r="M29" s="270" t="str">
        <f>IF($E$6='Lookup Tables Options'!$D$4,'Lookup Tables Options'!M25,IF($E$6='Lookup Tables Options'!$D$52,'Lookup Tables Options'!M73,IF($E$6='Lookup Tables Options'!$D$100,'Lookup Tables Options'!M121,IF($E$6='Lookup Tables Options'!$D$148,'Lookup Tables Options'!M169,IF($E$6='Lookup Tables Options'!$D$196,'Lookup Tables Options'!M217,"")))))</f>
        <v/>
      </c>
      <c r="N29" s="270" t="str">
        <f>IF($E$6='Lookup Tables Options'!$D$4,'Lookup Tables Options'!N25,IF($E$6='Lookup Tables Options'!$D$52,'Lookup Tables Options'!N73,IF($E$6='Lookup Tables Options'!$D$100,'Lookup Tables Options'!N121,IF($E$6='Lookup Tables Options'!$D$148,'Lookup Tables Options'!N169,IF($E$6='Lookup Tables Options'!$D$196,'Lookup Tables Options'!N217,"")))))</f>
        <v/>
      </c>
      <c r="O29" s="270" t="str">
        <f>IF($E$6='Lookup Tables Options'!$D$4,'Lookup Tables Options'!O25,IF($E$6='Lookup Tables Options'!$D$52,'Lookup Tables Options'!O73,IF($E$6='Lookup Tables Options'!$D$100,'Lookup Tables Options'!O121,IF($E$6='Lookup Tables Options'!$D$148,'Lookup Tables Options'!O169,IF($E$6='Lookup Tables Options'!$D$196,'Lookup Tables Options'!O217,"")))))</f>
        <v/>
      </c>
      <c r="P29" s="270" t="str">
        <f>IF($E$6='Lookup Tables Options'!$D$4,'Lookup Tables Options'!P25,IF($E$6='Lookup Tables Options'!$D$52,'Lookup Tables Options'!P73,IF($E$6='Lookup Tables Options'!$D$100,'Lookup Tables Options'!P121,IF($E$6='Lookup Tables Options'!$D$148,'Lookup Tables Options'!P169,IF($E$6='Lookup Tables Options'!$D$196,'Lookup Tables Options'!P217,"")))))</f>
        <v/>
      </c>
      <c r="Q29" s="270" t="str">
        <f>IF($E$6='Lookup Tables Options'!$D$4,'Lookup Tables Options'!Q25,IF($E$6='Lookup Tables Options'!$D$52,'Lookup Tables Options'!Q73,IF($E$6='Lookup Tables Options'!$D$100,'Lookup Tables Options'!Q121,IF($E$6='Lookup Tables Options'!$D$148,'Lookup Tables Options'!Q169,IF($E$6='Lookup Tables Options'!$D$196,'Lookup Tables Options'!Q217,"")))))</f>
        <v/>
      </c>
      <c r="R29" s="270" t="str">
        <f>IF($E$6='Lookup Tables Options'!$D$4,'Lookup Tables Options'!R25,IF($E$6='Lookup Tables Options'!$D$52,'Lookup Tables Options'!R73,IF($E$6='Lookup Tables Options'!$D$100,'Lookup Tables Options'!R121,IF($E$6='Lookup Tables Options'!$D$148,'Lookup Tables Options'!R169,IF($E$6='Lookup Tables Options'!$D$196,'Lookup Tables Options'!R217,"")))))</f>
        <v/>
      </c>
      <c r="S29" s="269" t="str">
        <f>IF($E$6='Lookup Tables Options'!$D$4,'Lookup Tables Options'!S25,IF($E$6='Lookup Tables Options'!$D$52,'Lookup Tables Options'!S73,IF($E$6='Lookup Tables Options'!$D$100,'Lookup Tables Options'!S121,IF($E$6='Lookup Tables Options'!$D$148,'Lookup Tables Options'!S169,IF($E$6='Lookup Tables Options'!$D$196,'Lookup Tables Options'!S217,"")))))</f>
        <v/>
      </c>
      <c r="T29" s="268" t="str">
        <f>IF($E$6='Lookup Tables Options'!$D$4,'Lookup Tables Options'!T25,IF($E$6='Lookup Tables Options'!$D$52,'Lookup Tables Options'!T73,IF($E$6='Lookup Tables Options'!$D$100,'Lookup Tables Options'!T121,IF($E$6='Lookup Tables Options'!$D$148,'Lookup Tables Options'!T169,IF($E$6='Lookup Tables Options'!$D$196,'Lookup Tables Options'!T217,"")))))</f>
        <v/>
      </c>
      <c r="U29" s="270" t="str">
        <f>IF($E$6='Lookup Tables Options'!$D$4,'Lookup Tables Options'!U25,IF($E$6='Lookup Tables Options'!$D$52,'Lookup Tables Options'!U73,IF($E$6='Lookup Tables Options'!$D$100,'Lookup Tables Options'!U121,IF($E$6='Lookup Tables Options'!$D$148,'Lookup Tables Options'!U169,IF($E$6='Lookup Tables Options'!$D$196,'Lookup Tables Options'!U217,"")))))</f>
        <v/>
      </c>
      <c r="V29" s="270" t="str">
        <f>IF($E$6='Lookup Tables Options'!$D$4,'Lookup Tables Options'!V25,IF($E$6='Lookup Tables Options'!$D$52,'Lookup Tables Options'!V73,IF($E$6='Lookup Tables Options'!$D$100,'Lookup Tables Options'!V121,IF($E$6='Lookup Tables Options'!$D$148,'Lookup Tables Options'!V169,IF($E$6='Lookup Tables Options'!$D$196,'Lookup Tables Options'!V217,"")))))</f>
        <v/>
      </c>
      <c r="W29" s="270" t="str">
        <f>IF($E$6='Lookup Tables Options'!$D$4,'Lookup Tables Options'!W25,IF($E$6='Lookup Tables Options'!$D$52,'Lookup Tables Options'!W73,IF($E$6='Lookup Tables Options'!$D$100,'Lookup Tables Options'!W121,IF($E$6='Lookup Tables Options'!$D$148,'Lookup Tables Options'!W169,IF($E$6='Lookup Tables Options'!$D$196,'Lookup Tables Options'!W217,"")))))</f>
        <v/>
      </c>
      <c r="X29" s="270" t="str">
        <f>IF($E$6='Lookup Tables Options'!$D$4,'Lookup Tables Options'!X25,IF($E$6='Lookup Tables Options'!$D$52,'Lookup Tables Options'!X73,IF($E$6='Lookup Tables Options'!$D$100,'Lookup Tables Options'!X121,IF($E$6='Lookup Tables Options'!$D$148,'Lookup Tables Options'!X169,IF($E$6='Lookup Tables Options'!$D$196,'Lookup Tables Options'!X217,"")))))</f>
        <v/>
      </c>
      <c r="Y29" s="270" t="str">
        <f>IF($E$6='Lookup Tables Options'!$D$4,'Lookup Tables Options'!Y25,IF($E$6='Lookup Tables Options'!$D$52,'Lookup Tables Options'!Y73,IF($E$6='Lookup Tables Options'!$D$100,'Lookup Tables Options'!Y121,IF($E$6='Lookup Tables Options'!$D$148,'Lookup Tables Options'!Y169,IF($E$6='Lookup Tables Options'!$D$196,'Lookup Tables Options'!Y217,"")))))</f>
        <v/>
      </c>
      <c r="Z29" s="270" t="str">
        <f>IF($E$6='Lookup Tables Options'!$D$4,'Lookup Tables Options'!Z25,IF($E$6='Lookup Tables Options'!$D$52,'Lookup Tables Options'!Z73,IF($E$6='Lookup Tables Options'!$D$100,'Lookup Tables Options'!Z121,IF($E$6='Lookup Tables Options'!$D$148,'Lookup Tables Options'!Z169,IF($E$6='Lookup Tables Options'!$D$196,'Lookup Tables Options'!Z217,"")))))</f>
        <v/>
      </c>
      <c r="AA29" s="270" t="str">
        <f>IF($E$6='Lookup Tables Options'!$D$4,'Lookup Tables Options'!AA25,IF($E$6='Lookup Tables Options'!$D$52,'Lookup Tables Options'!AA73,IF($E$6='Lookup Tables Options'!$D$100,'Lookup Tables Options'!AA121,IF($E$6='Lookup Tables Options'!$D$148,'Lookup Tables Options'!AA169,IF($E$6='Lookup Tables Options'!$D$196,'Lookup Tables Options'!AA217,"")))))</f>
        <v/>
      </c>
      <c r="AB29" s="270" t="str">
        <f>IF($E$6='Lookup Tables Options'!$D$4,'Lookup Tables Options'!AB25,IF($E$6='Lookup Tables Options'!$D$52,'Lookup Tables Options'!AB73,IF($E$6='Lookup Tables Options'!$D$100,'Lookup Tables Options'!AB121,IF($E$6='Lookup Tables Options'!$D$148,'Lookup Tables Options'!AB169,IF($E$6='Lookup Tables Options'!$D$196,'Lookup Tables Options'!AB217,"")))))</f>
        <v/>
      </c>
      <c r="AC29" s="270" t="str">
        <f>IF($E$6='Lookup Tables Options'!$D$4,'Lookup Tables Options'!AC25,IF($E$6='Lookup Tables Options'!$D$52,'Lookup Tables Options'!AC73,IF($E$6='Lookup Tables Options'!$D$100,'Lookup Tables Options'!AC121,IF($E$6='Lookup Tables Options'!$D$148,'Lookup Tables Options'!AC169,IF($E$6='Lookup Tables Options'!$D$196,'Lookup Tables Options'!AC217,"")))))</f>
        <v/>
      </c>
      <c r="AD29" s="268" t="str">
        <f>IF($E$6='Lookup Tables Options'!$D$4,'Lookup Tables Options'!AD25,IF($E$6='Lookup Tables Options'!$D$52,'Lookup Tables Options'!AD73,IF($E$6='Lookup Tables Options'!$D$100,'Lookup Tables Options'!AD121,IF($E$6='Lookup Tables Options'!$D$148,'Lookup Tables Options'!AD169,IF($E$6='Lookup Tables Options'!$D$196,'Lookup Tables Options'!AD217,"")))))</f>
        <v/>
      </c>
      <c r="AE29" s="270" t="str">
        <f>IF($E$6='Lookup Tables Options'!$D$4,'Lookup Tables Options'!AE25,IF($E$6='Lookup Tables Options'!$D$52,'Lookup Tables Options'!AE73,IF($E$6='Lookup Tables Options'!$D$100,'Lookup Tables Options'!AE121,IF($E$6='Lookup Tables Options'!$D$148,'Lookup Tables Options'!AE169,IF($E$6='Lookup Tables Options'!$D$196,'Lookup Tables Options'!AE217,"")))))</f>
        <v/>
      </c>
      <c r="AF29" s="270" t="str">
        <f>IF($E$6='Lookup Tables Options'!$D$4,'Lookup Tables Options'!AF25,IF($E$6='Lookup Tables Options'!$D$52,'Lookup Tables Options'!AF73,IF($E$6='Lookup Tables Options'!$D$100,'Lookup Tables Options'!AF121,IF($E$6='Lookup Tables Options'!$D$148,'Lookup Tables Options'!AF169,IF($E$6='Lookup Tables Options'!$D$196,'Lookup Tables Options'!AF217,"")))))</f>
        <v/>
      </c>
      <c r="AG29" s="270" t="str">
        <f>IF($E$6='Lookup Tables Options'!$D$4,'Lookup Tables Options'!AG25,IF($E$6='Lookup Tables Options'!$D$52,'Lookup Tables Options'!AG73,IF($E$6='Lookup Tables Options'!$D$100,'Lookup Tables Options'!AG121,IF($E$6='Lookup Tables Options'!$D$148,'Lookup Tables Options'!AG169,IF($E$6='Lookup Tables Options'!$D$196,'Lookup Tables Options'!AG217,"")))))</f>
        <v/>
      </c>
      <c r="AH29" s="270" t="str">
        <f>IF($E$6='Lookup Tables Options'!$D$4,'Lookup Tables Options'!AH25,IF($E$6='Lookup Tables Options'!$D$52,'Lookup Tables Options'!AH73,IF($E$6='Lookup Tables Options'!$D$100,'Lookup Tables Options'!AH121,IF($E$6='Lookup Tables Options'!$D$148,'Lookup Tables Options'!AH169,IF($E$6='Lookup Tables Options'!$D$196,'Lookup Tables Options'!AH217,"")))))</f>
        <v/>
      </c>
      <c r="AI29" s="270" t="str">
        <f>IF($E$6='Lookup Tables Options'!$D$4,'Lookup Tables Options'!AI25,IF($E$6='Lookup Tables Options'!$D$52,'Lookup Tables Options'!AI73,IF($E$6='Lookup Tables Options'!$D$100,'Lookup Tables Options'!AI121,IF($E$6='Lookup Tables Options'!$D$148,'Lookup Tables Options'!AI169,IF($E$6='Lookup Tables Options'!$D$196,'Lookup Tables Options'!AI217,"")))))</f>
        <v/>
      </c>
      <c r="AJ29" s="270" t="str">
        <f>IF($E$6='Lookup Tables Options'!$D$4,'Lookup Tables Options'!AJ25,IF($E$6='Lookup Tables Options'!$D$52,'Lookup Tables Options'!AJ73,IF($E$6='Lookup Tables Options'!$D$100,'Lookup Tables Options'!AJ121,IF($E$6='Lookup Tables Options'!$D$148,'Lookup Tables Options'!AJ169,IF($E$6='Lookup Tables Options'!$D$196,'Lookup Tables Options'!AJ217,"")))))</f>
        <v/>
      </c>
      <c r="AK29" s="270" t="str">
        <f>IF($E$6='Lookup Tables Options'!$D$4,'Lookup Tables Options'!AK25,IF($E$6='Lookup Tables Options'!$D$52,'Lookup Tables Options'!AK73,IF($E$6='Lookup Tables Options'!$D$100,'Lookup Tables Options'!AK121,IF($E$6='Lookup Tables Options'!$D$148,'Lookup Tables Options'!AK169,IF($E$6='Lookup Tables Options'!$D$196,'Lookup Tables Options'!AK217,"")))))</f>
        <v/>
      </c>
      <c r="AL29" s="270" t="str">
        <f>IF($E$6='Lookup Tables Options'!$D$4,'Lookup Tables Options'!AL25,IF($E$6='Lookup Tables Options'!$D$52,'Lookup Tables Options'!AL73,IF($E$6='Lookup Tables Options'!$D$100,'Lookup Tables Options'!AL121,IF($E$6='Lookup Tables Options'!$D$148,'Lookup Tables Options'!AL169,IF($E$6='Lookup Tables Options'!$D$196,'Lookup Tables Options'!AL217,"")))))</f>
        <v/>
      </c>
      <c r="AM29" s="269" t="str">
        <f>IF($E$6='Lookup Tables Options'!$D$4,'Lookup Tables Options'!AM25,IF($E$6='Lookup Tables Options'!$D$52,'Lookup Tables Options'!AM73,IF($E$6='Lookup Tables Options'!$D$100,'Lookup Tables Options'!AM121,IF($E$6='Lookup Tables Options'!$D$148,'Lookup Tables Options'!AM169,IF($E$6='Lookup Tables Options'!$D$196,'Lookup Tables Options'!AM217,"")))))</f>
        <v/>
      </c>
    </row>
    <row r="30" spans="4:39" ht="15.6">
      <c r="D30" s="267">
        <v>17</v>
      </c>
      <c r="E30" s="268" t="str">
        <f>IF($E$6='Lookup Tables Options'!$D$4,'Lookup Tables Options'!E26,IF($E$6='Lookup Tables Options'!$D$52,'Lookup Tables Options'!E74,IF($E$6='Lookup Tables Options'!$D$100,'Lookup Tables Options'!E122,IF($E$6='Lookup Tables Options'!$D$148,'Lookup Tables Options'!E170,IF($E$6='Lookup Tables Options'!$D$196,'Lookup Tables Options'!E218,"")))))</f>
        <v/>
      </c>
      <c r="F30" s="269" t="str">
        <f>IF($E$6='Lookup Tables Options'!$D$4,'Lookup Tables Options'!F26,IF($E$6='Lookup Tables Options'!$D$52,'Lookup Tables Options'!F74,IF($E$6='Lookup Tables Options'!$D$100,'Lookup Tables Options'!F122,IF($E$6='Lookup Tables Options'!$D$148,'Lookup Tables Options'!F170,IF($E$6='Lookup Tables Options'!$D$196,'Lookup Tables Options'!F218,"")))))</f>
        <v/>
      </c>
      <c r="G30" s="268" t="str">
        <f>IF($E$6='Lookup Tables Options'!$D$4,'Lookup Tables Options'!G26,IF($E$6='Lookup Tables Options'!$D$52,'Lookup Tables Options'!G74,IF($E$6='Lookup Tables Options'!$D$100,'Lookup Tables Options'!G122,IF($E$6='Lookup Tables Options'!$D$148,'Lookup Tables Options'!G170,IF($E$6='Lookup Tables Options'!$D$196,'Lookup Tables Options'!G218,"")))))</f>
        <v/>
      </c>
      <c r="H30" s="270" t="str">
        <f>IF($E$6='Lookup Tables Options'!$D$4,'Lookup Tables Options'!H26,IF($E$6='Lookup Tables Options'!$D$52,'Lookup Tables Options'!H74,IF($E$6='Lookup Tables Options'!$D$100,'Lookup Tables Options'!H122,IF($E$6='Lookup Tables Options'!$D$148,'Lookup Tables Options'!H170,IF($E$6='Lookup Tables Options'!$D$196,'Lookup Tables Options'!H218,"")))))</f>
        <v/>
      </c>
      <c r="I30" s="270" t="str">
        <f>IF($E$6='Lookup Tables Options'!$D$4,'Lookup Tables Options'!I26,IF($E$6='Lookup Tables Options'!$D$52,'Lookup Tables Options'!I74,IF($E$6='Lookup Tables Options'!$D$100,'Lookup Tables Options'!I122,IF($E$6='Lookup Tables Options'!$D$148,'Lookup Tables Options'!I170,IF($E$6='Lookup Tables Options'!$D$196,'Lookup Tables Options'!I218,"")))))</f>
        <v/>
      </c>
      <c r="J30" s="268" t="str">
        <f>IF($E$6='Lookup Tables Options'!$D$4,'Lookup Tables Options'!J26,IF($E$6='Lookup Tables Options'!$D$52,'Lookup Tables Options'!J74,IF($E$6='Lookup Tables Options'!$D$100,'Lookup Tables Options'!J122,IF($E$6='Lookup Tables Options'!$D$148,'Lookup Tables Options'!J170,IF($E$6='Lookup Tables Options'!$D$196,'Lookup Tables Options'!J218,"")))))</f>
        <v/>
      </c>
      <c r="K30" s="270" t="str">
        <f>IF($E$6='Lookup Tables Options'!$D$4,'Lookup Tables Options'!K26,IF($E$6='Lookup Tables Options'!$D$52,'Lookup Tables Options'!K74,IF($E$6='Lookup Tables Options'!$D$100,'Lookup Tables Options'!K122,IF($E$6='Lookup Tables Options'!$D$148,'Lookup Tables Options'!K170,IF($E$6='Lookup Tables Options'!$D$196,'Lookup Tables Options'!K218,"")))))</f>
        <v/>
      </c>
      <c r="L30" s="270" t="str">
        <f>IF($E$6='Lookup Tables Options'!$D$4,'Lookup Tables Options'!L26,IF($E$6='Lookup Tables Options'!$D$52,'Lookup Tables Options'!L74,IF($E$6='Lookup Tables Options'!$D$100,'Lookup Tables Options'!L122,IF($E$6='Lookup Tables Options'!$D$148,'Lookup Tables Options'!L170,IF($E$6='Lookup Tables Options'!$D$196,'Lookup Tables Options'!L218,"")))))</f>
        <v/>
      </c>
      <c r="M30" s="270" t="str">
        <f>IF($E$6='Lookup Tables Options'!$D$4,'Lookup Tables Options'!M26,IF($E$6='Lookup Tables Options'!$D$52,'Lookup Tables Options'!M74,IF($E$6='Lookup Tables Options'!$D$100,'Lookup Tables Options'!M122,IF($E$6='Lookup Tables Options'!$D$148,'Lookup Tables Options'!M170,IF($E$6='Lookup Tables Options'!$D$196,'Lookup Tables Options'!M218,"")))))</f>
        <v/>
      </c>
      <c r="N30" s="270" t="str">
        <f>IF($E$6='Lookup Tables Options'!$D$4,'Lookup Tables Options'!N26,IF($E$6='Lookup Tables Options'!$D$52,'Lookup Tables Options'!N74,IF($E$6='Lookup Tables Options'!$D$100,'Lookup Tables Options'!N122,IF($E$6='Lookup Tables Options'!$D$148,'Lookup Tables Options'!N170,IF($E$6='Lookup Tables Options'!$D$196,'Lookup Tables Options'!N218,"")))))</f>
        <v/>
      </c>
      <c r="O30" s="270" t="str">
        <f>IF($E$6='Lookup Tables Options'!$D$4,'Lookup Tables Options'!O26,IF($E$6='Lookup Tables Options'!$D$52,'Lookup Tables Options'!O74,IF($E$6='Lookup Tables Options'!$D$100,'Lookup Tables Options'!O122,IF($E$6='Lookup Tables Options'!$D$148,'Lookup Tables Options'!O170,IF($E$6='Lookup Tables Options'!$D$196,'Lookup Tables Options'!O218,"")))))</f>
        <v/>
      </c>
      <c r="P30" s="270" t="str">
        <f>IF($E$6='Lookup Tables Options'!$D$4,'Lookup Tables Options'!P26,IF($E$6='Lookup Tables Options'!$D$52,'Lookup Tables Options'!P74,IF($E$6='Lookup Tables Options'!$D$100,'Lookup Tables Options'!P122,IF($E$6='Lookup Tables Options'!$D$148,'Lookup Tables Options'!P170,IF($E$6='Lookup Tables Options'!$D$196,'Lookup Tables Options'!P218,"")))))</f>
        <v/>
      </c>
      <c r="Q30" s="270" t="str">
        <f>IF($E$6='Lookup Tables Options'!$D$4,'Lookup Tables Options'!Q26,IF($E$6='Lookup Tables Options'!$D$52,'Lookup Tables Options'!Q74,IF($E$6='Lookup Tables Options'!$D$100,'Lookup Tables Options'!Q122,IF($E$6='Lookup Tables Options'!$D$148,'Lookup Tables Options'!Q170,IF($E$6='Lookup Tables Options'!$D$196,'Lookup Tables Options'!Q218,"")))))</f>
        <v/>
      </c>
      <c r="R30" s="270" t="str">
        <f>IF($E$6='Lookup Tables Options'!$D$4,'Lookup Tables Options'!R26,IF($E$6='Lookup Tables Options'!$D$52,'Lookup Tables Options'!R74,IF($E$6='Lookup Tables Options'!$D$100,'Lookup Tables Options'!R122,IF($E$6='Lookup Tables Options'!$D$148,'Lookup Tables Options'!R170,IF($E$6='Lookup Tables Options'!$D$196,'Lookup Tables Options'!R218,"")))))</f>
        <v/>
      </c>
      <c r="S30" s="269" t="str">
        <f>IF($E$6='Lookup Tables Options'!$D$4,'Lookup Tables Options'!S26,IF($E$6='Lookup Tables Options'!$D$52,'Lookup Tables Options'!S74,IF($E$6='Lookup Tables Options'!$D$100,'Lookup Tables Options'!S122,IF($E$6='Lookup Tables Options'!$D$148,'Lookup Tables Options'!S170,IF($E$6='Lookup Tables Options'!$D$196,'Lookup Tables Options'!S218,"")))))</f>
        <v/>
      </c>
      <c r="T30" s="268" t="str">
        <f>IF($E$6='Lookup Tables Options'!$D$4,'Lookup Tables Options'!T26,IF($E$6='Lookup Tables Options'!$D$52,'Lookup Tables Options'!T74,IF($E$6='Lookup Tables Options'!$D$100,'Lookup Tables Options'!T122,IF($E$6='Lookup Tables Options'!$D$148,'Lookup Tables Options'!T170,IF($E$6='Lookup Tables Options'!$D$196,'Lookup Tables Options'!T218,"")))))</f>
        <v/>
      </c>
      <c r="U30" s="270" t="str">
        <f>IF($E$6='Lookup Tables Options'!$D$4,'Lookup Tables Options'!U26,IF($E$6='Lookup Tables Options'!$D$52,'Lookup Tables Options'!U74,IF($E$6='Lookup Tables Options'!$D$100,'Lookup Tables Options'!U122,IF($E$6='Lookup Tables Options'!$D$148,'Lookup Tables Options'!U170,IF($E$6='Lookup Tables Options'!$D$196,'Lookup Tables Options'!U218,"")))))</f>
        <v/>
      </c>
      <c r="V30" s="270" t="str">
        <f>IF($E$6='Lookup Tables Options'!$D$4,'Lookup Tables Options'!V26,IF($E$6='Lookup Tables Options'!$D$52,'Lookup Tables Options'!V74,IF($E$6='Lookup Tables Options'!$D$100,'Lookup Tables Options'!V122,IF($E$6='Lookup Tables Options'!$D$148,'Lookup Tables Options'!V170,IF($E$6='Lookup Tables Options'!$D$196,'Lookup Tables Options'!V218,"")))))</f>
        <v/>
      </c>
      <c r="W30" s="270" t="str">
        <f>IF($E$6='Lookup Tables Options'!$D$4,'Lookup Tables Options'!W26,IF($E$6='Lookup Tables Options'!$D$52,'Lookup Tables Options'!W74,IF($E$6='Lookup Tables Options'!$D$100,'Lookup Tables Options'!W122,IF($E$6='Lookup Tables Options'!$D$148,'Lookup Tables Options'!W170,IF($E$6='Lookup Tables Options'!$D$196,'Lookup Tables Options'!W218,"")))))</f>
        <v/>
      </c>
      <c r="X30" s="270" t="str">
        <f>IF($E$6='Lookup Tables Options'!$D$4,'Lookup Tables Options'!X26,IF($E$6='Lookup Tables Options'!$D$52,'Lookup Tables Options'!X74,IF($E$6='Lookup Tables Options'!$D$100,'Lookup Tables Options'!X122,IF($E$6='Lookup Tables Options'!$D$148,'Lookup Tables Options'!X170,IF($E$6='Lookup Tables Options'!$D$196,'Lookup Tables Options'!X218,"")))))</f>
        <v/>
      </c>
      <c r="Y30" s="270" t="str">
        <f>IF($E$6='Lookup Tables Options'!$D$4,'Lookup Tables Options'!Y26,IF($E$6='Lookup Tables Options'!$D$52,'Lookup Tables Options'!Y74,IF($E$6='Lookup Tables Options'!$D$100,'Lookup Tables Options'!Y122,IF($E$6='Lookup Tables Options'!$D$148,'Lookup Tables Options'!Y170,IF($E$6='Lookup Tables Options'!$D$196,'Lookup Tables Options'!Y218,"")))))</f>
        <v/>
      </c>
      <c r="Z30" s="270" t="str">
        <f>IF($E$6='Lookup Tables Options'!$D$4,'Lookup Tables Options'!Z26,IF($E$6='Lookup Tables Options'!$D$52,'Lookup Tables Options'!Z74,IF($E$6='Lookup Tables Options'!$D$100,'Lookup Tables Options'!Z122,IF($E$6='Lookup Tables Options'!$D$148,'Lookup Tables Options'!Z170,IF($E$6='Lookup Tables Options'!$D$196,'Lookup Tables Options'!Z218,"")))))</f>
        <v/>
      </c>
      <c r="AA30" s="270" t="str">
        <f>IF($E$6='Lookup Tables Options'!$D$4,'Lookup Tables Options'!AA26,IF($E$6='Lookup Tables Options'!$D$52,'Lookup Tables Options'!AA74,IF($E$6='Lookup Tables Options'!$D$100,'Lookup Tables Options'!AA122,IF($E$6='Lookup Tables Options'!$D$148,'Lookup Tables Options'!AA170,IF($E$6='Lookup Tables Options'!$D$196,'Lookup Tables Options'!AA218,"")))))</f>
        <v/>
      </c>
      <c r="AB30" s="270" t="str">
        <f>IF($E$6='Lookup Tables Options'!$D$4,'Lookup Tables Options'!AB26,IF($E$6='Lookup Tables Options'!$D$52,'Lookup Tables Options'!AB74,IF($E$6='Lookup Tables Options'!$D$100,'Lookup Tables Options'!AB122,IF($E$6='Lookup Tables Options'!$D$148,'Lookup Tables Options'!AB170,IF($E$6='Lookup Tables Options'!$D$196,'Lookup Tables Options'!AB218,"")))))</f>
        <v/>
      </c>
      <c r="AC30" s="270" t="str">
        <f>IF($E$6='Lookup Tables Options'!$D$4,'Lookup Tables Options'!AC26,IF($E$6='Lookup Tables Options'!$D$52,'Lookup Tables Options'!AC74,IF($E$6='Lookup Tables Options'!$D$100,'Lookup Tables Options'!AC122,IF($E$6='Lookup Tables Options'!$D$148,'Lookup Tables Options'!AC170,IF($E$6='Lookup Tables Options'!$D$196,'Lookup Tables Options'!AC218,"")))))</f>
        <v/>
      </c>
      <c r="AD30" s="268" t="str">
        <f>IF($E$6='Lookup Tables Options'!$D$4,'Lookup Tables Options'!AD26,IF($E$6='Lookup Tables Options'!$D$52,'Lookup Tables Options'!AD74,IF($E$6='Lookup Tables Options'!$D$100,'Lookup Tables Options'!AD122,IF($E$6='Lookup Tables Options'!$D$148,'Lookup Tables Options'!AD170,IF($E$6='Lookup Tables Options'!$D$196,'Lookup Tables Options'!AD218,"")))))</f>
        <v/>
      </c>
      <c r="AE30" s="270" t="str">
        <f>IF($E$6='Lookup Tables Options'!$D$4,'Lookup Tables Options'!AE26,IF($E$6='Lookup Tables Options'!$D$52,'Lookup Tables Options'!AE74,IF($E$6='Lookup Tables Options'!$D$100,'Lookup Tables Options'!AE122,IF($E$6='Lookup Tables Options'!$D$148,'Lookup Tables Options'!AE170,IF($E$6='Lookup Tables Options'!$D$196,'Lookup Tables Options'!AE218,"")))))</f>
        <v/>
      </c>
      <c r="AF30" s="270" t="str">
        <f>IF($E$6='Lookup Tables Options'!$D$4,'Lookup Tables Options'!AF26,IF($E$6='Lookup Tables Options'!$D$52,'Lookup Tables Options'!AF74,IF($E$6='Lookup Tables Options'!$D$100,'Lookup Tables Options'!AF122,IF($E$6='Lookup Tables Options'!$D$148,'Lookup Tables Options'!AF170,IF($E$6='Lookup Tables Options'!$D$196,'Lookup Tables Options'!AF218,"")))))</f>
        <v/>
      </c>
      <c r="AG30" s="270" t="str">
        <f>IF($E$6='Lookup Tables Options'!$D$4,'Lookup Tables Options'!AG26,IF($E$6='Lookup Tables Options'!$D$52,'Lookup Tables Options'!AG74,IF($E$6='Lookup Tables Options'!$D$100,'Lookup Tables Options'!AG122,IF($E$6='Lookup Tables Options'!$D$148,'Lookup Tables Options'!AG170,IF($E$6='Lookup Tables Options'!$D$196,'Lookup Tables Options'!AG218,"")))))</f>
        <v/>
      </c>
      <c r="AH30" s="270" t="str">
        <f>IF($E$6='Lookup Tables Options'!$D$4,'Lookup Tables Options'!AH26,IF($E$6='Lookup Tables Options'!$D$52,'Lookup Tables Options'!AH74,IF($E$6='Lookup Tables Options'!$D$100,'Lookup Tables Options'!AH122,IF($E$6='Lookup Tables Options'!$D$148,'Lookup Tables Options'!AH170,IF($E$6='Lookup Tables Options'!$D$196,'Lookup Tables Options'!AH218,"")))))</f>
        <v/>
      </c>
      <c r="AI30" s="270" t="str">
        <f>IF($E$6='Lookup Tables Options'!$D$4,'Lookup Tables Options'!AI26,IF($E$6='Lookup Tables Options'!$D$52,'Lookup Tables Options'!AI74,IF($E$6='Lookup Tables Options'!$D$100,'Lookup Tables Options'!AI122,IF($E$6='Lookup Tables Options'!$D$148,'Lookup Tables Options'!AI170,IF($E$6='Lookup Tables Options'!$D$196,'Lookup Tables Options'!AI218,"")))))</f>
        <v/>
      </c>
      <c r="AJ30" s="270" t="str">
        <f>IF($E$6='Lookup Tables Options'!$D$4,'Lookup Tables Options'!AJ26,IF($E$6='Lookup Tables Options'!$D$52,'Lookup Tables Options'!AJ74,IF($E$6='Lookup Tables Options'!$D$100,'Lookup Tables Options'!AJ122,IF($E$6='Lookup Tables Options'!$D$148,'Lookup Tables Options'!AJ170,IF($E$6='Lookup Tables Options'!$D$196,'Lookup Tables Options'!AJ218,"")))))</f>
        <v/>
      </c>
      <c r="AK30" s="270" t="str">
        <f>IF($E$6='Lookup Tables Options'!$D$4,'Lookup Tables Options'!AK26,IF($E$6='Lookup Tables Options'!$D$52,'Lookup Tables Options'!AK74,IF($E$6='Lookup Tables Options'!$D$100,'Lookup Tables Options'!AK122,IF($E$6='Lookup Tables Options'!$D$148,'Lookup Tables Options'!AK170,IF($E$6='Lookup Tables Options'!$D$196,'Lookup Tables Options'!AK218,"")))))</f>
        <v/>
      </c>
      <c r="AL30" s="270" t="str">
        <f>IF($E$6='Lookup Tables Options'!$D$4,'Lookup Tables Options'!AL26,IF($E$6='Lookup Tables Options'!$D$52,'Lookup Tables Options'!AL74,IF($E$6='Lookup Tables Options'!$D$100,'Lookup Tables Options'!AL122,IF($E$6='Lookup Tables Options'!$D$148,'Lookup Tables Options'!AL170,IF($E$6='Lookup Tables Options'!$D$196,'Lookup Tables Options'!AL218,"")))))</f>
        <v/>
      </c>
      <c r="AM30" s="269" t="str">
        <f>IF($E$6='Lookup Tables Options'!$D$4,'Lookup Tables Options'!AM26,IF($E$6='Lookup Tables Options'!$D$52,'Lookup Tables Options'!AM74,IF($E$6='Lookup Tables Options'!$D$100,'Lookup Tables Options'!AM122,IF($E$6='Lookup Tables Options'!$D$148,'Lookup Tables Options'!AM170,IF($E$6='Lookup Tables Options'!$D$196,'Lookup Tables Options'!AM218,"")))))</f>
        <v/>
      </c>
    </row>
    <row r="31" spans="4:39" ht="15.6">
      <c r="D31" s="267">
        <v>18</v>
      </c>
      <c r="E31" s="268" t="str">
        <f>IF($E$6='Lookup Tables Options'!$D$4,'Lookup Tables Options'!E27,IF($E$6='Lookup Tables Options'!$D$52,'Lookup Tables Options'!E75,IF($E$6='Lookup Tables Options'!$D$100,'Lookup Tables Options'!E123,IF($E$6='Lookup Tables Options'!$D$148,'Lookup Tables Options'!E171,IF($E$6='Lookup Tables Options'!$D$196,'Lookup Tables Options'!E219,"")))))</f>
        <v/>
      </c>
      <c r="F31" s="269" t="str">
        <f>IF($E$6='Lookup Tables Options'!$D$4,'Lookup Tables Options'!F27,IF($E$6='Lookup Tables Options'!$D$52,'Lookup Tables Options'!F75,IF($E$6='Lookup Tables Options'!$D$100,'Lookup Tables Options'!F123,IF($E$6='Lookup Tables Options'!$D$148,'Lookup Tables Options'!F171,IF($E$6='Lookup Tables Options'!$D$196,'Lookup Tables Options'!F219,"")))))</f>
        <v/>
      </c>
      <c r="G31" s="268" t="str">
        <f>IF($E$6='Lookup Tables Options'!$D$4,'Lookup Tables Options'!G27,IF($E$6='Lookup Tables Options'!$D$52,'Lookup Tables Options'!G75,IF($E$6='Lookup Tables Options'!$D$100,'Lookup Tables Options'!G123,IF($E$6='Lookup Tables Options'!$D$148,'Lookup Tables Options'!G171,IF($E$6='Lookup Tables Options'!$D$196,'Lookup Tables Options'!G219,"")))))</f>
        <v/>
      </c>
      <c r="H31" s="270" t="str">
        <f>IF($E$6='Lookup Tables Options'!$D$4,'Lookup Tables Options'!H27,IF($E$6='Lookup Tables Options'!$D$52,'Lookup Tables Options'!H75,IF($E$6='Lookup Tables Options'!$D$100,'Lookup Tables Options'!H123,IF($E$6='Lookup Tables Options'!$D$148,'Lookup Tables Options'!H171,IF($E$6='Lookup Tables Options'!$D$196,'Lookup Tables Options'!H219,"")))))</f>
        <v/>
      </c>
      <c r="I31" s="270" t="str">
        <f>IF($E$6='Lookup Tables Options'!$D$4,'Lookup Tables Options'!I27,IF($E$6='Lookup Tables Options'!$D$52,'Lookup Tables Options'!I75,IF($E$6='Lookup Tables Options'!$D$100,'Lookup Tables Options'!I123,IF($E$6='Lookup Tables Options'!$D$148,'Lookup Tables Options'!I171,IF($E$6='Lookup Tables Options'!$D$196,'Lookup Tables Options'!I219,"")))))</f>
        <v/>
      </c>
      <c r="J31" s="268" t="str">
        <f>IF($E$6='Lookup Tables Options'!$D$4,'Lookup Tables Options'!J27,IF($E$6='Lookup Tables Options'!$D$52,'Lookup Tables Options'!J75,IF($E$6='Lookup Tables Options'!$D$100,'Lookup Tables Options'!J123,IF($E$6='Lookup Tables Options'!$D$148,'Lookup Tables Options'!J171,IF($E$6='Lookup Tables Options'!$D$196,'Lookup Tables Options'!J219,"")))))</f>
        <v/>
      </c>
      <c r="K31" s="270" t="str">
        <f>IF($E$6='Lookup Tables Options'!$D$4,'Lookup Tables Options'!K27,IF($E$6='Lookup Tables Options'!$D$52,'Lookup Tables Options'!K75,IF($E$6='Lookup Tables Options'!$D$100,'Lookup Tables Options'!K123,IF($E$6='Lookup Tables Options'!$D$148,'Lookup Tables Options'!K171,IF($E$6='Lookup Tables Options'!$D$196,'Lookup Tables Options'!K219,"")))))</f>
        <v/>
      </c>
      <c r="L31" s="270" t="str">
        <f>IF($E$6='Lookup Tables Options'!$D$4,'Lookup Tables Options'!L27,IF($E$6='Lookup Tables Options'!$D$52,'Lookup Tables Options'!L75,IF($E$6='Lookup Tables Options'!$D$100,'Lookup Tables Options'!L123,IF($E$6='Lookup Tables Options'!$D$148,'Lookup Tables Options'!L171,IF($E$6='Lookup Tables Options'!$D$196,'Lookup Tables Options'!L219,"")))))</f>
        <v/>
      </c>
      <c r="M31" s="270" t="str">
        <f>IF($E$6='Lookup Tables Options'!$D$4,'Lookup Tables Options'!M27,IF($E$6='Lookup Tables Options'!$D$52,'Lookup Tables Options'!M75,IF($E$6='Lookup Tables Options'!$D$100,'Lookup Tables Options'!M123,IF($E$6='Lookup Tables Options'!$D$148,'Lookup Tables Options'!M171,IF($E$6='Lookup Tables Options'!$D$196,'Lookup Tables Options'!M219,"")))))</f>
        <v/>
      </c>
      <c r="N31" s="270" t="str">
        <f>IF($E$6='Lookup Tables Options'!$D$4,'Lookup Tables Options'!N27,IF($E$6='Lookup Tables Options'!$D$52,'Lookup Tables Options'!N75,IF($E$6='Lookup Tables Options'!$D$100,'Lookup Tables Options'!N123,IF($E$6='Lookup Tables Options'!$D$148,'Lookup Tables Options'!N171,IF($E$6='Lookup Tables Options'!$D$196,'Lookup Tables Options'!N219,"")))))</f>
        <v/>
      </c>
      <c r="O31" s="270" t="str">
        <f>IF($E$6='Lookup Tables Options'!$D$4,'Lookup Tables Options'!O27,IF($E$6='Lookup Tables Options'!$D$52,'Lookup Tables Options'!O75,IF($E$6='Lookup Tables Options'!$D$100,'Lookup Tables Options'!O123,IF($E$6='Lookup Tables Options'!$D$148,'Lookup Tables Options'!O171,IF($E$6='Lookup Tables Options'!$D$196,'Lookup Tables Options'!O219,"")))))</f>
        <v/>
      </c>
      <c r="P31" s="270" t="str">
        <f>IF($E$6='Lookup Tables Options'!$D$4,'Lookup Tables Options'!P27,IF($E$6='Lookup Tables Options'!$D$52,'Lookup Tables Options'!P75,IF($E$6='Lookup Tables Options'!$D$100,'Lookup Tables Options'!P123,IF($E$6='Lookup Tables Options'!$D$148,'Lookup Tables Options'!P171,IF($E$6='Lookup Tables Options'!$D$196,'Lookup Tables Options'!P219,"")))))</f>
        <v/>
      </c>
      <c r="Q31" s="270" t="str">
        <f>IF($E$6='Lookup Tables Options'!$D$4,'Lookup Tables Options'!Q27,IF($E$6='Lookup Tables Options'!$D$52,'Lookup Tables Options'!Q75,IF($E$6='Lookup Tables Options'!$D$100,'Lookup Tables Options'!Q123,IF($E$6='Lookup Tables Options'!$D$148,'Lookup Tables Options'!Q171,IF($E$6='Lookup Tables Options'!$D$196,'Lookup Tables Options'!Q219,"")))))</f>
        <v/>
      </c>
      <c r="R31" s="270" t="str">
        <f>IF($E$6='Lookup Tables Options'!$D$4,'Lookup Tables Options'!R27,IF($E$6='Lookup Tables Options'!$D$52,'Lookup Tables Options'!R75,IF($E$6='Lookup Tables Options'!$D$100,'Lookup Tables Options'!R123,IF($E$6='Lookup Tables Options'!$D$148,'Lookup Tables Options'!R171,IF($E$6='Lookup Tables Options'!$D$196,'Lookup Tables Options'!R219,"")))))</f>
        <v/>
      </c>
      <c r="S31" s="269" t="str">
        <f>IF($E$6='Lookup Tables Options'!$D$4,'Lookup Tables Options'!S27,IF($E$6='Lookup Tables Options'!$D$52,'Lookup Tables Options'!S75,IF($E$6='Lookup Tables Options'!$D$100,'Lookup Tables Options'!S123,IF($E$6='Lookup Tables Options'!$D$148,'Lookup Tables Options'!S171,IF($E$6='Lookup Tables Options'!$D$196,'Lookup Tables Options'!S219,"")))))</f>
        <v/>
      </c>
      <c r="T31" s="268" t="str">
        <f>IF($E$6='Lookup Tables Options'!$D$4,'Lookup Tables Options'!T27,IF($E$6='Lookup Tables Options'!$D$52,'Lookup Tables Options'!T75,IF($E$6='Lookup Tables Options'!$D$100,'Lookup Tables Options'!T123,IF($E$6='Lookup Tables Options'!$D$148,'Lookup Tables Options'!T171,IF($E$6='Lookup Tables Options'!$D$196,'Lookup Tables Options'!T219,"")))))</f>
        <v/>
      </c>
      <c r="U31" s="270" t="str">
        <f>IF($E$6='Lookup Tables Options'!$D$4,'Lookup Tables Options'!U27,IF($E$6='Lookup Tables Options'!$D$52,'Lookup Tables Options'!U75,IF($E$6='Lookup Tables Options'!$D$100,'Lookup Tables Options'!U123,IF($E$6='Lookup Tables Options'!$D$148,'Lookup Tables Options'!U171,IF($E$6='Lookup Tables Options'!$D$196,'Lookup Tables Options'!U219,"")))))</f>
        <v/>
      </c>
      <c r="V31" s="270" t="str">
        <f>IF($E$6='Lookup Tables Options'!$D$4,'Lookup Tables Options'!V27,IF($E$6='Lookup Tables Options'!$D$52,'Lookup Tables Options'!V75,IF($E$6='Lookup Tables Options'!$D$100,'Lookup Tables Options'!V123,IF($E$6='Lookup Tables Options'!$D$148,'Lookup Tables Options'!V171,IF($E$6='Lookup Tables Options'!$D$196,'Lookup Tables Options'!V219,"")))))</f>
        <v/>
      </c>
      <c r="W31" s="270" t="str">
        <f>IF($E$6='Lookup Tables Options'!$D$4,'Lookup Tables Options'!W27,IF($E$6='Lookup Tables Options'!$D$52,'Lookup Tables Options'!W75,IF($E$6='Lookup Tables Options'!$D$100,'Lookup Tables Options'!W123,IF($E$6='Lookup Tables Options'!$D$148,'Lookup Tables Options'!W171,IF($E$6='Lookup Tables Options'!$D$196,'Lookup Tables Options'!W219,"")))))</f>
        <v/>
      </c>
      <c r="X31" s="270" t="str">
        <f>IF($E$6='Lookup Tables Options'!$D$4,'Lookup Tables Options'!X27,IF($E$6='Lookup Tables Options'!$D$52,'Lookup Tables Options'!X75,IF($E$6='Lookup Tables Options'!$D$100,'Lookup Tables Options'!X123,IF($E$6='Lookup Tables Options'!$D$148,'Lookup Tables Options'!X171,IF($E$6='Lookup Tables Options'!$D$196,'Lookup Tables Options'!X219,"")))))</f>
        <v/>
      </c>
      <c r="Y31" s="270" t="str">
        <f>IF($E$6='Lookup Tables Options'!$D$4,'Lookup Tables Options'!Y27,IF($E$6='Lookup Tables Options'!$D$52,'Lookup Tables Options'!Y75,IF($E$6='Lookup Tables Options'!$D$100,'Lookup Tables Options'!Y123,IF($E$6='Lookup Tables Options'!$D$148,'Lookup Tables Options'!Y171,IF($E$6='Lookup Tables Options'!$D$196,'Lookup Tables Options'!Y219,"")))))</f>
        <v/>
      </c>
      <c r="Z31" s="270" t="str">
        <f>IF($E$6='Lookup Tables Options'!$D$4,'Lookup Tables Options'!Z27,IF($E$6='Lookup Tables Options'!$D$52,'Lookup Tables Options'!Z75,IF($E$6='Lookup Tables Options'!$D$100,'Lookup Tables Options'!Z123,IF($E$6='Lookup Tables Options'!$D$148,'Lookup Tables Options'!Z171,IF($E$6='Lookup Tables Options'!$D$196,'Lookup Tables Options'!Z219,"")))))</f>
        <v/>
      </c>
      <c r="AA31" s="270" t="str">
        <f>IF($E$6='Lookup Tables Options'!$D$4,'Lookup Tables Options'!AA27,IF($E$6='Lookup Tables Options'!$D$52,'Lookup Tables Options'!AA75,IF($E$6='Lookup Tables Options'!$D$100,'Lookup Tables Options'!AA123,IF($E$6='Lookup Tables Options'!$D$148,'Lookup Tables Options'!AA171,IF($E$6='Lookup Tables Options'!$D$196,'Lookup Tables Options'!AA219,"")))))</f>
        <v/>
      </c>
      <c r="AB31" s="270" t="str">
        <f>IF($E$6='Lookup Tables Options'!$D$4,'Lookup Tables Options'!AB27,IF($E$6='Lookup Tables Options'!$D$52,'Lookup Tables Options'!AB75,IF($E$6='Lookup Tables Options'!$D$100,'Lookup Tables Options'!AB123,IF($E$6='Lookup Tables Options'!$D$148,'Lookup Tables Options'!AB171,IF($E$6='Lookup Tables Options'!$D$196,'Lookup Tables Options'!AB219,"")))))</f>
        <v/>
      </c>
      <c r="AC31" s="270" t="str">
        <f>IF($E$6='Lookup Tables Options'!$D$4,'Lookup Tables Options'!AC27,IF($E$6='Lookup Tables Options'!$D$52,'Lookup Tables Options'!AC75,IF($E$6='Lookup Tables Options'!$D$100,'Lookup Tables Options'!AC123,IF($E$6='Lookup Tables Options'!$D$148,'Lookup Tables Options'!AC171,IF($E$6='Lookup Tables Options'!$D$196,'Lookup Tables Options'!AC219,"")))))</f>
        <v/>
      </c>
      <c r="AD31" s="268" t="str">
        <f>IF($E$6='Lookup Tables Options'!$D$4,'Lookup Tables Options'!AD27,IF($E$6='Lookup Tables Options'!$D$52,'Lookup Tables Options'!AD75,IF($E$6='Lookup Tables Options'!$D$100,'Lookup Tables Options'!AD123,IF($E$6='Lookup Tables Options'!$D$148,'Lookup Tables Options'!AD171,IF($E$6='Lookup Tables Options'!$D$196,'Lookup Tables Options'!AD219,"")))))</f>
        <v/>
      </c>
      <c r="AE31" s="270" t="str">
        <f>IF($E$6='Lookup Tables Options'!$D$4,'Lookup Tables Options'!AE27,IF($E$6='Lookup Tables Options'!$D$52,'Lookup Tables Options'!AE75,IF($E$6='Lookup Tables Options'!$D$100,'Lookup Tables Options'!AE123,IF($E$6='Lookup Tables Options'!$D$148,'Lookup Tables Options'!AE171,IF($E$6='Lookup Tables Options'!$D$196,'Lookup Tables Options'!AE219,"")))))</f>
        <v/>
      </c>
      <c r="AF31" s="270" t="str">
        <f>IF($E$6='Lookup Tables Options'!$D$4,'Lookup Tables Options'!AF27,IF($E$6='Lookup Tables Options'!$D$52,'Lookup Tables Options'!AF75,IF($E$6='Lookup Tables Options'!$D$100,'Lookup Tables Options'!AF123,IF($E$6='Lookup Tables Options'!$D$148,'Lookup Tables Options'!AF171,IF($E$6='Lookup Tables Options'!$D$196,'Lookup Tables Options'!AF219,"")))))</f>
        <v/>
      </c>
      <c r="AG31" s="270" t="str">
        <f>IF($E$6='Lookup Tables Options'!$D$4,'Lookup Tables Options'!AG27,IF($E$6='Lookup Tables Options'!$D$52,'Lookup Tables Options'!AG75,IF($E$6='Lookup Tables Options'!$D$100,'Lookup Tables Options'!AG123,IF($E$6='Lookup Tables Options'!$D$148,'Lookup Tables Options'!AG171,IF($E$6='Lookup Tables Options'!$D$196,'Lookup Tables Options'!AG219,"")))))</f>
        <v/>
      </c>
      <c r="AH31" s="270" t="str">
        <f>IF($E$6='Lookup Tables Options'!$D$4,'Lookup Tables Options'!AH27,IF($E$6='Lookup Tables Options'!$D$52,'Lookup Tables Options'!AH75,IF($E$6='Lookup Tables Options'!$D$100,'Lookup Tables Options'!AH123,IF($E$6='Lookup Tables Options'!$D$148,'Lookup Tables Options'!AH171,IF($E$6='Lookup Tables Options'!$D$196,'Lookup Tables Options'!AH219,"")))))</f>
        <v/>
      </c>
      <c r="AI31" s="270" t="str">
        <f>IF($E$6='Lookup Tables Options'!$D$4,'Lookup Tables Options'!AI27,IF($E$6='Lookup Tables Options'!$D$52,'Lookup Tables Options'!AI75,IF($E$6='Lookup Tables Options'!$D$100,'Lookup Tables Options'!AI123,IF($E$6='Lookup Tables Options'!$D$148,'Lookup Tables Options'!AI171,IF($E$6='Lookup Tables Options'!$D$196,'Lookup Tables Options'!AI219,"")))))</f>
        <v/>
      </c>
      <c r="AJ31" s="270" t="str">
        <f>IF($E$6='Lookup Tables Options'!$D$4,'Lookup Tables Options'!AJ27,IF($E$6='Lookup Tables Options'!$D$52,'Lookup Tables Options'!AJ75,IF($E$6='Lookup Tables Options'!$D$100,'Lookup Tables Options'!AJ123,IF($E$6='Lookup Tables Options'!$D$148,'Lookup Tables Options'!AJ171,IF($E$6='Lookup Tables Options'!$D$196,'Lookup Tables Options'!AJ219,"")))))</f>
        <v/>
      </c>
      <c r="AK31" s="270" t="str">
        <f>IF($E$6='Lookup Tables Options'!$D$4,'Lookup Tables Options'!AK27,IF($E$6='Lookup Tables Options'!$D$52,'Lookup Tables Options'!AK75,IF($E$6='Lookup Tables Options'!$D$100,'Lookup Tables Options'!AK123,IF($E$6='Lookup Tables Options'!$D$148,'Lookup Tables Options'!AK171,IF($E$6='Lookup Tables Options'!$D$196,'Lookup Tables Options'!AK219,"")))))</f>
        <v/>
      </c>
      <c r="AL31" s="270" t="str">
        <f>IF($E$6='Lookup Tables Options'!$D$4,'Lookup Tables Options'!AL27,IF($E$6='Lookup Tables Options'!$D$52,'Lookup Tables Options'!AL75,IF($E$6='Lookup Tables Options'!$D$100,'Lookup Tables Options'!AL123,IF($E$6='Lookup Tables Options'!$D$148,'Lookup Tables Options'!AL171,IF($E$6='Lookup Tables Options'!$D$196,'Lookup Tables Options'!AL219,"")))))</f>
        <v/>
      </c>
      <c r="AM31" s="269" t="str">
        <f>IF($E$6='Lookup Tables Options'!$D$4,'Lookup Tables Options'!AM27,IF($E$6='Lookup Tables Options'!$D$52,'Lookup Tables Options'!AM75,IF($E$6='Lookup Tables Options'!$D$100,'Lookup Tables Options'!AM123,IF($E$6='Lookup Tables Options'!$D$148,'Lookup Tables Options'!AM171,IF($E$6='Lookup Tables Options'!$D$196,'Lookup Tables Options'!AM219,"")))))</f>
        <v/>
      </c>
    </row>
    <row r="32" spans="4:39" ht="15.6">
      <c r="D32" s="267">
        <v>19</v>
      </c>
      <c r="E32" s="268" t="str">
        <f>IF($E$6='Lookup Tables Options'!$D$4,'Lookup Tables Options'!E28,IF($E$6='Lookup Tables Options'!$D$52,'Lookup Tables Options'!E76,IF($E$6='Lookup Tables Options'!$D$100,'Lookup Tables Options'!E124,IF($E$6='Lookup Tables Options'!$D$148,'Lookup Tables Options'!E172,IF($E$6='Lookup Tables Options'!$D$196,'Lookup Tables Options'!E220,"")))))</f>
        <v/>
      </c>
      <c r="F32" s="269" t="str">
        <f>IF($E$6='Lookup Tables Options'!$D$4,'Lookup Tables Options'!F28,IF($E$6='Lookup Tables Options'!$D$52,'Lookup Tables Options'!F76,IF($E$6='Lookup Tables Options'!$D$100,'Lookup Tables Options'!F124,IF($E$6='Lookup Tables Options'!$D$148,'Lookup Tables Options'!F172,IF($E$6='Lookup Tables Options'!$D$196,'Lookup Tables Options'!F220,"")))))</f>
        <v/>
      </c>
      <c r="G32" s="268" t="str">
        <f>IF($E$6='Lookup Tables Options'!$D$4,'Lookup Tables Options'!G28,IF($E$6='Lookup Tables Options'!$D$52,'Lookup Tables Options'!G76,IF($E$6='Lookup Tables Options'!$D$100,'Lookup Tables Options'!G124,IF($E$6='Lookup Tables Options'!$D$148,'Lookup Tables Options'!G172,IF($E$6='Lookup Tables Options'!$D$196,'Lookup Tables Options'!G220,"")))))</f>
        <v/>
      </c>
      <c r="H32" s="270" t="str">
        <f>IF($E$6='Lookup Tables Options'!$D$4,'Lookup Tables Options'!H28,IF($E$6='Lookup Tables Options'!$D$52,'Lookup Tables Options'!H76,IF($E$6='Lookup Tables Options'!$D$100,'Lookup Tables Options'!H124,IF($E$6='Lookup Tables Options'!$D$148,'Lookup Tables Options'!H172,IF($E$6='Lookup Tables Options'!$D$196,'Lookup Tables Options'!H220,"")))))</f>
        <v/>
      </c>
      <c r="I32" s="270" t="str">
        <f>IF($E$6='Lookup Tables Options'!$D$4,'Lookup Tables Options'!I28,IF($E$6='Lookup Tables Options'!$D$52,'Lookup Tables Options'!I76,IF($E$6='Lookup Tables Options'!$D$100,'Lookup Tables Options'!I124,IF($E$6='Lookup Tables Options'!$D$148,'Lookup Tables Options'!I172,IF($E$6='Lookup Tables Options'!$D$196,'Lookup Tables Options'!I220,"")))))</f>
        <v/>
      </c>
      <c r="J32" s="268" t="str">
        <f>IF($E$6='Lookup Tables Options'!$D$4,'Lookup Tables Options'!J28,IF($E$6='Lookup Tables Options'!$D$52,'Lookup Tables Options'!J76,IF($E$6='Lookup Tables Options'!$D$100,'Lookup Tables Options'!J124,IF($E$6='Lookup Tables Options'!$D$148,'Lookup Tables Options'!J172,IF($E$6='Lookup Tables Options'!$D$196,'Lookup Tables Options'!J220,"")))))</f>
        <v/>
      </c>
      <c r="K32" s="270" t="str">
        <f>IF($E$6='Lookup Tables Options'!$D$4,'Lookup Tables Options'!K28,IF($E$6='Lookup Tables Options'!$D$52,'Lookup Tables Options'!K76,IF($E$6='Lookup Tables Options'!$D$100,'Lookup Tables Options'!K124,IF($E$6='Lookup Tables Options'!$D$148,'Lookup Tables Options'!K172,IF($E$6='Lookup Tables Options'!$D$196,'Lookup Tables Options'!K220,"")))))</f>
        <v/>
      </c>
      <c r="L32" s="270" t="str">
        <f>IF($E$6='Lookup Tables Options'!$D$4,'Lookup Tables Options'!L28,IF($E$6='Lookup Tables Options'!$D$52,'Lookup Tables Options'!L76,IF($E$6='Lookup Tables Options'!$D$100,'Lookup Tables Options'!L124,IF($E$6='Lookup Tables Options'!$D$148,'Lookup Tables Options'!L172,IF($E$6='Lookup Tables Options'!$D$196,'Lookup Tables Options'!L220,"")))))</f>
        <v/>
      </c>
      <c r="M32" s="270" t="str">
        <f>IF($E$6='Lookup Tables Options'!$D$4,'Lookup Tables Options'!M28,IF($E$6='Lookup Tables Options'!$D$52,'Lookup Tables Options'!M76,IF($E$6='Lookup Tables Options'!$D$100,'Lookup Tables Options'!M124,IF($E$6='Lookup Tables Options'!$D$148,'Lookup Tables Options'!M172,IF($E$6='Lookup Tables Options'!$D$196,'Lookup Tables Options'!M220,"")))))</f>
        <v/>
      </c>
      <c r="N32" s="270" t="str">
        <f>IF($E$6='Lookup Tables Options'!$D$4,'Lookup Tables Options'!N28,IF($E$6='Lookup Tables Options'!$D$52,'Lookup Tables Options'!N76,IF($E$6='Lookup Tables Options'!$D$100,'Lookup Tables Options'!N124,IF($E$6='Lookup Tables Options'!$D$148,'Lookup Tables Options'!N172,IF($E$6='Lookup Tables Options'!$D$196,'Lookup Tables Options'!N220,"")))))</f>
        <v/>
      </c>
      <c r="O32" s="270" t="str">
        <f>IF($E$6='Lookup Tables Options'!$D$4,'Lookup Tables Options'!O28,IF($E$6='Lookup Tables Options'!$D$52,'Lookup Tables Options'!O76,IF($E$6='Lookup Tables Options'!$D$100,'Lookup Tables Options'!O124,IF($E$6='Lookup Tables Options'!$D$148,'Lookup Tables Options'!O172,IF($E$6='Lookup Tables Options'!$D$196,'Lookup Tables Options'!O220,"")))))</f>
        <v/>
      </c>
      <c r="P32" s="270" t="str">
        <f>IF($E$6='Lookup Tables Options'!$D$4,'Lookup Tables Options'!P28,IF($E$6='Lookup Tables Options'!$D$52,'Lookup Tables Options'!P76,IF($E$6='Lookup Tables Options'!$D$100,'Lookup Tables Options'!P124,IF($E$6='Lookup Tables Options'!$D$148,'Lookup Tables Options'!P172,IF($E$6='Lookup Tables Options'!$D$196,'Lookup Tables Options'!P220,"")))))</f>
        <v/>
      </c>
      <c r="Q32" s="270" t="str">
        <f>IF($E$6='Lookup Tables Options'!$D$4,'Lookup Tables Options'!Q28,IF($E$6='Lookup Tables Options'!$D$52,'Lookup Tables Options'!Q76,IF($E$6='Lookup Tables Options'!$D$100,'Lookup Tables Options'!Q124,IF($E$6='Lookup Tables Options'!$D$148,'Lookup Tables Options'!Q172,IF($E$6='Lookup Tables Options'!$D$196,'Lookup Tables Options'!Q220,"")))))</f>
        <v/>
      </c>
      <c r="R32" s="270" t="str">
        <f>IF($E$6='Lookup Tables Options'!$D$4,'Lookup Tables Options'!R28,IF($E$6='Lookup Tables Options'!$D$52,'Lookup Tables Options'!R76,IF($E$6='Lookup Tables Options'!$D$100,'Lookup Tables Options'!R124,IF($E$6='Lookup Tables Options'!$D$148,'Lookup Tables Options'!R172,IF($E$6='Lookup Tables Options'!$D$196,'Lookup Tables Options'!R220,"")))))</f>
        <v/>
      </c>
      <c r="S32" s="269" t="str">
        <f>IF($E$6='Lookup Tables Options'!$D$4,'Lookup Tables Options'!S28,IF($E$6='Lookup Tables Options'!$D$52,'Lookup Tables Options'!S76,IF($E$6='Lookup Tables Options'!$D$100,'Lookup Tables Options'!S124,IF($E$6='Lookup Tables Options'!$D$148,'Lookup Tables Options'!S172,IF($E$6='Lookup Tables Options'!$D$196,'Lookup Tables Options'!S220,"")))))</f>
        <v/>
      </c>
      <c r="T32" s="268" t="str">
        <f>IF($E$6='Lookup Tables Options'!$D$4,'Lookup Tables Options'!T28,IF($E$6='Lookup Tables Options'!$D$52,'Lookup Tables Options'!T76,IF($E$6='Lookup Tables Options'!$D$100,'Lookup Tables Options'!T124,IF($E$6='Lookup Tables Options'!$D$148,'Lookup Tables Options'!T172,IF($E$6='Lookup Tables Options'!$D$196,'Lookup Tables Options'!T220,"")))))</f>
        <v/>
      </c>
      <c r="U32" s="270" t="str">
        <f>IF($E$6='Lookup Tables Options'!$D$4,'Lookup Tables Options'!U28,IF($E$6='Lookup Tables Options'!$D$52,'Lookup Tables Options'!U76,IF($E$6='Lookup Tables Options'!$D$100,'Lookup Tables Options'!U124,IF($E$6='Lookup Tables Options'!$D$148,'Lookup Tables Options'!U172,IF($E$6='Lookup Tables Options'!$D$196,'Lookup Tables Options'!U220,"")))))</f>
        <v/>
      </c>
      <c r="V32" s="270" t="str">
        <f>IF($E$6='Lookup Tables Options'!$D$4,'Lookup Tables Options'!V28,IF($E$6='Lookup Tables Options'!$D$52,'Lookup Tables Options'!V76,IF($E$6='Lookup Tables Options'!$D$100,'Lookup Tables Options'!V124,IF($E$6='Lookup Tables Options'!$D$148,'Lookup Tables Options'!V172,IF($E$6='Lookup Tables Options'!$D$196,'Lookup Tables Options'!V220,"")))))</f>
        <v/>
      </c>
      <c r="W32" s="270" t="str">
        <f>IF($E$6='Lookup Tables Options'!$D$4,'Lookup Tables Options'!W28,IF($E$6='Lookup Tables Options'!$D$52,'Lookup Tables Options'!W76,IF($E$6='Lookup Tables Options'!$D$100,'Lookup Tables Options'!W124,IF($E$6='Lookup Tables Options'!$D$148,'Lookup Tables Options'!W172,IF($E$6='Lookup Tables Options'!$D$196,'Lookup Tables Options'!W220,"")))))</f>
        <v/>
      </c>
      <c r="X32" s="270" t="str">
        <f>IF($E$6='Lookup Tables Options'!$D$4,'Lookup Tables Options'!X28,IF($E$6='Lookup Tables Options'!$D$52,'Lookup Tables Options'!X76,IF($E$6='Lookup Tables Options'!$D$100,'Lookup Tables Options'!X124,IF($E$6='Lookup Tables Options'!$D$148,'Lookup Tables Options'!X172,IF($E$6='Lookup Tables Options'!$D$196,'Lookup Tables Options'!X220,"")))))</f>
        <v/>
      </c>
      <c r="Y32" s="270" t="str">
        <f>IF($E$6='Lookup Tables Options'!$D$4,'Lookup Tables Options'!Y28,IF($E$6='Lookup Tables Options'!$D$52,'Lookup Tables Options'!Y76,IF($E$6='Lookup Tables Options'!$D$100,'Lookup Tables Options'!Y124,IF($E$6='Lookup Tables Options'!$D$148,'Lookup Tables Options'!Y172,IF($E$6='Lookup Tables Options'!$D$196,'Lookup Tables Options'!Y220,"")))))</f>
        <v/>
      </c>
      <c r="Z32" s="270" t="str">
        <f>IF($E$6='Lookup Tables Options'!$D$4,'Lookup Tables Options'!Z28,IF($E$6='Lookup Tables Options'!$D$52,'Lookup Tables Options'!Z76,IF($E$6='Lookup Tables Options'!$D$100,'Lookup Tables Options'!Z124,IF($E$6='Lookup Tables Options'!$D$148,'Lookup Tables Options'!Z172,IF($E$6='Lookup Tables Options'!$D$196,'Lookup Tables Options'!Z220,"")))))</f>
        <v/>
      </c>
      <c r="AA32" s="270" t="str">
        <f>IF($E$6='Lookup Tables Options'!$D$4,'Lookup Tables Options'!AA28,IF($E$6='Lookup Tables Options'!$D$52,'Lookup Tables Options'!AA76,IF($E$6='Lookup Tables Options'!$D$100,'Lookup Tables Options'!AA124,IF($E$6='Lookup Tables Options'!$D$148,'Lookup Tables Options'!AA172,IF($E$6='Lookup Tables Options'!$D$196,'Lookup Tables Options'!AA220,"")))))</f>
        <v/>
      </c>
      <c r="AB32" s="270" t="str">
        <f>IF($E$6='Lookup Tables Options'!$D$4,'Lookup Tables Options'!AB28,IF($E$6='Lookup Tables Options'!$D$52,'Lookup Tables Options'!AB76,IF($E$6='Lookup Tables Options'!$D$100,'Lookup Tables Options'!AB124,IF($E$6='Lookup Tables Options'!$D$148,'Lookup Tables Options'!AB172,IF($E$6='Lookup Tables Options'!$D$196,'Lookup Tables Options'!AB220,"")))))</f>
        <v/>
      </c>
      <c r="AC32" s="270" t="str">
        <f>IF($E$6='Lookup Tables Options'!$D$4,'Lookup Tables Options'!AC28,IF($E$6='Lookup Tables Options'!$D$52,'Lookup Tables Options'!AC76,IF($E$6='Lookup Tables Options'!$D$100,'Lookup Tables Options'!AC124,IF($E$6='Lookup Tables Options'!$D$148,'Lookup Tables Options'!AC172,IF($E$6='Lookup Tables Options'!$D$196,'Lookup Tables Options'!AC220,"")))))</f>
        <v/>
      </c>
      <c r="AD32" s="268" t="str">
        <f>IF($E$6='Lookup Tables Options'!$D$4,'Lookup Tables Options'!AD28,IF($E$6='Lookup Tables Options'!$D$52,'Lookup Tables Options'!AD76,IF($E$6='Lookup Tables Options'!$D$100,'Lookup Tables Options'!AD124,IF($E$6='Lookup Tables Options'!$D$148,'Lookup Tables Options'!AD172,IF($E$6='Lookup Tables Options'!$D$196,'Lookup Tables Options'!AD220,"")))))</f>
        <v/>
      </c>
      <c r="AE32" s="270" t="str">
        <f>IF($E$6='Lookup Tables Options'!$D$4,'Lookup Tables Options'!AE28,IF($E$6='Lookup Tables Options'!$D$52,'Lookup Tables Options'!AE76,IF($E$6='Lookup Tables Options'!$D$100,'Lookup Tables Options'!AE124,IF($E$6='Lookup Tables Options'!$D$148,'Lookup Tables Options'!AE172,IF($E$6='Lookup Tables Options'!$D$196,'Lookup Tables Options'!AE220,"")))))</f>
        <v/>
      </c>
      <c r="AF32" s="270" t="str">
        <f>IF($E$6='Lookup Tables Options'!$D$4,'Lookup Tables Options'!AF28,IF($E$6='Lookup Tables Options'!$D$52,'Lookup Tables Options'!AF76,IF($E$6='Lookup Tables Options'!$D$100,'Lookup Tables Options'!AF124,IF($E$6='Lookup Tables Options'!$D$148,'Lookup Tables Options'!AF172,IF($E$6='Lookup Tables Options'!$D$196,'Lookup Tables Options'!AF220,"")))))</f>
        <v/>
      </c>
      <c r="AG32" s="270" t="str">
        <f>IF($E$6='Lookup Tables Options'!$D$4,'Lookup Tables Options'!AG28,IF($E$6='Lookup Tables Options'!$D$52,'Lookup Tables Options'!AG76,IF($E$6='Lookup Tables Options'!$D$100,'Lookup Tables Options'!AG124,IF($E$6='Lookup Tables Options'!$D$148,'Lookup Tables Options'!AG172,IF($E$6='Lookup Tables Options'!$D$196,'Lookup Tables Options'!AG220,"")))))</f>
        <v/>
      </c>
      <c r="AH32" s="270" t="str">
        <f>IF($E$6='Lookup Tables Options'!$D$4,'Lookup Tables Options'!AH28,IF($E$6='Lookup Tables Options'!$D$52,'Lookup Tables Options'!AH76,IF($E$6='Lookup Tables Options'!$D$100,'Lookup Tables Options'!AH124,IF($E$6='Lookup Tables Options'!$D$148,'Lookup Tables Options'!AH172,IF($E$6='Lookup Tables Options'!$D$196,'Lookup Tables Options'!AH220,"")))))</f>
        <v/>
      </c>
      <c r="AI32" s="270" t="str">
        <f>IF($E$6='Lookup Tables Options'!$D$4,'Lookup Tables Options'!AI28,IF($E$6='Lookup Tables Options'!$D$52,'Lookup Tables Options'!AI76,IF($E$6='Lookup Tables Options'!$D$100,'Lookup Tables Options'!AI124,IF($E$6='Lookup Tables Options'!$D$148,'Lookup Tables Options'!AI172,IF($E$6='Lookup Tables Options'!$D$196,'Lookup Tables Options'!AI220,"")))))</f>
        <v/>
      </c>
      <c r="AJ32" s="270" t="str">
        <f>IF($E$6='Lookup Tables Options'!$D$4,'Lookup Tables Options'!AJ28,IF($E$6='Lookup Tables Options'!$D$52,'Lookup Tables Options'!AJ76,IF($E$6='Lookup Tables Options'!$D$100,'Lookup Tables Options'!AJ124,IF($E$6='Lookup Tables Options'!$D$148,'Lookup Tables Options'!AJ172,IF($E$6='Lookup Tables Options'!$D$196,'Lookup Tables Options'!AJ220,"")))))</f>
        <v/>
      </c>
      <c r="AK32" s="270" t="str">
        <f>IF($E$6='Lookup Tables Options'!$D$4,'Lookup Tables Options'!AK28,IF($E$6='Lookup Tables Options'!$D$52,'Lookup Tables Options'!AK76,IF($E$6='Lookup Tables Options'!$D$100,'Lookup Tables Options'!AK124,IF($E$6='Lookup Tables Options'!$D$148,'Lookup Tables Options'!AK172,IF($E$6='Lookup Tables Options'!$D$196,'Lookup Tables Options'!AK220,"")))))</f>
        <v/>
      </c>
      <c r="AL32" s="270" t="str">
        <f>IF($E$6='Lookup Tables Options'!$D$4,'Lookup Tables Options'!AL28,IF($E$6='Lookup Tables Options'!$D$52,'Lookup Tables Options'!AL76,IF($E$6='Lookup Tables Options'!$D$100,'Lookup Tables Options'!AL124,IF($E$6='Lookup Tables Options'!$D$148,'Lookup Tables Options'!AL172,IF($E$6='Lookup Tables Options'!$D$196,'Lookup Tables Options'!AL220,"")))))</f>
        <v/>
      </c>
      <c r="AM32" s="269" t="str">
        <f>IF($E$6='Lookup Tables Options'!$D$4,'Lookup Tables Options'!AM28,IF($E$6='Lookup Tables Options'!$D$52,'Lookup Tables Options'!AM76,IF($E$6='Lookup Tables Options'!$D$100,'Lookup Tables Options'!AM124,IF($E$6='Lookup Tables Options'!$D$148,'Lookup Tables Options'!AM172,IF($E$6='Lookup Tables Options'!$D$196,'Lookup Tables Options'!AM220,"")))))</f>
        <v/>
      </c>
    </row>
    <row r="33" spans="4:39" ht="15.6">
      <c r="D33" s="274">
        <v>20</v>
      </c>
      <c r="E33" s="264" t="str">
        <f>IF($E$6='Lookup Tables Options'!$D$4,'Lookup Tables Options'!E29,IF($E$6='Lookup Tables Options'!$D$52,'Lookup Tables Options'!E77,IF($E$6='Lookup Tables Options'!$D$100,'Lookup Tables Options'!E125,IF($E$6='Lookup Tables Options'!$D$148,'Lookup Tables Options'!E173,IF($E$6='Lookup Tables Options'!$D$196,'Lookup Tables Options'!E221,"")))))</f>
        <v/>
      </c>
      <c r="F33" s="266" t="str">
        <f>IF($E$6='Lookup Tables Options'!$D$4,'Lookup Tables Options'!F29,IF($E$6='Lookup Tables Options'!$D$52,'Lookup Tables Options'!F77,IF($E$6='Lookup Tables Options'!$D$100,'Lookup Tables Options'!F125,IF($E$6='Lookup Tables Options'!$D$148,'Lookup Tables Options'!F173,IF($E$6='Lookup Tables Options'!$D$196,'Lookup Tables Options'!F221,"")))))</f>
        <v/>
      </c>
      <c r="G33" s="264" t="str">
        <f>IF($E$6='Lookup Tables Options'!$D$4,'Lookup Tables Options'!G29,IF($E$6='Lookup Tables Options'!$D$52,'Lookup Tables Options'!G77,IF($E$6='Lookup Tables Options'!$D$100,'Lookup Tables Options'!G125,IF($E$6='Lookup Tables Options'!$D$148,'Lookup Tables Options'!G173,IF($E$6='Lookup Tables Options'!$D$196,'Lookup Tables Options'!G221,"")))))</f>
        <v/>
      </c>
      <c r="H33" s="265" t="str">
        <f>IF($E$6='Lookup Tables Options'!$D$4,'Lookup Tables Options'!H29,IF($E$6='Lookup Tables Options'!$D$52,'Lookup Tables Options'!H77,IF($E$6='Lookup Tables Options'!$D$100,'Lookup Tables Options'!H125,IF($E$6='Lookup Tables Options'!$D$148,'Lookup Tables Options'!H173,IF($E$6='Lookup Tables Options'!$D$196,'Lookup Tables Options'!H221,"")))))</f>
        <v/>
      </c>
      <c r="I33" s="265" t="str">
        <f>IF($E$6='Lookup Tables Options'!$D$4,'Lookup Tables Options'!I29,IF($E$6='Lookup Tables Options'!$D$52,'Lookup Tables Options'!I77,IF($E$6='Lookup Tables Options'!$D$100,'Lookup Tables Options'!I125,IF($E$6='Lookup Tables Options'!$D$148,'Lookup Tables Options'!I173,IF($E$6='Lookup Tables Options'!$D$196,'Lookup Tables Options'!I221,"")))))</f>
        <v/>
      </c>
      <c r="J33" s="264" t="str">
        <f>IF($E$6='Lookup Tables Options'!$D$4,'Lookup Tables Options'!J29,IF($E$6='Lookup Tables Options'!$D$52,'Lookup Tables Options'!J77,IF($E$6='Lookup Tables Options'!$D$100,'Lookup Tables Options'!J125,IF($E$6='Lookup Tables Options'!$D$148,'Lookup Tables Options'!J173,IF($E$6='Lookup Tables Options'!$D$196,'Lookup Tables Options'!J221,"")))))</f>
        <v/>
      </c>
      <c r="K33" s="265" t="str">
        <f>IF($E$6='Lookup Tables Options'!$D$4,'Lookup Tables Options'!K29,IF($E$6='Lookup Tables Options'!$D$52,'Lookup Tables Options'!K77,IF($E$6='Lookup Tables Options'!$D$100,'Lookup Tables Options'!K125,IF($E$6='Lookup Tables Options'!$D$148,'Lookup Tables Options'!K173,IF($E$6='Lookup Tables Options'!$D$196,'Lookup Tables Options'!K221,"")))))</f>
        <v/>
      </c>
      <c r="L33" s="265" t="str">
        <f>IF($E$6='Lookup Tables Options'!$D$4,'Lookup Tables Options'!L29,IF($E$6='Lookup Tables Options'!$D$52,'Lookup Tables Options'!L77,IF($E$6='Lookup Tables Options'!$D$100,'Lookup Tables Options'!L125,IF($E$6='Lookup Tables Options'!$D$148,'Lookup Tables Options'!L173,IF($E$6='Lookup Tables Options'!$D$196,'Lookup Tables Options'!L221,"")))))</f>
        <v/>
      </c>
      <c r="M33" s="265" t="str">
        <f>IF($E$6='Lookup Tables Options'!$D$4,'Lookup Tables Options'!M29,IF($E$6='Lookup Tables Options'!$D$52,'Lookup Tables Options'!M77,IF($E$6='Lookup Tables Options'!$D$100,'Lookup Tables Options'!M125,IF($E$6='Lookup Tables Options'!$D$148,'Lookup Tables Options'!M173,IF($E$6='Lookup Tables Options'!$D$196,'Lookup Tables Options'!M221,"")))))</f>
        <v/>
      </c>
      <c r="N33" s="265" t="str">
        <f>IF($E$6='Lookup Tables Options'!$D$4,'Lookup Tables Options'!N29,IF($E$6='Lookup Tables Options'!$D$52,'Lookup Tables Options'!N77,IF($E$6='Lookup Tables Options'!$D$100,'Lookup Tables Options'!N125,IF($E$6='Lookup Tables Options'!$D$148,'Lookup Tables Options'!N173,IF($E$6='Lookup Tables Options'!$D$196,'Lookup Tables Options'!N221,"")))))</f>
        <v/>
      </c>
      <c r="O33" s="265" t="str">
        <f>IF($E$6='Lookup Tables Options'!$D$4,'Lookup Tables Options'!O29,IF($E$6='Lookup Tables Options'!$D$52,'Lookup Tables Options'!O77,IF($E$6='Lookup Tables Options'!$D$100,'Lookup Tables Options'!O125,IF($E$6='Lookup Tables Options'!$D$148,'Lookup Tables Options'!O173,IF($E$6='Lookup Tables Options'!$D$196,'Lookup Tables Options'!O221,"")))))</f>
        <v/>
      </c>
      <c r="P33" s="265" t="str">
        <f>IF($E$6='Lookup Tables Options'!$D$4,'Lookup Tables Options'!P29,IF($E$6='Lookup Tables Options'!$D$52,'Lookup Tables Options'!P77,IF($E$6='Lookup Tables Options'!$D$100,'Lookup Tables Options'!P125,IF($E$6='Lookup Tables Options'!$D$148,'Lookup Tables Options'!P173,IF($E$6='Lookup Tables Options'!$D$196,'Lookup Tables Options'!P221,"")))))</f>
        <v/>
      </c>
      <c r="Q33" s="265" t="str">
        <f>IF($E$6='Lookup Tables Options'!$D$4,'Lookup Tables Options'!Q29,IF($E$6='Lookup Tables Options'!$D$52,'Lookup Tables Options'!Q77,IF($E$6='Lookup Tables Options'!$D$100,'Lookup Tables Options'!Q125,IF($E$6='Lookup Tables Options'!$D$148,'Lookup Tables Options'!Q173,IF($E$6='Lookup Tables Options'!$D$196,'Lookup Tables Options'!Q221,"")))))</f>
        <v/>
      </c>
      <c r="R33" s="265" t="str">
        <f>IF($E$6='Lookup Tables Options'!$D$4,'Lookup Tables Options'!R29,IF($E$6='Lookup Tables Options'!$D$52,'Lookup Tables Options'!R77,IF($E$6='Lookup Tables Options'!$D$100,'Lookup Tables Options'!R125,IF($E$6='Lookup Tables Options'!$D$148,'Lookup Tables Options'!R173,IF($E$6='Lookup Tables Options'!$D$196,'Lookup Tables Options'!R221,"")))))</f>
        <v/>
      </c>
      <c r="S33" s="266" t="str">
        <f>IF($E$6='Lookup Tables Options'!$D$4,'Lookup Tables Options'!S29,IF($E$6='Lookup Tables Options'!$D$52,'Lookup Tables Options'!S77,IF($E$6='Lookup Tables Options'!$D$100,'Lookup Tables Options'!S125,IF($E$6='Lookup Tables Options'!$D$148,'Lookup Tables Options'!S173,IF($E$6='Lookup Tables Options'!$D$196,'Lookup Tables Options'!S221,"")))))</f>
        <v/>
      </c>
      <c r="T33" s="264" t="str">
        <f>IF($E$6='Lookup Tables Options'!$D$4,'Lookup Tables Options'!T29,IF($E$6='Lookup Tables Options'!$D$52,'Lookup Tables Options'!T77,IF($E$6='Lookup Tables Options'!$D$100,'Lookup Tables Options'!T125,IF($E$6='Lookup Tables Options'!$D$148,'Lookup Tables Options'!T173,IF($E$6='Lookup Tables Options'!$D$196,'Lookup Tables Options'!T221,"")))))</f>
        <v/>
      </c>
      <c r="U33" s="265" t="str">
        <f>IF($E$6='Lookup Tables Options'!$D$4,'Lookup Tables Options'!U29,IF($E$6='Lookup Tables Options'!$D$52,'Lookup Tables Options'!U77,IF($E$6='Lookup Tables Options'!$D$100,'Lookup Tables Options'!U125,IF($E$6='Lookup Tables Options'!$D$148,'Lookup Tables Options'!U173,IF($E$6='Lookup Tables Options'!$D$196,'Lookup Tables Options'!U221,"")))))</f>
        <v/>
      </c>
      <c r="V33" s="265" t="str">
        <f>IF($E$6='Lookup Tables Options'!$D$4,'Lookup Tables Options'!V29,IF($E$6='Lookup Tables Options'!$D$52,'Lookup Tables Options'!V77,IF($E$6='Lookup Tables Options'!$D$100,'Lookup Tables Options'!V125,IF($E$6='Lookup Tables Options'!$D$148,'Lookup Tables Options'!V173,IF($E$6='Lookup Tables Options'!$D$196,'Lookup Tables Options'!V221,"")))))</f>
        <v/>
      </c>
      <c r="W33" s="265" t="str">
        <f>IF($E$6='Lookup Tables Options'!$D$4,'Lookup Tables Options'!W29,IF($E$6='Lookup Tables Options'!$D$52,'Lookup Tables Options'!W77,IF($E$6='Lookup Tables Options'!$D$100,'Lookup Tables Options'!W125,IF($E$6='Lookup Tables Options'!$D$148,'Lookup Tables Options'!W173,IF($E$6='Lookup Tables Options'!$D$196,'Lookup Tables Options'!W221,"")))))</f>
        <v/>
      </c>
      <c r="X33" s="265" t="str">
        <f>IF($E$6='Lookup Tables Options'!$D$4,'Lookup Tables Options'!X29,IF($E$6='Lookup Tables Options'!$D$52,'Lookup Tables Options'!X77,IF($E$6='Lookup Tables Options'!$D$100,'Lookup Tables Options'!X125,IF($E$6='Lookup Tables Options'!$D$148,'Lookup Tables Options'!X173,IF($E$6='Lookup Tables Options'!$D$196,'Lookup Tables Options'!X221,"")))))</f>
        <v/>
      </c>
      <c r="Y33" s="265" t="str">
        <f>IF($E$6='Lookup Tables Options'!$D$4,'Lookup Tables Options'!Y29,IF($E$6='Lookup Tables Options'!$D$52,'Lookup Tables Options'!Y77,IF($E$6='Lookup Tables Options'!$D$100,'Lookup Tables Options'!Y125,IF($E$6='Lookup Tables Options'!$D$148,'Lookup Tables Options'!Y173,IF($E$6='Lookup Tables Options'!$D$196,'Lookup Tables Options'!Y221,"")))))</f>
        <v/>
      </c>
      <c r="Z33" s="265" t="str">
        <f>IF($E$6='Lookup Tables Options'!$D$4,'Lookup Tables Options'!Z29,IF($E$6='Lookup Tables Options'!$D$52,'Lookup Tables Options'!Z77,IF($E$6='Lookup Tables Options'!$D$100,'Lookup Tables Options'!Z125,IF($E$6='Lookup Tables Options'!$D$148,'Lookup Tables Options'!Z173,IF($E$6='Lookup Tables Options'!$D$196,'Lookup Tables Options'!Z221,"")))))</f>
        <v/>
      </c>
      <c r="AA33" s="265" t="str">
        <f>IF($E$6='Lookup Tables Options'!$D$4,'Lookup Tables Options'!AA29,IF($E$6='Lookup Tables Options'!$D$52,'Lookup Tables Options'!AA77,IF($E$6='Lookup Tables Options'!$D$100,'Lookup Tables Options'!AA125,IF($E$6='Lookup Tables Options'!$D$148,'Lookup Tables Options'!AA173,IF($E$6='Lookup Tables Options'!$D$196,'Lookup Tables Options'!AA221,"")))))</f>
        <v/>
      </c>
      <c r="AB33" s="265" t="str">
        <f>IF($E$6='Lookup Tables Options'!$D$4,'Lookup Tables Options'!AB29,IF($E$6='Lookup Tables Options'!$D$52,'Lookup Tables Options'!AB77,IF($E$6='Lookup Tables Options'!$D$100,'Lookup Tables Options'!AB125,IF($E$6='Lookup Tables Options'!$D$148,'Lookup Tables Options'!AB173,IF($E$6='Lookup Tables Options'!$D$196,'Lookup Tables Options'!AB221,"")))))</f>
        <v/>
      </c>
      <c r="AC33" s="265" t="str">
        <f>IF($E$6='Lookup Tables Options'!$D$4,'Lookup Tables Options'!AC29,IF($E$6='Lookup Tables Options'!$D$52,'Lookup Tables Options'!AC77,IF($E$6='Lookup Tables Options'!$D$100,'Lookup Tables Options'!AC125,IF($E$6='Lookup Tables Options'!$D$148,'Lookup Tables Options'!AC173,IF($E$6='Lookup Tables Options'!$D$196,'Lookup Tables Options'!AC221,"")))))</f>
        <v/>
      </c>
      <c r="AD33" s="264" t="str">
        <f>IF($E$6='Lookup Tables Options'!$D$4,'Lookup Tables Options'!AD29,IF($E$6='Lookup Tables Options'!$D$52,'Lookup Tables Options'!AD77,IF($E$6='Lookup Tables Options'!$D$100,'Lookup Tables Options'!AD125,IF($E$6='Lookup Tables Options'!$D$148,'Lookup Tables Options'!AD173,IF($E$6='Lookup Tables Options'!$D$196,'Lookup Tables Options'!AD221,"")))))</f>
        <v/>
      </c>
      <c r="AE33" s="265" t="str">
        <f>IF($E$6='Lookup Tables Options'!$D$4,'Lookup Tables Options'!AE29,IF($E$6='Lookup Tables Options'!$D$52,'Lookup Tables Options'!AE77,IF($E$6='Lookup Tables Options'!$D$100,'Lookup Tables Options'!AE125,IF($E$6='Lookup Tables Options'!$D$148,'Lookup Tables Options'!AE173,IF($E$6='Lookup Tables Options'!$D$196,'Lookup Tables Options'!AE221,"")))))</f>
        <v/>
      </c>
      <c r="AF33" s="265" t="str">
        <f>IF($E$6='Lookup Tables Options'!$D$4,'Lookup Tables Options'!AF29,IF($E$6='Lookup Tables Options'!$D$52,'Lookup Tables Options'!AF77,IF($E$6='Lookup Tables Options'!$D$100,'Lookup Tables Options'!AF125,IF($E$6='Lookup Tables Options'!$D$148,'Lookup Tables Options'!AF173,IF($E$6='Lookup Tables Options'!$D$196,'Lookup Tables Options'!AF221,"")))))</f>
        <v/>
      </c>
      <c r="AG33" s="265" t="str">
        <f>IF($E$6='Lookup Tables Options'!$D$4,'Lookup Tables Options'!AG29,IF($E$6='Lookup Tables Options'!$D$52,'Lookup Tables Options'!AG77,IF($E$6='Lookup Tables Options'!$D$100,'Lookup Tables Options'!AG125,IF($E$6='Lookup Tables Options'!$D$148,'Lookup Tables Options'!AG173,IF($E$6='Lookup Tables Options'!$D$196,'Lookup Tables Options'!AG221,"")))))</f>
        <v/>
      </c>
      <c r="AH33" s="265" t="str">
        <f>IF($E$6='Lookup Tables Options'!$D$4,'Lookup Tables Options'!AH29,IF($E$6='Lookup Tables Options'!$D$52,'Lookup Tables Options'!AH77,IF($E$6='Lookup Tables Options'!$D$100,'Lookup Tables Options'!AH125,IF($E$6='Lookup Tables Options'!$D$148,'Lookup Tables Options'!AH173,IF($E$6='Lookup Tables Options'!$D$196,'Lookup Tables Options'!AH221,"")))))</f>
        <v/>
      </c>
      <c r="AI33" s="265" t="str">
        <f>IF($E$6='Lookup Tables Options'!$D$4,'Lookup Tables Options'!AI29,IF($E$6='Lookup Tables Options'!$D$52,'Lookup Tables Options'!AI77,IF($E$6='Lookup Tables Options'!$D$100,'Lookup Tables Options'!AI125,IF($E$6='Lookup Tables Options'!$D$148,'Lookup Tables Options'!AI173,IF($E$6='Lookup Tables Options'!$D$196,'Lookup Tables Options'!AI221,"")))))</f>
        <v/>
      </c>
      <c r="AJ33" s="265" t="str">
        <f>IF($E$6='Lookup Tables Options'!$D$4,'Lookup Tables Options'!AJ29,IF($E$6='Lookup Tables Options'!$D$52,'Lookup Tables Options'!AJ77,IF($E$6='Lookup Tables Options'!$D$100,'Lookup Tables Options'!AJ125,IF($E$6='Lookup Tables Options'!$D$148,'Lookup Tables Options'!AJ173,IF($E$6='Lookup Tables Options'!$D$196,'Lookup Tables Options'!AJ221,"")))))</f>
        <v/>
      </c>
      <c r="AK33" s="265" t="str">
        <f>IF($E$6='Lookup Tables Options'!$D$4,'Lookup Tables Options'!AK29,IF($E$6='Lookup Tables Options'!$D$52,'Lookup Tables Options'!AK77,IF($E$6='Lookup Tables Options'!$D$100,'Lookup Tables Options'!AK125,IF($E$6='Lookup Tables Options'!$D$148,'Lookup Tables Options'!AK173,IF($E$6='Lookup Tables Options'!$D$196,'Lookup Tables Options'!AK221,"")))))</f>
        <v/>
      </c>
      <c r="AL33" s="265" t="str">
        <f>IF($E$6='Lookup Tables Options'!$D$4,'Lookup Tables Options'!AL29,IF($E$6='Lookup Tables Options'!$D$52,'Lookup Tables Options'!AL77,IF($E$6='Lookup Tables Options'!$D$100,'Lookup Tables Options'!AL125,IF($E$6='Lookup Tables Options'!$D$148,'Lookup Tables Options'!AL173,IF($E$6='Lookup Tables Options'!$D$196,'Lookup Tables Options'!AL221,"")))))</f>
        <v/>
      </c>
      <c r="AM33" s="266" t="str">
        <f>IF($E$6='Lookup Tables Options'!$D$4,'Lookup Tables Options'!AM29,IF($E$6='Lookup Tables Options'!$D$52,'Lookup Tables Options'!AM77,IF($E$6='Lookup Tables Options'!$D$100,'Lookup Tables Options'!AM125,IF($E$6='Lookup Tables Options'!$D$148,'Lookup Tables Options'!AM173,IF($E$6='Lookup Tables Options'!$D$196,'Lookup Tables Options'!AM221,"")))))</f>
        <v/>
      </c>
    </row>
    <row r="34" spans="4:39" ht="15.6">
      <c r="D34" s="267">
        <v>21</v>
      </c>
      <c r="E34" s="268" t="str">
        <f>IF($E$6='Lookup Tables Options'!$D$4,'Lookup Tables Options'!E30,IF($E$6='Lookup Tables Options'!$D$52,'Lookup Tables Options'!E78,IF($E$6='Lookup Tables Options'!$D$100,'Lookup Tables Options'!E126,IF($E$6='Lookup Tables Options'!$D$148,'Lookup Tables Options'!E174,IF($E$6='Lookup Tables Options'!$D$196,'Lookup Tables Options'!E222,"")))))</f>
        <v/>
      </c>
      <c r="F34" s="269" t="str">
        <f>IF($E$6='Lookup Tables Options'!$D$4,'Lookup Tables Options'!F30,IF($E$6='Lookup Tables Options'!$D$52,'Lookup Tables Options'!F78,IF($E$6='Lookup Tables Options'!$D$100,'Lookup Tables Options'!F126,IF($E$6='Lookup Tables Options'!$D$148,'Lookup Tables Options'!F174,IF($E$6='Lookup Tables Options'!$D$196,'Lookup Tables Options'!F222,"")))))</f>
        <v/>
      </c>
      <c r="G34" s="268" t="str">
        <f>IF($E$6='Lookup Tables Options'!$D$4,'Lookup Tables Options'!G30,IF($E$6='Lookup Tables Options'!$D$52,'Lookup Tables Options'!G78,IF($E$6='Lookup Tables Options'!$D$100,'Lookup Tables Options'!G126,IF($E$6='Lookup Tables Options'!$D$148,'Lookup Tables Options'!G174,IF($E$6='Lookup Tables Options'!$D$196,'Lookup Tables Options'!G222,"")))))</f>
        <v/>
      </c>
      <c r="H34" s="270" t="str">
        <f>IF($E$6='Lookup Tables Options'!$D$4,'Lookup Tables Options'!H30,IF($E$6='Lookup Tables Options'!$D$52,'Lookup Tables Options'!H78,IF($E$6='Lookup Tables Options'!$D$100,'Lookup Tables Options'!H126,IF($E$6='Lookup Tables Options'!$D$148,'Lookup Tables Options'!H174,IF($E$6='Lookup Tables Options'!$D$196,'Lookup Tables Options'!H222,"")))))</f>
        <v/>
      </c>
      <c r="I34" s="270" t="str">
        <f>IF($E$6='Lookup Tables Options'!$D$4,'Lookup Tables Options'!I30,IF($E$6='Lookup Tables Options'!$D$52,'Lookup Tables Options'!I78,IF($E$6='Lookup Tables Options'!$D$100,'Lookup Tables Options'!I126,IF($E$6='Lookup Tables Options'!$D$148,'Lookup Tables Options'!I174,IF($E$6='Lookup Tables Options'!$D$196,'Lookup Tables Options'!I222,"")))))</f>
        <v/>
      </c>
      <c r="J34" s="268" t="str">
        <f>IF($E$6='Lookup Tables Options'!$D$4,'Lookup Tables Options'!J30,IF($E$6='Lookup Tables Options'!$D$52,'Lookup Tables Options'!J78,IF($E$6='Lookup Tables Options'!$D$100,'Lookup Tables Options'!J126,IF($E$6='Lookup Tables Options'!$D$148,'Lookup Tables Options'!J174,IF($E$6='Lookup Tables Options'!$D$196,'Lookup Tables Options'!J222,"")))))</f>
        <v/>
      </c>
      <c r="K34" s="270" t="str">
        <f>IF($E$6='Lookup Tables Options'!$D$4,'Lookup Tables Options'!K30,IF($E$6='Lookup Tables Options'!$D$52,'Lookup Tables Options'!K78,IF($E$6='Lookup Tables Options'!$D$100,'Lookup Tables Options'!K126,IF($E$6='Lookup Tables Options'!$D$148,'Lookup Tables Options'!K174,IF($E$6='Lookup Tables Options'!$D$196,'Lookup Tables Options'!K222,"")))))</f>
        <v/>
      </c>
      <c r="L34" s="270" t="str">
        <f>IF($E$6='Lookup Tables Options'!$D$4,'Lookup Tables Options'!L30,IF($E$6='Lookup Tables Options'!$D$52,'Lookup Tables Options'!L78,IF($E$6='Lookup Tables Options'!$D$100,'Lookup Tables Options'!L126,IF($E$6='Lookup Tables Options'!$D$148,'Lookup Tables Options'!L174,IF($E$6='Lookup Tables Options'!$D$196,'Lookup Tables Options'!L222,"")))))</f>
        <v/>
      </c>
      <c r="M34" s="270" t="str">
        <f>IF($E$6='Lookup Tables Options'!$D$4,'Lookup Tables Options'!M30,IF($E$6='Lookup Tables Options'!$D$52,'Lookup Tables Options'!M78,IF($E$6='Lookup Tables Options'!$D$100,'Lookup Tables Options'!M126,IF($E$6='Lookup Tables Options'!$D$148,'Lookup Tables Options'!M174,IF($E$6='Lookup Tables Options'!$D$196,'Lookup Tables Options'!M222,"")))))</f>
        <v/>
      </c>
      <c r="N34" s="270" t="str">
        <f>IF($E$6='Lookup Tables Options'!$D$4,'Lookup Tables Options'!N30,IF($E$6='Lookup Tables Options'!$D$52,'Lookup Tables Options'!N78,IF($E$6='Lookup Tables Options'!$D$100,'Lookup Tables Options'!N126,IF($E$6='Lookup Tables Options'!$D$148,'Lookup Tables Options'!N174,IF($E$6='Lookup Tables Options'!$D$196,'Lookup Tables Options'!N222,"")))))</f>
        <v/>
      </c>
      <c r="O34" s="270" t="str">
        <f>IF($E$6='Lookup Tables Options'!$D$4,'Lookup Tables Options'!O30,IF($E$6='Lookup Tables Options'!$D$52,'Lookup Tables Options'!O78,IF($E$6='Lookup Tables Options'!$D$100,'Lookup Tables Options'!O126,IF($E$6='Lookup Tables Options'!$D$148,'Lookup Tables Options'!O174,IF($E$6='Lookup Tables Options'!$D$196,'Lookup Tables Options'!O222,"")))))</f>
        <v/>
      </c>
      <c r="P34" s="270" t="str">
        <f>IF($E$6='Lookup Tables Options'!$D$4,'Lookup Tables Options'!P30,IF($E$6='Lookup Tables Options'!$D$52,'Lookup Tables Options'!P78,IF($E$6='Lookup Tables Options'!$D$100,'Lookup Tables Options'!P126,IF($E$6='Lookup Tables Options'!$D$148,'Lookup Tables Options'!P174,IF($E$6='Lookup Tables Options'!$D$196,'Lookup Tables Options'!P222,"")))))</f>
        <v/>
      </c>
      <c r="Q34" s="270" t="str">
        <f>IF($E$6='Lookup Tables Options'!$D$4,'Lookup Tables Options'!Q30,IF($E$6='Lookup Tables Options'!$D$52,'Lookup Tables Options'!Q78,IF($E$6='Lookup Tables Options'!$D$100,'Lookup Tables Options'!Q126,IF($E$6='Lookup Tables Options'!$D$148,'Lookup Tables Options'!Q174,IF($E$6='Lookup Tables Options'!$D$196,'Lookup Tables Options'!Q222,"")))))</f>
        <v/>
      </c>
      <c r="R34" s="270" t="str">
        <f>IF($E$6='Lookup Tables Options'!$D$4,'Lookup Tables Options'!R30,IF($E$6='Lookup Tables Options'!$D$52,'Lookup Tables Options'!R78,IF($E$6='Lookup Tables Options'!$D$100,'Lookup Tables Options'!R126,IF($E$6='Lookup Tables Options'!$D$148,'Lookup Tables Options'!R174,IF($E$6='Lookup Tables Options'!$D$196,'Lookup Tables Options'!R222,"")))))</f>
        <v/>
      </c>
      <c r="S34" s="269" t="str">
        <f>IF($E$6='Lookup Tables Options'!$D$4,'Lookup Tables Options'!S30,IF($E$6='Lookup Tables Options'!$D$52,'Lookup Tables Options'!S78,IF($E$6='Lookup Tables Options'!$D$100,'Lookup Tables Options'!S126,IF($E$6='Lookup Tables Options'!$D$148,'Lookup Tables Options'!S174,IF($E$6='Lookup Tables Options'!$D$196,'Lookup Tables Options'!S222,"")))))</f>
        <v/>
      </c>
      <c r="T34" s="268" t="str">
        <f>IF($E$6='Lookup Tables Options'!$D$4,'Lookup Tables Options'!T30,IF($E$6='Lookup Tables Options'!$D$52,'Lookup Tables Options'!T78,IF($E$6='Lookup Tables Options'!$D$100,'Lookup Tables Options'!T126,IF($E$6='Lookup Tables Options'!$D$148,'Lookup Tables Options'!T174,IF($E$6='Lookup Tables Options'!$D$196,'Lookup Tables Options'!T222,"")))))</f>
        <v/>
      </c>
      <c r="U34" s="270" t="str">
        <f>IF($E$6='Lookup Tables Options'!$D$4,'Lookup Tables Options'!U30,IF($E$6='Lookup Tables Options'!$D$52,'Lookup Tables Options'!U78,IF($E$6='Lookup Tables Options'!$D$100,'Lookup Tables Options'!U126,IF($E$6='Lookup Tables Options'!$D$148,'Lookup Tables Options'!U174,IF($E$6='Lookup Tables Options'!$D$196,'Lookup Tables Options'!U222,"")))))</f>
        <v/>
      </c>
      <c r="V34" s="270" t="str">
        <f>IF($E$6='Lookup Tables Options'!$D$4,'Lookup Tables Options'!V30,IF($E$6='Lookup Tables Options'!$D$52,'Lookup Tables Options'!V78,IF($E$6='Lookup Tables Options'!$D$100,'Lookup Tables Options'!V126,IF($E$6='Lookup Tables Options'!$D$148,'Lookup Tables Options'!V174,IF($E$6='Lookup Tables Options'!$D$196,'Lookup Tables Options'!V222,"")))))</f>
        <v/>
      </c>
      <c r="W34" s="270" t="str">
        <f>IF($E$6='Lookup Tables Options'!$D$4,'Lookup Tables Options'!W30,IF($E$6='Lookup Tables Options'!$D$52,'Lookup Tables Options'!W78,IF($E$6='Lookup Tables Options'!$D$100,'Lookup Tables Options'!W126,IF($E$6='Lookup Tables Options'!$D$148,'Lookup Tables Options'!W174,IF($E$6='Lookup Tables Options'!$D$196,'Lookup Tables Options'!W222,"")))))</f>
        <v/>
      </c>
      <c r="X34" s="270" t="str">
        <f>IF($E$6='Lookup Tables Options'!$D$4,'Lookup Tables Options'!X30,IF($E$6='Lookup Tables Options'!$D$52,'Lookup Tables Options'!X78,IF($E$6='Lookup Tables Options'!$D$100,'Lookup Tables Options'!X126,IF($E$6='Lookup Tables Options'!$D$148,'Lookup Tables Options'!X174,IF($E$6='Lookup Tables Options'!$D$196,'Lookup Tables Options'!X222,"")))))</f>
        <v/>
      </c>
      <c r="Y34" s="270" t="str">
        <f>IF($E$6='Lookup Tables Options'!$D$4,'Lookup Tables Options'!Y30,IF($E$6='Lookup Tables Options'!$D$52,'Lookup Tables Options'!Y78,IF($E$6='Lookup Tables Options'!$D$100,'Lookup Tables Options'!Y126,IF($E$6='Lookup Tables Options'!$D$148,'Lookup Tables Options'!Y174,IF($E$6='Lookup Tables Options'!$D$196,'Lookup Tables Options'!Y222,"")))))</f>
        <v/>
      </c>
      <c r="Z34" s="270" t="str">
        <f>IF($E$6='Lookup Tables Options'!$D$4,'Lookup Tables Options'!Z30,IF($E$6='Lookup Tables Options'!$D$52,'Lookup Tables Options'!Z78,IF($E$6='Lookup Tables Options'!$D$100,'Lookup Tables Options'!Z126,IF($E$6='Lookup Tables Options'!$D$148,'Lookup Tables Options'!Z174,IF($E$6='Lookup Tables Options'!$D$196,'Lookup Tables Options'!Z222,"")))))</f>
        <v/>
      </c>
      <c r="AA34" s="270" t="str">
        <f>IF($E$6='Lookup Tables Options'!$D$4,'Lookup Tables Options'!AA30,IF($E$6='Lookup Tables Options'!$D$52,'Lookup Tables Options'!AA78,IF($E$6='Lookup Tables Options'!$D$100,'Lookup Tables Options'!AA126,IF($E$6='Lookup Tables Options'!$D$148,'Lookup Tables Options'!AA174,IF($E$6='Lookup Tables Options'!$D$196,'Lookup Tables Options'!AA222,"")))))</f>
        <v/>
      </c>
      <c r="AB34" s="270" t="str">
        <f>IF($E$6='Lookup Tables Options'!$D$4,'Lookup Tables Options'!AB30,IF($E$6='Lookup Tables Options'!$D$52,'Lookup Tables Options'!AB78,IF($E$6='Lookup Tables Options'!$D$100,'Lookup Tables Options'!AB126,IF($E$6='Lookup Tables Options'!$D$148,'Lookup Tables Options'!AB174,IF($E$6='Lookup Tables Options'!$D$196,'Lookup Tables Options'!AB222,"")))))</f>
        <v/>
      </c>
      <c r="AC34" s="270" t="str">
        <f>IF($E$6='Lookup Tables Options'!$D$4,'Lookup Tables Options'!AC30,IF($E$6='Lookup Tables Options'!$D$52,'Lookup Tables Options'!AC78,IF($E$6='Lookup Tables Options'!$D$100,'Lookup Tables Options'!AC126,IF($E$6='Lookup Tables Options'!$D$148,'Lookup Tables Options'!AC174,IF($E$6='Lookup Tables Options'!$D$196,'Lookup Tables Options'!AC222,"")))))</f>
        <v/>
      </c>
      <c r="AD34" s="271" t="str">
        <f>IF($E$6='Lookup Tables Options'!$D$4,'Lookup Tables Options'!AD30,IF($E$6='Lookup Tables Options'!$D$52,'Lookup Tables Options'!AD78,IF($E$6='Lookup Tables Options'!$D$100,'Lookup Tables Options'!AD126,IF($E$6='Lookup Tables Options'!$D$148,'Lookup Tables Options'!AD174,IF($E$6='Lookup Tables Options'!$D$196,'Lookup Tables Options'!AD222,"")))))</f>
        <v/>
      </c>
      <c r="AE34" s="272" t="str">
        <f>IF($E$6='Lookup Tables Options'!$D$4,'Lookup Tables Options'!AE30,IF($E$6='Lookup Tables Options'!$D$52,'Lookup Tables Options'!AE78,IF($E$6='Lookup Tables Options'!$D$100,'Lookup Tables Options'!AE126,IF($E$6='Lookup Tables Options'!$D$148,'Lookup Tables Options'!AE174,IF($E$6='Lookup Tables Options'!$D$196,'Lookup Tables Options'!AE222,"")))))</f>
        <v/>
      </c>
      <c r="AF34" s="272" t="str">
        <f>IF($E$6='Lookup Tables Options'!$D$4,'Lookup Tables Options'!AF30,IF($E$6='Lookup Tables Options'!$D$52,'Lookup Tables Options'!AF78,IF($E$6='Lookup Tables Options'!$D$100,'Lookup Tables Options'!AF126,IF($E$6='Lookup Tables Options'!$D$148,'Lookup Tables Options'!AF174,IF($E$6='Lookup Tables Options'!$D$196,'Lookup Tables Options'!AF222,"")))))</f>
        <v/>
      </c>
      <c r="AG34" s="272" t="str">
        <f>IF($E$6='Lookup Tables Options'!$D$4,'Lookup Tables Options'!AG30,IF($E$6='Lookup Tables Options'!$D$52,'Lookup Tables Options'!AG78,IF($E$6='Lookup Tables Options'!$D$100,'Lookup Tables Options'!AG126,IF($E$6='Lookup Tables Options'!$D$148,'Lookup Tables Options'!AG174,IF($E$6='Lookup Tables Options'!$D$196,'Lookup Tables Options'!AG222,"")))))</f>
        <v/>
      </c>
      <c r="AH34" s="272" t="str">
        <f>IF($E$6='Lookup Tables Options'!$D$4,'Lookup Tables Options'!AH30,IF($E$6='Lookup Tables Options'!$D$52,'Lookup Tables Options'!AH78,IF($E$6='Lookup Tables Options'!$D$100,'Lookup Tables Options'!AH126,IF($E$6='Lookup Tables Options'!$D$148,'Lookup Tables Options'!AH174,IF($E$6='Lookup Tables Options'!$D$196,'Lookup Tables Options'!AH222,"")))))</f>
        <v/>
      </c>
      <c r="AI34" s="272" t="str">
        <f>IF($E$6='Lookup Tables Options'!$D$4,'Lookup Tables Options'!AI30,IF($E$6='Lookup Tables Options'!$D$52,'Lookup Tables Options'!AI78,IF($E$6='Lookup Tables Options'!$D$100,'Lookup Tables Options'!AI126,IF($E$6='Lookup Tables Options'!$D$148,'Lookup Tables Options'!AI174,IF($E$6='Lookup Tables Options'!$D$196,'Lookup Tables Options'!AI222,"")))))</f>
        <v/>
      </c>
      <c r="AJ34" s="272" t="str">
        <f>IF($E$6='Lookup Tables Options'!$D$4,'Lookup Tables Options'!AJ30,IF($E$6='Lookup Tables Options'!$D$52,'Lookup Tables Options'!AJ78,IF($E$6='Lookup Tables Options'!$D$100,'Lookup Tables Options'!AJ126,IF($E$6='Lookup Tables Options'!$D$148,'Lookup Tables Options'!AJ174,IF($E$6='Lookup Tables Options'!$D$196,'Lookup Tables Options'!AJ222,"")))))</f>
        <v/>
      </c>
      <c r="AK34" s="272" t="str">
        <f>IF($E$6='Lookup Tables Options'!$D$4,'Lookup Tables Options'!AK30,IF($E$6='Lookup Tables Options'!$D$52,'Lookup Tables Options'!AK78,IF($E$6='Lookup Tables Options'!$D$100,'Lookup Tables Options'!AK126,IF($E$6='Lookup Tables Options'!$D$148,'Lookup Tables Options'!AK174,IF($E$6='Lookup Tables Options'!$D$196,'Lookup Tables Options'!AK222,"")))))</f>
        <v/>
      </c>
      <c r="AL34" s="272" t="str">
        <f>IF($E$6='Lookup Tables Options'!$D$4,'Lookup Tables Options'!AL30,IF($E$6='Lookup Tables Options'!$D$52,'Lookup Tables Options'!AL78,IF($E$6='Lookup Tables Options'!$D$100,'Lookup Tables Options'!AL126,IF($E$6='Lookup Tables Options'!$D$148,'Lookup Tables Options'!AL174,IF($E$6='Lookup Tables Options'!$D$196,'Lookup Tables Options'!AL222,"")))))</f>
        <v/>
      </c>
      <c r="AM34" s="273" t="str">
        <f>IF($E$6='Lookup Tables Options'!$D$4,'Lookup Tables Options'!AM30,IF($E$6='Lookup Tables Options'!$D$52,'Lookup Tables Options'!AM78,IF($E$6='Lookup Tables Options'!$D$100,'Lookup Tables Options'!AM126,IF($E$6='Lookup Tables Options'!$D$148,'Lookup Tables Options'!AM174,IF($E$6='Lookup Tables Options'!$D$196,'Lookup Tables Options'!AM222,"")))))</f>
        <v/>
      </c>
    </row>
    <row r="35" spans="4:39" ht="15.6">
      <c r="D35" s="267">
        <v>22</v>
      </c>
      <c r="E35" s="268" t="str">
        <f>IF($E$6='Lookup Tables Options'!$D$4,'Lookup Tables Options'!E31,IF($E$6='Lookup Tables Options'!$D$52,'Lookup Tables Options'!E79,IF($E$6='Lookup Tables Options'!$D$100,'Lookup Tables Options'!E127,IF($E$6='Lookup Tables Options'!$D$148,'Lookup Tables Options'!E175,IF($E$6='Lookup Tables Options'!$D$196,'Lookup Tables Options'!E223,"")))))</f>
        <v/>
      </c>
      <c r="F35" s="269" t="str">
        <f>IF($E$6='Lookup Tables Options'!$D$4,'Lookup Tables Options'!F31,IF($E$6='Lookup Tables Options'!$D$52,'Lookup Tables Options'!F79,IF($E$6='Lookup Tables Options'!$D$100,'Lookup Tables Options'!F127,IF($E$6='Lookup Tables Options'!$D$148,'Lookup Tables Options'!F175,IF($E$6='Lookup Tables Options'!$D$196,'Lookup Tables Options'!F223,"")))))</f>
        <v/>
      </c>
      <c r="G35" s="268" t="str">
        <f>IF($E$6='Lookup Tables Options'!$D$4,'Lookup Tables Options'!G31,IF($E$6='Lookup Tables Options'!$D$52,'Lookup Tables Options'!G79,IF($E$6='Lookup Tables Options'!$D$100,'Lookup Tables Options'!G127,IF($E$6='Lookup Tables Options'!$D$148,'Lookup Tables Options'!G175,IF($E$6='Lookup Tables Options'!$D$196,'Lookup Tables Options'!G223,"")))))</f>
        <v/>
      </c>
      <c r="H35" s="270" t="str">
        <f>IF($E$6='Lookup Tables Options'!$D$4,'Lookup Tables Options'!H31,IF($E$6='Lookup Tables Options'!$D$52,'Lookup Tables Options'!H79,IF($E$6='Lookup Tables Options'!$D$100,'Lookup Tables Options'!H127,IF($E$6='Lookup Tables Options'!$D$148,'Lookup Tables Options'!H175,IF($E$6='Lookup Tables Options'!$D$196,'Lookup Tables Options'!H223,"")))))</f>
        <v/>
      </c>
      <c r="I35" s="270" t="str">
        <f>IF($E$6='Lookup Tables Options'!$D$4,'Lookup Tables Options'!I31,IF($E$6='Lookup Tables Options'!$D$52,'Lookup Tables Options'!I79,IF($E$6='Lookup Tables Options'!$D$100,'Lookup Tables Options'!I127,IF($E$6='Lookup Tables Options'!$D$148,'Lookup Tables Options'!I175,IF($E$6='Lookup Tables Options'!$D$196,'Lookup Tables Options'!I223,"")))))</f>
        <v/>
      </c>
      <c r="J35" s="268" t="str">
        <f>IF($E$6='Lookup Tables Options'!$D$4,'Lookup Tables Options'!J31,IF($E$6='Lookup Tables Options'!$D$52,'Lookup Tables Options'!J79,IF($E$6='Lookup Tables Options'!$D$100,'Lookup Tables Options'!J127,IF($E$6='Lookup Tables Options'!$D$148,'Lookup Tables Options'!J175,IF($E$6='Lookup Tables Options'!$D$196,'Lookup Tables Options'!J223,"")))))</f>
        <v/>
      </c>
      <c r="K35" s="270" t="str">
        <f>IF($E$6='Lookup Tables Options'!$D$4,'Lookup Tables Options'!K31,IF($E$6='Lookup Tables Options'!$D$52,'Lookup Tables Options'!K79,IF($E$6='Lookup Tables Options'!$D$100,'Lookup Tables Options'!K127,IF($E$6='Lookup Tables Options'!$D$148,'Lookup Tables Options'!K175,IF($E$6='Lookup Tables Options'!$D$196,'Lookup Tables Options'!K223,"")))))</f>
        <v/>
      </c>
      <c r="L35" s="270" t="str">
        <f>IF($E$6='Lookup Tables Options'!$D$4,'Lookup Tables Options'!L31,IF($E$6='Lookup Tables Options'!$D$52,'Lookup Tables Options'!L79,IF($E$6='Lookup Tables Options'!$D$100,'Lookup Tables Options'!L127,IF($E$6='Lookup Tables Options'!$D$148,'Lookup Tables Options'!L175,IF($E$6='Lookup Tables Options'!$D$196,'Lookup Tables Options'!L223,"")))))</f>
        <v/>
      </c>
      <c r="M35" s="270" t="str">
        <f>IF($E$6='Lookup Tables Options'!$D$4,'Lookup Tables Options'!M31,IF($E$6='Lookup Tables Options'!$D$52,'Lookup Tables Options'!M79,IF($E$6='Lookup Tables Options'!$D$100,'Lookup Tables Options'!M127,IF($E$6='Lookup Tables Options'!$D$148,'Lookup Tables Options'!M175,IF($E$6='Lookup Tables Options'!$D$196,'Lookup Tables Options'!M223,"")))))</f>
        <v/>
      </c>
      <c r="N35" s="270" t="str">
        <f>IF($E$6='Lookup Tables Options'!$D$4,'Lookup Tables Options'!N31,IF($E$6='Lookup Tables Options'!$D$52,'Lookup Tables Options'!N79,IF($E$6='Lookup Tables Options'!$D$100,'Lookup Tables Options'!N127,IF($E$6='Lookup Tables Options'!$D$148,'Lookup Tables Options'!N175,IF($E$6='Lookup Tables Options'!$D$196,'Lookup Tables Options'!N223,"")))))</f>
        <v/>
      </c>
      <c r="O35" s="270" t="str">
        <f>IF($E$6='Lookup Tables Options'!$D$4,'Lookup Tables Options'!O31,IF($E$6='Lookup Tables Options'!$D$52,'Lookup Tables Options'!O79,IF($E$6='Lookup Tables Options'!$D$100,'Lookup Tables Options'!O127,IF($E$6='Lookup Tables Options'!$D$148,'Lookup Tables Options'!O175,IF($E$6='Lookup Tables Options'!$D$196,'Lookup Tables Options'!O223,"")))))</f>
        <v/>
      </c>
      <c r="P35" s="270" t="str">
        <f>IF($E$6='Lookup Tables Options'!$D$4,'Lookup Tables Options'!P31,IF($E$6='Lookup Tables Options'!$D$52,'Lookup Tables Options'!P79,IF($E$6='Lookup Tables Options'!$D$100,'Lookup Tables Options'!P127,IF($E$6='Lookup Tables Options'!$D$148,'Lookup Tables Options'!P175,IF($E$6='Lookup Tables Options'!$D$196,'Lookup Tables Options'!P223,"")))))</f>
        <v/>
      </c>
      <c r="Q35" s="270" t="str">
        <f>IF($E$6='Lookup Tables Options'!$D$4,'Lookup Tables Options'!Q31,IF($E$6='Lookup Tables Options'!$D$52,'Lookup Tables Options'!Q79,IF($E$6='Lookup Tables Options'!$D$100,'Lookup Tables Options'!Q127,IF($E$6='Lookup Tables Options'!$D$148,'Lookup Tables Options'!Q175,IF($E$6='Lookup Tables Options'!$D$196,'Lookup Tables Options'!Q223,"")))))</f>
        <v/>
      </c>
      <c r="R35" s="270" t="str">
        <f>IF($E$6='Lookup Tables Options'!$D$4,'Lookup Tables Options'!R31,IF($E$6='Lookup Tables Options'!$D$52,'Lookup Tables Options'!R79,IF($E$6='Lookup Tables Options'!$D$100,'Lookup Tables Options'!R127,IF($E$6='Lookup Tables Options'!$D$148,'Lookup Tables Options'!R175,IF($E$6='Lookup Tables Options'!$D$196,'Lookup Tables Options'!R223,"")))))</f>
        <v/>
      </c>
      <c r="S35" s="269" t="str">
        <f>IF($E$6='Lookup Tables Options'!$D$4,'Lookup Tables Options'!S31,IF($E$6='Lookup Tables Options'!$D$52,'Lookup Tables Options'!S79,IF($E$6='Lookup Tables Options'!$D$100,'Lookup Tables Options'!S127,IF($E$6='Lookup Tables Options'!$D$148,'Lookup Tables Options'!S175,IF($E$6='Lookup Tables Options'!$D$196,'Lookup Tables Options'!S223,"")))))</f>
        <v/>
      </c>
      <c r="T35" s="268" t="str">
        <f>IF($E$6='Lookup Tables Options'!$D$4,'Lookup Tables Options'!T31,IF($E$6='Lookup Tables Options'!$D$52,'Lookup Tables Options'!T79,IF($E$6='Lookup Tables Options'!$D$100,'Lookup Tables Options'!T127,IF($E$6='Lookup Tables Options'!$D$148,'Lookup Tables Options'!T175,IF($E$6='Lookup Tables Options'!$D$196,'Lookup Tables Options'!T223,"")))))</f>
        <v/>
      </c>
      <c r="U35" s="270" t="str">
        <f>IF($E$6='Lookup Tables Options'!$D$4,'Lookup Tables Options'!U31,IF($E$6='Lookup Tables Options'!$D$52,'Lookup Tables Options'!U79,IF($E$6='Lookup Tables Options'!$D$100,'Lookup Tables Options'!U127,IF($E$6='Lookup Tables Options'!$D$148,'Lookup Tables Options'!U175,IF($E$6='Lookup Tables Options'!$D$196,'Lookup Tables Options'!U223,"")))))</f>
        <v/>
      </c>
      <c r="V35" s="270" t="str">
        <f>IF($E$6='Lookup Tables Options'!$D$4,'Lookup Tables Options'!V31,IF($E$6='Lookup Tables Options'!$D$52,'Lookup Tables Options'!V79,IF($E$6='Lookup Tables Options'!$D$100,'Lookup Tables Options'!V127,IF($E$6='Lookup Tables Options'!$D$148,'Lookup Tables Options'!V175,IF($E$6='Lookup Tables Options'!$D$196,'Lookup Tables Options'!V223,"")))))</f>
        <v/>
      </c>
      <c r="W35" s="270" t="str">
        <f>IF($E$6='Lookup Tables Options'!$D$4,'Lookup Tables Options'!W31,IF($E$6='Lookup Tables Options'!$D$52,'Lookup Tables Options'!W79,IF($E$6='Lookup Tables Options'!$D$100,'Lookup Tables Options'!W127,IF($E$6='Lookup Tables Options'!$D$148,'Lookup Tables Options'!W175,IF($E$6='Lookup Tables Options'!$D$196,'Lookup Tables Options'!W223,"")))))</f>
        <v/>
      </c>
      <c r="X35" s="270" t="str">
        <f>IF($E$6='Lookup Tables Options'!$D$4,'Lookup Tables Options'!X31,IF($E$6='Lookup Tables Options'!$D$52,'Lookup Tables Options'!X79,IF($E$6='Lookup Tables Options'!$D$100,'Lookup Tables Options'!X127,IF($E$6='Lookup Tables Options'!$D$148,'Lookup Tables Options'!X175,IF($E$6='Lookup Tables Options'!$D$196,'Lookup Tables Options'!X223,"")))))</f>
        <v/>
      </c>
      <c r="Y35" s="270" t="str">
        <f>IF($E$6='Lookup Tables Options'!$D$4,'Lookup Tables Options'!Y31,IF($E$6='Lookup Tables Options'!$D$52,'Lookup Tables Options'!Y79,IF($E$6='Lookup Tables Options'!$D$100,'Lookup Tables Options'!Y127,IF($E$6='Lookup Tables Options'!$D$148,'Lookup Tables Options'!Y175,IF($E$6='Lookup Tables Options'!$D$196,'Lookup Tables Options'!Y223,"")))))</f>
        <v/>
      </c>
      <c r="Z35" s="270" t="str">
        <f>IF($E$6='Lookup Tables Options'!$D$4,'Lookup Tables Options'!Z31,IF($E$6='Lookup Tables Options'!$D$52,'Lookup Tables Options'!Z79,IF($E$6='Lookup Tables Options'!$D$100,'Lookup Tables Options'!Z127,IF($E$6='Lookup Tables Options'!$D$148,'Lookup Tables Options'!Z175,IF($E$6='Lookup Tables Options'!$D$196,'Lookup Tables Options'!Z223,"")))))</f>
        <v/>
      </c>
      <c r="AA35" s="270" t="str">
        <f>IF($E$6='Lookup Tables Options'!$D$4,'Lookup Tables Options'!AA31,IF($E$6='Lookup Tables Options'!$D$52,'Lookup Tables Options'!AA79,IF($E$6='Lookup Tables Options'!$D$100,'Lookup Tables Options'!AA127,IF($E$6='Lookup Tables Options'!$D$148,'Lookup Tables Options'!AA175,IF($E$6='Lookup Tables Options'!$D$196,'Lookup Tables Options'!AA223,"")))))</f>
        <v/>
      </c>
      <c r="AB35" s="270" t="str">
        <f>IF($E$6='Lookup Tables Options'!$D$4,'Lookup Tables Options'!AB31,IF($E$6='Lookup Tables Options'!$D$52,'Lookup Tables Options'!AB79,IF($E$6='Lookup Tables Options'!$D$100,'Lookup Tables Options'!AB127,IF($E$6='Lookup Tables Options'!$D$148,'Lookup Tables Options'!AB175,IF($E$6='Lookup Tables Options'!$D$196,'Lookup Tables Options'!AB223,"")))))</f>
        <v/>
      </c>
      <c r="AC35" s="270" t="str">
        <f>IF($E$6='Lookup Tables Options'!$D$4,'Lookup Tables Options'!AC31,IF($E$6='Lookup Tables Options'!$D$52,'Lookup Tables Options'!AC79,IF($E$6='Lookup Tables Options'!$D$100,'Lookup Tables Options'!AC127,IF($E$6='Lookup Tables Options'!$D$148,'Lookup Tables Options'!AC175,IF($E$6='Lookup Tables Options'!$D$196,'Lookup Tables Options'!AC223,"")))))</f>
        <v/>
      </c>
      <c r="AD35" s="268" t="str">
        <f>IF($E$6='Lookup Tables Options'!$D$4,'Lookup Tables Options'!AD31,IF($E$6='Lookup Tables Options'!$D$52,'Lookup Tables Options'!AD79,IF($E$6='Lookup Tables Options'!$D$100,'Lookup Tables Options'!AD127,IF($E$6='Lookup Tables Options'!$D$148,'Lookup Tables Options'!AD175,IF($E$6='Lookup Tables Options'!$D$196,'Lookup Tables Options'!AD223,"")))))</f>
        <v/>
      </c>
      <c r="AE35" s="270" t="str">
        <f>IF($E$6='Lookup Tables Options'!$D$4,'Lookup Tables Options'!AE31,IF($E$6='Lookup Tables Options'!$D$52,'Lookup Tables Options'!AE79,IF($E$6='Lookup Tables Options'!$D$100,'Lookup Tables Options'!AE127,IF($E$6='Lookup Tables Options'!$D$148,'Lookup Tables Options'!AE175,IF($E$6='Lookup Tables Options'!$D$196,'Lookup Tables Options'!AE223,"")))))</f>
        <v/>
      </c>
      <c r="AF35" s="270" t="str">
        <f>IF($E$6='Lookup Tables Options'!$D$4,'Lookup Tables Options'!AF31,IF($E$6='Lookup Tables Options'!$D$52,'Lookup Tables Options'!AF79,IF($E$6='Lookup Tables Options'!$D$100,'Lookup Tables Options'!AF127,IF($E$6='Lookup Tables Options'!$D$148,'Lookup Tables Options'!AF175,IF($E$6='Lookup Tables Options'!$D$196,'Lookup Tables Options'!AF223,"")))))</f>
        <v/>
      </c>
      <c r="AG35" s="270" t="str">
        <f>IF($E$6='Lookup Tables Options'!$D$4,'Lookup Tables Options'!AG31,IF($E$6='Lookup Tables Options'!$D$52,'Lookup Tables Options'!AG79,IF($E$6='Lookup Tables Options'!$D$100,'Lookup Tables Options'!AG127,IF($E$6='Lookup Tables Options'!$D$148,'Lookup Tables Options'!AG175,IF($E$6='Lookup Tables Options'!$D$196,'Lookup Tables Options'!AG223,"")))))</f>
        <v/>
      </c>
      <c r="AH35" s="270" t="str">
        <f>IF($E$6='Lookup Tables Options'!$D$4,'Lookup Tables Options'!AH31,IF($E$6='Lookup Tables Options'!$D$52,'Lookup Tables Options'!AH79,IF($E$6='Lookup Tables Options'!$D$100,'Lookup Tables Options'!AH127,IF($E$6='Lookup Tables Options'!$D$148,'Lookup Tables Options'!AH175,IF($E$6='Lookup Tables Options'!$D$196,'Lookup Tables Options'!AH223,"")))))</f>
        <v/>
      </c>
      <c r="AI35" s="270" t="str">
        <f>IF($E$6='Lookup Tables Options'!$D$4,'Lookup Tables Options'!AI31,IF($E$6='Lookup Tables Options'!$D$52,'Lookup Tables Options'!AI79,IF($E$6='Lookup Tables Options'!$D$100,'Lookup Tables Options'!AI127,IF($E$6='Lookup Tables Options'!$D$148,'Lookup Tables Options'!AI175,IF($E$6='Lookup Tables Options'!$D$196,'Lookup Tables Options'!AI223,"")))))</f>
        <v/>
      </c>
      <c r="AJ35" s="270" t="str">
        <f>IF($E$6='Lookup Tables Options'!$D$4,'Lookup Tables Options'!AJ31,IF($E$6='Lookup Tables Options'!$D$52,'Lookup Tables Options'!AJ79,IF($E$6='Lookup Tables Options'!$D$100,'Lookup Tables Options'!AJ127,IF($E$6='Lookup Tables Options'!$D$148,'Lookup Tables Options'!AJ175,IF($E$6='Lookup Tables Options'!$D$196,'Lookup Tables Options'!AJ223,"")))))</f>
        <v/>
      </c>
      <c r="AK35" s="270" t="str">
        <f>IF($E$6='Lookup Tables Options'!$D$4,'Lookup Tables Options'!AK31,IF($E$6='Lookup Tables Options'!$D$52,'Lookup Tables Options'!AK79,IF($E$6='Lookup Tables Options'!$D$100,'Lookup Tables Options'!AK127,IF($E$6='Lookup Tables Options'!$D$148,'Lookup Tables Options'!AK175,IF($E$6='Lookup Tables Options'!$D$196,'Lookup Tables Options'!AK223,"")))))</f>
        <v/>
      </c>
      <c r="AL35" s="270" t="str">
        <f>IF($E$6='Lookup Tables Options'!$D$4,'Lookup Tables Options'!AL31,IF($E$6='Lookup Tables Options'!$D$52,'Lookup Tables Options'!AL79,IF($E$6='Lookup Tables Options'!$D$100,'Lookup Tables Options'!AL127,IF($E$6='Lookup Tables Options'!$D$148,'Lookup Tables Options'!AL175,IF($E$6='Lookup Tables Options'!$D$196,'Lookup Tables Options'!AL223,"")))))</f>
        <v/>
      </c>
      <c r="AM35" s="269" t="str">
        <f>IF($E$6='Lookup Tables Options'!$D$4,'Lookup Tables Options'!AM31,IF($E$6='Lookup Tables Options'!$D$52,'Lookup Tables Options'!AM79,IF($E$6='Lookup Tables Options'!$D$100,'Lookup Tables Options'!AM127,IF($E$6='Lookup Tables Options'!$D$148,'Lookup Tables Options'!AM175,IF($E$6='Lookup Tables Options'!$D$196,'Lookup Tables Options'!AM223,"")))))</f>
        <v/>
      </c>
    </row>
    <row r="36" spans="4:39" ht="15.6">
      <c r="D36" s="267">
        <v>23</v>
      </c>
      <c r="E36" s="268" t="str">
        <f>IF($E$6='Lookup Tables Options'!$D$4,'Lookup Tables Options'!E32,IF($E$6='Lookup Tables Options'!$D$52,'Lookup Tables Options'!E80,IF($E$6='Lookup Tables Options'!$D$100,'Lookup Tables Options'!E128,IF($E$6='Lookup Tables Options'!$D$148,'Lookup Tables Options'!E176,IF($E$6='Lookup Tables Options'!$D$196,'Lookup Tables Options'!E224,"")))))</f>
        <v/>
      </c>
      <c r="F36" s="269" t="str">
        <f>IF($E$6='Lookup Tables Options'!$D$4,'Lookup Tables Options'!F32,IF($E$6='Lookup Tables Options'!$D$52,'Lookup Tables Options'!F80,IF($E$6='Lookup Tables Options'!$D$100,'Lookup Tables Options'!F128,IF($E$6='Lookup Tables Options'!$D$148,'Lookup Tables Options'!F176,IF($E$6='Lookup Tables Options'!$D$196,'Lookup Tables Options'!F224,"")))))</f>
        <v/>
      </c>
      <c r="G36" s="268" t="str">
        <f>IF($E$6='Lookup Tables Options'!$D$4,'Lookup Tables Options'!G32,IF($E$6='Lookup Tables Options'!$D$52,'Lookup Tables Options'!G80,IF($E$6='Lookup Tables Options'!$D$100,'Lookup Tables Options'!G128,IF($E$6='Lookup Tables Options'!$D$148,'Lookup Tables Options'!G176,IF($E$6='Lookup Tables Options'!$D$196,'Lookup Tables Options'!G224,"")))))</f>
        <v/>
      </c>
      <c r="H36" s="270" t="str">
        <f>IF($E$6='Lookup Tables Options'!$D$4,'Lookup Tables Options'!H32,IF($E$6='Lookup Tables Options'!$D$52,'Lookup Tables Options'!H80,IF($E$6='Lookup Tables Options'!$D$100,'Lookup Tables Options'!H128,IF($E$6='Lookup Tables Options'!$D$148,'Lookup Tables Options'!H176,IF($E$6='Lookup Tables Options'!$D$196,'Lookup Tables Options'!H224,"")))))</f>
        <v/>
      </c>
      <c r="I36" s="270" t="str">
        <f>IF($E$6='Lookup Tables Options'!$D$4,'Lookup Tables Options'!I32,IF($E$6='Lookup Tables Options'!$D$52,'Lookup Tables Options'!I80,IF($E$6='Lookup Tables Options'!$D$100,'Lookup Tables Options'!I128,IF($E$6='Lookup Tables Options'!$D$148,'Lookup Tables Options'!I176,IF($E$6='Lookup Tables Options'!$D$196,'Lookup Tables Options'!I224,"")))))</f>
        <v/>
      </c>
      <c r="J36" s="268" t="str">
        <f>IF($E$6='Lookup Tables Options'!$D$4,'Lookup Tables Options'!J32,IF($E$6='Lookup Tables Options'!$D$52,'Lookup Tables Options'!J80,IF($E$6='Lookup Tables Options'!$D$100,'Lookup Tables Options'!J128,IF($E$6='Lookup Tables Options'!$D$148,'Lookup Tables Options'!J176,IF($E$6='Lookup Tables Options'!$D$196,'Lookup Tables Options'!J224,"")))))</f>
        <v/>
      </c>
      <c r="K36" s="270" t="str">
        <f>IF($E$6='Lookup Tables Options'!$D$4,'Lookup Tables Options'!K32,IF($E$6='Lookup Tables Options'!$D$52,'Lookup Tables Options'!K80,IF($E$6='Lookup Tables Options'!$D$100,'Lookup Tables Options'!K128,IF($E$6='Lookup Tables Options'!$D$148,'Lookup Tables Options'!K176,IF($E$6='Lookup Tables Options'!$D$196,'Lookup Tables Options'!K224,"")))))</f>
        <v/>
      </c>
      <c r="L36" s="270" t="str">
        <f>IF($E$6='Lookup Tables Options'!$D$4,'Lookup Tables Options'!L32,IF($E$6='Lookup Tables Options'!$D$52,'Lookup Tables Options'!L80,IF($E$6='Lookup Tables Options'!$D$100,'Lookup Tables Options'!L128,IF($E$6='Lookup Tables Options'!$D$148,'Lookup Tables Options'!L176,IF($E$6='Lookup Tables Options'!$D$196,'Lookup Tables Options'!L224,"")))))</f>
        <v/>
      </c>
      <c r="M36" s="270" t="str">
        <f>IF($E$6='Lookup Tables Options'!$D$4,'Lookup Tables Options'!M32,IF($E$6='Lookup Tables Options'!$D$52,'Lookup Tables Options'!M80,IF($E$6='Lookup Tables Options'!$D$100,'Lookup Tables Options'!M128,IF($E$6='Lookup Tables Options'!$D$148,'Lookup Tables Options'!M176,IF($E$6='Lookup Tables Options'!$D$196,'Lookup Tables Options'!M224,"")))))</f>
        <v/>
      </c>
      <c r="N36" s="270" t="str">
        <f>IF($E$6='Lookup Tables Options'!$D$4,'Lookup Tables Options'!N32,IF($E$6='Lookup Tables Options'!$D$52,'Lookup Tables Options'!N80,IF($E$6='Lookup Tables Options'!$D$100,'Lookup Tables Options'!N128,IF($E$6='Lookup Tables Options'!$D$148,'Lookup Tables Options'!N176,IF($E$6='Lookup Tables Options'!$D$196,'Lookup Tables Options'!N224,"")))))</f>
        <v/>
      </c>
      <c r="O36" s="270" t="str">
        <f>IF($E$6='Lookup Tables Options'!$D$4,'Lookup Tables Options'!O32,IF($E$6='Lookup Tables Options'!$D$52,'Lookup Tables Options'!O80,IF($E$6='Lookup Tables Options'!$D$100,'Lookup Tables Options'!O128,IF($E$6='Lookup Tables Options'!$D$148,'Lookup Tables Options'!O176,IF($E$6='Lookup Tables Options'!$D$196,'Lookup Tables Options'!O224,"")))))</f>
        <v/>
      </c>
      <c r="P36" s="270" t="str">
        <f>IF($E$6='Lookup Tables Options'!$D$4,'Lookup Tables Options'!P32,IF($E$6='Lookup Tables Options'!$D$52,'Lookup Tables Options'!P80,IF($E$6='Lookup Tables Options'!$D$100,'Lookup Tables Options'!P128,IF($E$6='Lookup Tables Options'!$D$148,'Lookup Tables Options'!P176,IF($E$6='Lookup Tables Options'!$D$196,'Lookup Tables Options'!P224,"")))))</f>
        <v/>
      </c>
      <c r="Q36" s="270" t="str">
        <f>IF($E$6='Lookup Tables Options'!$D$4,'Lookup Tables Options'!Q32,IF($E$6='Lookup Tables Options'!$D$52,'Lookup Tables Options'!Q80,IF($E$6='Lookup Tables Options'!$D$100,'Lookup Tables Options'!Q128,IF($E$6='Lookup Tables Options'!$D$148,'Lookup Tables Options'!Q176,IF($E$6='Lookup Tables Options'!$D$196,'Lookup Tables Options'!Q224,"")))))</f>
        <v/>
      </c>
      <c r="R36" s="270" t="str">
        <f>IF($E$6='Lookup Tables Options'!$D$4,'Lookup Tables Options'!R32,IF($E$6='Lookup Tables Options'!$D$52,'Lookup Tables Options'!R80,IF($E$6='Lookup Tables Options'!$D$100,'Lookup Tables Options'!R128,IF($E$6='Lookup Tables Options'!$D$148,'Lookup Tables Options'!R176,IF($E$6='Lookup Tables Options'!$D$196,'Lookup Tables Options'!R224,"")))))</f>
        <v/>
      </c>
      <c r="S36" s="269" t="str">
        <f>IF($E$6='Lookup Tables Options'!$D$4,'Lookup Tables Options'!S32,IF($E$6='Lookup Tables Options'!$D$52,'Lookup Tables Options'!S80,IF($E$6='Lookup Tables Options'!$D$100,'Lookup Tables Options'!S128,IF($E$6='Lookup Tables Options'!$D$148,'Lookup Tables Options'!S176,IF($E$6='Lookup Tables Options'!$D$196,'Lookup Tables Options'!S224,"")))))</f>
        <v/>
      </c>
      <c r="T36" s="268" t="str">
        <f>IF($E$6='Lookup Tables Options'!$D$4,'Lookup Tables Options'!T32,IF($E$6='Lookup Tables Options'!$D$52,'Lookup Tables Options'!T80,IF($E$6='Lookup Tables Options'!$D$100,'Lookup Tables Options'!T128,IF($E$6='Lookup Tables Options'!$D$148,'Lookup Tables Options'!T176,IF($E$6='Lookup Tables Options'!$D$196,'Lookup Tables Options'!T224,"")))))</f>
        <v/>
      </c>
      <c r="U36" s="270" t="str">
        <f>IF($E$6='Lookup Tables Options'!$D$4,'Lookup Tables Options'!U32,IF($E$6='Lookup Tables Options'!$D$52,'Lookup Tables Options'!U80,IF($E$6='Lookup Tables Options'!$D$100,'Lookup Tables Options'!U128,IF($E$6='Lookup Tables Options'!$D$148,'Lookup Tables Options'!U176,IF($E$6='Lookup Tables Options'!$D$196,'Lookup Tables Options'!U224,"")))))</f>
        <v/>
      </c>
      <c r="V36" s="270" t="str">
        <f>IF($E$6='Lookup Tables Options'!$D$4,'Lookup Tables Options'!V32,IF($E$6='Lookup Tables Options'!$D$52,'Lookup Tables Options'!V80,IF($E$6='Lookup Tables Options'!$D$100,'Lookup Tables Options'!V128,IF($E$6='Lookup Tables Options'!$D$148,'Lookup Tables Options'!V176,IF($E$6='Lookup Tables Options'!$D$196,'Lookup Tables Options'!V224,"")))))</f>
        <v/>
      </c>
      <c r="W36" s="270" t="str">
        <f>IF($E$6='Lookup Tables Options'!$D$4,'Lookup Tables Options'!W32,IF($E$6='Lookup Tables Options'!$D$52,'Lookup Tables Options'!W80,IF($E$6='Lookup Tables Options'!$D$100,'Lookup Tables Options'!W128,IF($E$6='Lookup Tables Options'!$D$148,'Lookup Tables Options'!W176,IF($E$6='Lookup Tables Options'!$D$196,'Lookup Tables Options'!W224,"")))))</f>
        <v/>
      </c>
      <c r="X36" s="270" t="str">
        <f>IF($E$6='Lookup Tables Options'!$D$4,'Lookup Tables Options'!X32,IF($E$6='Lookup Tables Options'!$D$52,'Lookup Tables Options'!X80,IF($E$6='Lookup Tables Options'!$D$100,'Lookup Tables Options'!X128,IF($E$6='Lookup Tables Options'!$D$148,'Lookup Tables Options'!X176,IF($E$6='Lookup Tables Options'!$D$196,'Lookup Tables Options'!X224,"")))))</f>
        <v/>
      </c>
      <c r="Y36" s="270" t="str">
        <f>IF($E$6='Lookup Tables Options'!$D$4,'Lookup Tables Options'!Y32,IF($E$6='Lookup Tables Options'!$D$52,'Lookup Tables Options'!Y80,IF($E$6='Lookup Tables Options'!$D$100,'Lookup Tables Options'!Y128,IF($E$6='Lookup Tables Options'!$D$148,'Lookup Tables Options'!Y176,IF($E$6='Lookup Tables Options'!$D$196,'Lookup Tables Options'!Y224,"")))))</f>
        <v/>
      </c>
      <c r="Z36" s="270" t="str">
        <f>IF($E$6='Lookup Tables Options'!$D$4,'Lookup Tables Options'!Z32,IF($E$6='Lookup Tables Options'!$D$52,'Lookup Tables Options'!Z80,IF($E$6='Lookup Tables Options'!$D$100,'Lookup Tables Options'!Z128,IF($E$6='Lookup Tables Options'!$D$148,'Lookup Tables Options'!Z176,IF($E$6='Lookup Tables Options'!$D$196,'Lookup Tables Options'!Z224,"")))))</f>
        <v/>
      </c>
      <c r="AA36" s="270" t="str">
        <f>IF($E$6='Lookup Tables Options'!$D$4,'Lookup Tables Options'!AA32,IF($E$6='Lookup Tables Options'!$D$52,'Lookup Tables Options'!AA80,IF($E$6='Lookup Tables Options'!$D$100,'Lookup Tables Options'!AA128,IF($E$6='Lookup Tables Options'!$D$148,'Lookup Tables Options'!AA176,IF($E$6='Lookup Tables Options'!$D$196,'Lookup Tables Options'!AA224,"")))))</f>
        <v/>
      </c>
      <c r="AB36" s="270" t="str">
        <f>IF($E$6='Lookup Tables Options'!$D$4,'Lookup Tables Options'!AB32,IF($E$6='Lookup Tables Options'!$D$52,'Lookup Tables Options'!AB80,IF($E$6='Lookup Tables Options'!$D$100,'Lookup Tables Options'!AB128,IF($E$6='Lookup Tables Options'!$D$148,'Lookup Tables Options'!AB176,IF($E$6='Lookup Tables Options'!$D$196,'Lookup Tables Options'!AB224,"")))))</f>
        <v/>
      </c>
      <c r="AC36" s="270" t="str">
        <f>IF($E$6='Lookup Tables Options'!$D$4,'Lookup Tables Options'!AC32,IF($E$6='Lookup Tables Options'!$D$52,'Lookup Tables Options'!AC80,IF($E$6='Lookup Tables Options'!$D$100,'Lookup Tables Options'!AC128,IF($E$6='Lookup Tables Options'!$D$148,'Lookup Tables Options'!AC176,IF($E$6='Lookup Tables Options'!$D$196,'Lookup Tables Options'!AC224,"")))))</f>
        <v/>
      </c>
      <c r="AD36" s="268" t="str">
        <f>IF($E$6='Lookup Tables Options'!$D$4,'Lookup Tables Options'!AD32,IF($E$6='Lookup Tables Options'!$D$52,'Lookup Tables Options'!AD80,IF($E$6='Lookup Tables Options'!$D$100,'Lookup Tables Options'!AD128,IF($E$6='Lookup Tables Options'!$D$148,'Lookup Tables Options'!AD176,IF($E$6='Lookup Tables Options'!$D$196,'Lookup Tables Options'!AD224,"")))))</f>
        <v/>
      </c>
      <c r="AE36" s="270" t="str">
        <f>IF($E$6='Lookup Tables Options'!$D$4,'Lookup Tables Options'!AE32,IF($E$6='Lookup Tables Options'!$D$52,'Lookup Tables Options'!AE80,IF($E$6='Lookup Tables Options'!$D$100,'Lookup Tables Options'!AE128,IF($E$6='Lookup Tables Options'!$D$148,'Lookup Tables Options'!AE176,IF($E$6='Lookup Tables Options'!$D$196,'Lookup Tables Options'!AE224,"")))))</f>
        <v/>
      </c>
      <c r="AF36" s="270" t="str">
        <f>IF($E$6='Lookup Tables Options'!$D$4,'Lookup Tables Options'!AF32,IF($E$6='Lookup Tables Options'!$D$52,'Lookup Tables Options'!AF80,IF($E$6='Lookup Tables Options'!$D$100,'Lookup Tables Options'!AF128,IF($E$6='Lookup Tables Options'!$D$148,'Lookup Tables Options'!AF176,IF($E$6='Lookup Tables Options'!$D$196,'Lookup Tables Options'!AF224,"")))))</f>
        <v/>
      </c>
      <c r="AG36" s="270" t="str">
        <f>IF($E$6='Lookup Tables Options'!$D$4,'Lookup Tables Options'!AG32,IF($E$6='Lookup Tables Options'!$D$52,'Lookup Tables Options'!AG80,IF($E$6='Lookup Tables Options'!$D$100,'Lookup Tables Options'!AG128,IF($E$6='Lookup Tables Options'!$D$148,'Lookup Tables Options'!AG176,IF($E$6='Lookup Tables Options'!$D$196,'Lookup Tables Options'!AG224,"")))))</f>
        <v/>
      </c>
      <c r="AH36" s="270" t="str">
        <f>IF($E$6='Lookup Tables Options'!$D$4,'Lookup Tables Options'!AH32,IF($E$6='Lookup Tables Options'!$D$52,'Lookup Tables Options'!AH80,IF($E$6='Lookup Tables Options'!$D$100,'Lookup Tables Options'!AH128,IF($E$6='Lookup Tables Options'!$D$148,'Lookup Tables Options'!AH176,IF($E$6='Lookup Tables Options'!$D$196,'Lookup Tables Options'!AH224,"")))))</f>
        <v/>
      </c>
      <c r="AI36" s="270" t="str">
        <f>IF($E$6='Lookup Tables Options'!$D$4,'Lookup Tables Options'!AI32,IF($E$6='Lookup Tables Options'!$D$52,'Lookup Tables Options'!AI80,IF($E$6='Lookup Tables Options'!$D$100,'Lookup Tables Options'!AI128,IF($E$6='Lookup Tables Options'!$D$148,'Lookup Tables Options'!AI176,IF($E$6='Lookup Tables Options'!$D$196,'Lookup Tables Options'!AI224,"")))))</f>
        <v/>
      </c>
      <c r="AJ36" s="270" t="str">
        <f>IF($E$6='Lookup Tables Options'!$D$4,'Lookup Tables Options'!AJ32,IF($E$6='Lookup Tables Options'!$D$52,'Lookup Tables Options'!AJ80,IF($E$6='Lookup Tables Options'!$D$100,'Lookup Tables Options'!AJ128,IF($E$6='Lookup Tables Options'!$D$148,'Lookup Tables Options'!AJ176,IF($E$6='Lookup Tables Options'!$D$196,'Lookup Tables Options'!AJ224,"")))))</f>
        <v/>
      </c>
      <c r="AK36" s="270" t="str">
        <f>IF($E$6='Lookup Tables Options'!$D$4,'Lookup Tables Options'!AK32,IF($E$6='Lookup Tables Options'!$D$52,'Lookup Tables Options'!AK80,IF($E$6='Lookup Tables Options'!$D$100,'Lookup Tables Options'!AK128,IF($E$6='Lookup Tables Options'!$D$148,'Lookup Tables Options'!AK176,IF($E$6='Lookup Tables Options'!$D$196,'Lookup Tables Options'!AK224,"")))))</f>
        <v/>
      </c>
      <c r="AL36" s="270" t="str">
        <f>IF($E$6='Lookup Tables Options'!$D$4,'Lookup Tables Options'!AL32,IF($E$6='Lookup Tables Options'!$D$52,'Lookup Tables Options'!AL80,IF($E$6='Lookup Tables Options'!$D$100,'Lookup Tables Options'!AL128,IF($E$6='Lookup Tables Options'!$D$148,'Lookup Tables Options'!AL176,IF($E$6='Lookup Tables Options'!$D$196,'Lookup Tables Options'!AL224,"")))))</f>
        <v/>
      </c>
      <c r="AM36" s="269" t="str">
        <f>IF($E$6='Lookup Tables Options'!$D$4,'Lookup Tables Options'!AM32,IF($E$6='Lookup Tables Options'!$D$52,'Lookup Tables Options'!AM80,IF($E$6='Lookup Tables Options'!$D$100,'Lookup Tables Options'!AM128,IF($E$6='Lookup Tables Options'!$D$148,'Lookup Tables Options'!AM176,IF($E$6='Lookup Tables Options'!$D$196,'Lookup Tables Options'!AM224,"")))))</f>
        <v/>
      </c>
    </row>
    <row r="37" spans="4:39" ht="15.6">
      <c r="D37" s="267">
        <v>24</v>
      </c>
      <c r="E37" s="268" t="str">
        <f>IF($E$6='Lookup Tables Options'!$D$4,'Lookup Tables Options'!E33,IF($E$6='Lookup Tables Options'!$D$52,'Lookup Tables Options'!E81,IF($E$6='Lookup Tables Options'!$D$100,'Lookup Tables Options'!E129,IF($E$6='Lookup Tables Options'!$D$148,'Lookup Tables Options'!E177,IF($E$6='Lookup Tables Options'!$D$196,'Lookup Tables Options'!E225,"")))))</f>
        <v/>
      </c>
      <c r="F37" s="269" t="str">
        <f>IF($E$6='Lookup Tables Options'!$D$4,'Lookup Tables Options'!F33,IF($E$6='Lookup Tables Options'!$D$52,'Lookup Tables Options'!F81,IF($E$6='Lookup Tables Options'!$D$100,'Lookup Tables Options'!F129,IF($E$6='Lookup Tables Options'!$D$148,'Lookup Tables Options'!F177,IF($E$6='Lookup Tables Options'!$D$196,'Lookup Tables Options'!F225,"")))))</f>
        <v/>
      </c>
      <c r="G37" s="268" t="str">
        <f>IF($E$6='Lookup Tables Options'!$D$4,'Lookup Tables Options'!G33,IF($E$6='Lookup Tables Options'!$D$52,'Lookup Tables Options'!G81,IF($E$6='Lookup Tables Options'!$D$100,'Lookup Tables Options'!G129,IF($E$6='Lookup Tables Options'!$D$148,'Lookup Tables Options'!G177,IF($E$6='Lookup Tables Options'!$D$196,'Lookup Tables Options'!G225,"")))))</f>
        <v/>
      </c>
      <c r="H37" s="270" t="str">
        <f>IF($E$6='Lookup Tables Options'!$D$4,'Lookup Tables Options'!H33,IF($E$6='Lookup Tables Options'!$D$52,'Lookup Tables Options'!H81,IF($E$6='Lookup Tables Options'!$D$100,'Lookup Tables Options'!H129,IF($E$6='Lookup Tables Options'!$D$148,'Lookup Tables Options'!H177,IF($E$6='Lookup Tables Options'!$D$196,'Lookup Tables Options'!H225,"")))))</f>
        <v/>
      </c>
      <c r="I37" s="270" t="str">
        <f>IF($E$6='Lookup Tables Options'!$D$4,'Lookup Tables Options'!I33,IF($E$6='Lookup Tables Options'!$D$52,'Lookup Tables Options'!I81,IF($E$6='Lookup Tables Options'!$D$100,'Lookup Tables Options'!I129,IF($E$6='Lookup Tables Options'!$D$148,'Lookup Tables Options'!I177,IF($E$6='Lookup Tables Options'!$D$196,'Lookup Tables Options'!I225,"")))))</f>
        <v/>
      </c>
      <c r="J37" s="268" t="str">
        <f>IF($E$6='Lookup Tables Options'!$D$4,'Lookup Tables Options'!J33,IF($E$6='Lookup Tables Options'!$D$52,'Lookup Tables Options'!J81,IF($E$6='Lookup Tables Options'!$D$100,'Lookup Tables Options'!J129,IF($E$6='Lookup Tables Options'!$D$148,'Lookup Tables Options'!J177,IF($E$6='Lookup Tables Options'!$D$196,'Lookup Tables Options'!J225,"")))))</f>
        <v/>
      </c>
      <c r="K37" s="270" t="str">
        <f>IF($E$6='Lookup Tables Options'!$D$4,'Lookup Tables Options'!K33,IF($E$6='Lookup Tables Options'!$D$52,'Lookup Tables Options'!K81,IF($E$6='Lookup Tables Options'!$D$100,'Lookup Tables Options'!K129,IF($E$6='Lookup Tables Options'!$D$148,'Lookup Tables Options'!K177,IF($E$6='Lookup Tables Options'!$D$196,'Lookup Tables Options'!K225,"")))))</f>
        <v/>
      </c>
      <c r="L37" s="270" t="str">
        <f>IF($E$6='Lookup Tables Options'!$D$4,'Lookup Tables Options'!L33,IF($E$6='Lookup Tables Options'!$D$52,'Lookup Tables Options'!L81,IF($E$6='Lookup Tables Options'!$D$100,'Lookup Tables Options'!L129,IF($E$6='Lookup Tables Options'!$D$148,'Lookup Tables Options'!L177,IF($E$6='Lookup Tables Options'!$D$196,'Lookup Tables Options'!L225,"")))))</f>
        <v/>
      </c>
      <c r="M37" s="270" t="str">
        <f>IF($E$6='Lookup Tables Options'!$D$4,'Lookup Tables Options'!M33,IF($E$6='Lookup Tables Options'!$D$52,'Lookup Tables Options'!M81,IF($E$6='Lookup Tables Options'!$D$100,'Lookup Tables Options'!M129,IF($E$6='Lookup Tables Options'!$D$148,'Lookup Tables Options'!M177,IF($E$6='Lookup Tables Options'!$D$196,'Lookup Tables Options'!M225,"")))))</f>
        <v/>
      </c>
      <c r="N37" s="270" t="str">
        <f>IF($E$6='Lookup Tables Options'!$D$4,'Lookup Tables Options'!N33,IF($E$6='Lookup Tables Options'!$D$52,'Lookup Tables Options'!N81,IF($E$6='Lookup Tables Options'!$D$100,'Lookup Tables Options'!N129,IF($E$6='Lookup Tables Options'!$D$148,'Lookup Tables Options'!N177,IF($E$6='Lookup Tables Options'!$D$196,'Lookup Tables Options'!N225,"")))))</f>
        <v/>
      </c>
      <c r="O37" s="270" t="str">
        <f>IF($E$6='Lookup Tables Options'!$D$4,'Lookup Tables Options'!O33,IF($E$6='Lookup Tables Options'!$D$52,'Lookup Tables Options'!O81,IF($E$6='Lookup Tables Options'!$D$100,'Lookup Tables Options'!O129,IF($E$6='Lookup Tables Options'!$D$148,'Lookup Tables Options'!O177,IF($E$6='Lookup Tables Options'!$D$196,'Lookup Tables Options'!O225,"")))))</f>
        <v/>
      </c>
      <c r="P37" s="270" t="str">
        <f>IF($E$6='Lookup Tables Options'!$D$4,'Lookup Tables Options'!P33,IF($E$6='Lookup Tables Options'!$D$52,'Lookup Tables Options'!P81,IF($E$6='Lookup Tables Options'!$D$100,'Lookup Tables Options'!P129,IF($E$6='Lookup Tables Options'!$D$148,'Lookup Tables Options'!P177,IF($E$6='Lookup Tables Options'!$D$196,'Lookup Tables Options'!P225,"")))))</f>
        <v/>
      </c>
      <c r="Q37" s="270" t="str">
        <f>IF($E$6='Lookup Tables Options'!$D$4,'Lookup Tables Options'!Q33,IF($E$6='Lookup Tables Options'!$D$52,'Lookup Tables Options'!Q81,IF($E$6='Lookup Tables Options'!$D$100,'Lookup Tables Options'!Q129,IF($E$6='Lookup Tables Options'!$D$148,'Lookup Tables Options'!Q177,IF($E$6='Lookup Tables Options'!$D$196,'Lookup Tables Options'!Q225,"")))))</f>
        <v/>
      </c>
      <c r="R37" s="270" t="str">
        <f>IF($E$6='Lookup Tables Options'!$D$4,'Lookup Tables Options'!R33,IF($E$6='Lookup Tables Options'!$D$52,'Lookup Tables Options'!R81,IF($E$6='Lookup Tables Options'!$D$100,'Lookup Tables Options'!R129,IF($E$6='Lookup Tables Options'!$D$148,'Lookup Tables Options'!R177,IF($E$6='Lookup Tables Options'!$D$196,'Lookup Tables Options'!R225,"")))))</f>
        <v/>
      </c>
      <c r="S37" s="269" t="str">
        <f>IF($E$6='Lookup Tables Options'!$D$4,'Lookup Tables Options'!S33,IF($E$6='Lookup Tables Options'!$D$52,'Lookup Tables Options'!S81,IF($E$6='Lookup Tables Options'!$D$100,'Lookup Tables Options'!S129,IF($E$6='Lookup Tables Options'!$D$148,'Lookup Tables Options'!S177,IF($E$6='Lookup Tables Options'!$D$196,'Lookup Tables Options'!S225,"")))))</f>
        <v/>
      </c>
      <c r="T37" s="268" t="str">
        <f>IF($E$6='Lookup Tables Options'!$D$4,'Lookup Tables Options'!T33,IF($E$6='Lookup Tables Options'!$D$52,'Lookup Tables Options'!T81,IF($E$6='Lookup Tables Options'!$D$100,'Lookup Tables Options'!T129,IF($E$6='Lookup Tables Options'!$D$148,'Lookup Tables Options'!T177,IF($E$6='Lookup Tables Options'!$D$196,'Lookup Tables Options'!T225,"")))))</f>
        <v/>
      </c>
      <c r="U37" s="270" t="str">
        <f>IF($E$6='Lookup Tables Options'!$D$4,'Lookup Tables Options'!U33,IF($E$6='Lookup Tables Options'!$D$52,'Lookup Tables Options'!U81,IF($E$6='Lookup Tables Options'!$D$100,'Lookup Tables Options'!U129,IF($E$6='Lookup Tables Options'!$D$148,'Lookup Tables Options'!U177,IF($E$6='Lookup Tables Options'!$D$196,'Lookup Tables Options'!U225,"")))))</f>
        <v/>
      </c>
      <c r="V37" s="270" t="str">
        <f>IF($E$6='Lookup Tables Options'!$D$4,'Lookup Tables Options'!V33,IF($E$6='Lookup Tables Options'!$D$52,'Lookup Tables Options'!V81,IF($E$6='Lookup Tables Options'!$D$100,'Lookup Tables Options'!V129,IF($E$6='Lookup Tables Options'!$D$148,'Lookup Tables Options'!V177,IF($E$6='Lookup Tables Options'!$D$196,'Lookup Tables Options'!V225,"")))))</f>
        <v/>
      </c>
      <c r="W37" s="270" t="str">
        <f>IF($E$6='Lookup Tables Options'!$D$4,'Lookup Tables Options'!W33,IF($E$6='Lookup Tables Options'!$D$52,'Lookup Tables Options'!W81,IF($E$6='Lookup Tables Options'!$D$100,'Lookup Tables Options'!W129,IF($E$6='Lookup Tables Options'!$D$148,'Lookup Tables Options'!W177,IF($E$6='Lookup Tables Options'!$D$196,'Lookup Tables Options'!W225,"")))))</f>
        <v/>
      </c>
      <c r="X37" s="270" t="str">
        <f>IF($E$6='Lookup Tables Options'!$D$4,'Lookup Tables Options'!X33,IF($E$6='Lookup Tables Options'!$D$52,'Lookup Tables Options'!X81,IF($E$6='Lookup Tables Options'!$D$100,'Lookup Tables Options'!X129,IF($E$6='Lookup Tables Options'!$D$148,'Lookup Tables Options'!X177,IF($E$6='Lookup Tables Options'!$D$196,'Lookup Tables Options'!X225,"")))))</f>
        <v/>
      </c>
      <c r="Y37" s="270" t="str">
        <f>IF($E$6='Lookup Tables Options'!$D$4,'Lookup Tables Options'!Y33,IF($E$6='Lookup Tables Options'!$D$52,'Lookup Tables Options'!Y81,IF($E$6='Lookup Tables Options'!$D$100,'Lookup Tables Options'!Y129,IF($E$6='Lookup Tables Options'!$D$148,'Lookup Tables Options'!Y177,IF($E$6='Lookup Tables Options'!$D$196,'Lookup Tables Options'!Y225,"")))))</f>
        <v/>
      </c>
      <c r="Z37" s="270" t="str">
        <f>IF($E$6='Lookup Tables Options'!$D$4,'Lookup Tables Options'!Z33,IF($E$6='Lookup Tables Options'!$D$52,'Lookup Tables Options'!Z81,IF($E$6='Lookup Tables Options'!$D$100,'Lookup Tables Options'!Z129,IF($E$6='Lookup Tables Options'!$D$148,'Lookup Tables Options'!Z177,IF($E$6='Lookup Tables Options'!$D$196,'Lookup Tables Options'!Z225,"")))))</f>
        <v/>
      </c>
      <c r="AA37" s="270" t="str">
        <f>IF($E$6='Lookup Tables Options'!$D$4,'Lookup Tables Options'!AA33,IF($E$6='Lookup Tables Options'!$D$52,'Lookup Tables Options'!AA81,IF($E$6='Lookup Tables Options'!$D$100,'Lookup Tables Options'!AA129,IF($E$6='Lookup Tables Options'!$D$148,'Lookup Tables Options'!AA177,IF($E$6='Lookup Tables Options'!$D$196,'Lookup Tables Options'!AA225,"")))))</f>
        <v/>
      </c>
      <c r="AB37" s="270" t="str">
        <f>IF($E$6='Lookup Tables Options'!$D$4,'Lookup Tables Options'!AB33,IF($E$6='Lookup Tables Options'!$D$52,'Lookup Tables Options'!AB81,IF($E$6='Lookup Tables Options'!$D$100,'Lookup Tables Options'!AB129,IF($E$6='Lookup Tables Options'!$D$148,'Lookup Tables Options'!AB177,IF($E$6='Lookup Tables Options'!$D$196,'Lookup Tables Options'!AB225,"")))))</f>
        <v/>
      </c>
      <c r="AC37" s="270" t="str">
        <f>IF($E$6='Lookup Tables Options'!$D$4,'Lookup Tables Options'!AC33,IF($E$6='Lookup Tables Options'!$D$52,'Lookup Tables Options'!AC81,IF($E$6='Lookup Tables Options'!$D$100,'Lookup Tables Options'!AC129,IF($E$6='Lookup Tables Options'!$D$148,'Lookup Tables Options'!AC177,IF($E$6='Lookup Tables Options'!$D$196,'Lookup Tables Options'!AC225,"")))))</f>
        <v/>
      </c>
      <c r="AD37" s="268" t="str">
        <f>IF($E$6='Lookup Tables Options'!$D$4,'Lookup Tables Options'!AD33,IF($E$6='Lookup Tables Options'!$D$52,'Lookup Tables Options'!AD81,IF($E$6='Lookup Tables Options'!$D$100,'Lookup Tables Options'!AD129,IF($E$6='Lookup Tables Options'!$D$148,'Lookup Tables Options'!AD177,IF($E$6='Lookup Tables Options'!$D$196,'Lookup Tables Options'!AD225,"")))))</f>
        <v/>
      </c>
      <c r="AE37" s="270" t="str">
        <f>IF($E$6='Lookup Tables Options'!$D$4,'Lookup Tables Options'!AE33,IF($E$6='Lookup Tables Options'!$D$52,'Lookup Tables Options'!AE81,IF($E$6='Lookup Tables Options'!$D$100,'Lookup Tables Options'!AE129,IF($E$6='Lookup Tables Options'!$D$148,'Lookup Tables Options'!AE177,IF($E$6='Lookup Tables Options'!$D$196,'Lookup Tables Options'!AE225,"")))))</f>
        <v/>
      </c>
      <c r="AF37" s="270" t="str">
        <f>IF($E$6='Lookup Tables Options'!$D$4,'Lookup Tables Options'!AF33,IF($E$6='Lookup Tables Options'!$D$52,'Lookup Tables Options'!AF81,IF($E$6='Lookup Tables Options'!$D$100,'Lookup Tables Options'!AF129,IF($E$6='Lookup Tables Options'!$D$148,'Lookup Tables Options'!AF177,IF($E$6='Lookup Tables Options'!$D$196,'Lookup Tables Options'!AF225,"")))))</f>
        <v/>
      </c>
      <c r="AG37" s="270" t="str">
        <f>IF($E$6='Lookup Tables Options'!$D$4,'Lookup Tables Options'!AG33,IF($E$6='Lookup Tables Options'!$D$52,'Lookup Tables Options'!AG81,IF($E$6='Lookup Tables Options'!$D$100,'Lookup Tables Options'!AG129,IF($E$6='Lookup Tables Options'!$D$148,'Lookup Tables Options'!AG177,IF($E$6='Lookup Tables Options'!$D$196,'Lookup Tables Options'!AG225,"")))))</f>
        <v/>
      </c>
      <c r="AH37" s="270" t="str">
        <f>IF($E$6='Lookup Tables Options'!$D$4,'Lookup Tables Options'!AH33,IF($E$6='Lookup Tables Options'!$D$52,'Lookup Tables Options'!AH81,IF($E$6='Lookup Tables Options'!$D$100,'Lookup Tables Options'!AH129,IF($E$6='Lookup Tables Options'!$D$148,'Lookup Tables Options'!AH177,IF($E$6='Lookup Tables Options'!$D$196,'Lookup Tables Options'!AH225,"")))))</f>
        <v/>
      </c>
      <c r="AI37" s="270" t="str">
        <f>IF($E$6='Lookup Tables Options'!$D$4,'Lookup Tables Options'!AI33,IF($E$6='Lookup Tables Options'!$D$52,'Lookup Tables Options'!AI81,IF($E$6='Lookup Tables Options'!$D$100,'Lookup Tables Options'!AI129,IF($E$6='Lookup Tables Options'!$D$148,'Lookup Tables Options'!AI177,IF($E$6='Lookup Tables Options'!$D$196,'Lookup Tables Options'!AI225,"")))))</f>
        <v/>
      </c>
      <c r="AJ37" s="270" t="str">
        <f>IF($E$6='Lookup Tables Options'!$D$4,'Lookup Tables Options'!AJ33,IF($E$6='Lookup Tables Options'!$D$52,'Lookup Tables Options'!AJ81,IF($E$6='Lookup Tables Options'!$D$100,'Lookup Tables Options'!AJ129,IF($E$6='Lookup Tables Options'!$D$148,'Lookup Tables Options'!AJ177,IF($E$6='Lookup Tables Options'!$D$196,'Lookup Tables Options'!AJ225,"")))))</f>
        <v/>
      </c>
      <c r="AK37" s="270" t="str">
        <f>IF($E$6='Lookup Tables Options'!$D$4,'Lookup Tables Options'!AK33,IF($E$6='Lookup Tables Options'!$D$52,'Lookup Tables Options'!AK81,IF($E$6='Lookup Tables Options'!$D$100,'Lookup Tables Options'!AK129,IF($E$6='Lookup Tables Options'!$D$148,'Lookup Tables Options'!AK177,IF($E$6='Lookup Tables Options'!$D$196,'Lookup Tables Options'!AK225,"")))))</f>
        <v/>
      </c>
      <c r="AL37" s="270" t="str">
        <f>IF($E$6='Lookup Tables Options'!$D$4,'Lookup Tables Options'!AL33,IF($E$6='Lookup Tables Options'!$D$52,'Lookup Tables Options'!AL81,IF($E$6='Lookup Tables Options'!$D$100,'Lookup Tables Options'!AL129,IF($E$6='Lookup Tables Options'!$D$148,'Lookup Tables Options'!AL177,IF($E$6='Lookup Tables Options'!$D$196,'Lookup Tables Options'!AL225,"")))))</f>
        <v/>
      </c>
      <c r="AM37" s="269" t="str">
        <f>IF($E$6='Lookup Tables Options'!$D$4,'Lookup Tables Options'!AM33,IF($E$6='Lookup Tables Options'!$D$52,'Lookup Tables Options'!AM81,IF($E$6='Lookup Tables Options'!$D$100,'Lookup Tables Options'!AM129,IF($E$6='Lookup Tables Options'!$D$148,'Lookup Tables Options'!AM177,IF($E$6='Lookup Tables Options'!$D$196,'Lookup Tables Options'!AM225,"")))))</f>
        <v/>
      </c>
    </row>
    <row r="38" spans="4:39" ht="15.6">
      <c r="D38" s="267">
        <v>25</v>
      </c>
      <c r="E38" s="268" t="str">
        <f>IF($E$6='Lookup Tables Options'!$D$4,'Lookup Tables Options'!E34,IF($E$6='Lookup Tables Options'!$D$52,'Lookup Tables Options'!E82,IF($E$6='Lookup Tables Options'!$D$100,'Lookup Tables Options'!E130,IF($E$6='Lookup Tables Options'!$D$148,'Lookup Tables Options'!E178,IF($E$6='Lookup Tables Options'!$D$196,'Lookup Tables Options'!E226,"")))))</f>
        <v/>
      </c>
      <c r="F38" s="269" t="str">
        <f>IF($E$6='Lookup Tables Options'!$D$4,'Lookup Tables Options'!F34,IF($E$6='Lookup Tables Options'!$D$52,'Lookup Tables Options'!F82,IF($E$6='Lookup Tables Options'!$D$100,'Lookup Tables Options'!F130,IF($E$6='Lookup Tables Options'!$D$148,'Lookup Tables Options'!F178,IF($E$6='Lookup Tables Options'!$D$196,'Lookup Tables Options'!F226,"")))))</f>
        <v/>
      </c>
      <c r="G38" s="268" t="str">
        <f>IF($E$6='Lookup Tables Options'!$D$4,'Lookup Tables Options'!G34,IF($E$6='Lookup Tables Options'!$D$52,'Lookup Tables Options'!G82,IF($E$6='Lookup Tables Options'!$D$100,'Lookup Tables Options'!G130,IF($E$6='Lookup Tables Options'!$D$148,'Lookup Tables Options'!G178,IF($E$6='Lookup Tables Options'!$D$196,'Lookup Tables Options'!G226,"")))))</f>
        <v/>
      </c>
      <c r="H38" s="270" t="str">
        <f>IF($E$6='Lookup Tables Options'!$D$4,'Lookup Tables Options'!H34,IF($E$6='Lookup Tables Options'!$D$52,'Lookup Tables Options'!H82,IF($E$6='Lookup Tables Options'!$D$100,'Lookup Tables Options'!H130,IF($E$6='Lookup Tables Options'!$D$148,'Lookup Tables Options'!H178,IF($E$6='Lookup Tables Options'!$D$196,'Lookup Tables Options'!H226,"")))))</f>
        <v/>
      </c>
      <c r="I38" s="270" t="str">
        <f>IF($E$6='Lookup Tables Options'!$D$4,'Lookup Tables Options'!I34,IF($E$6='Lookup Tables Options'!$D$52,'Lookup Tables Options'!I82,IF($E$6='Lookup Tables Options'!$D$100,'Lookup Tables Options'!I130,IF($E$6='Lookup Tables Options'!$D$148,'Lookup Tables Options'!I178,IF($E$6='Lookup Tables Options'!$D$196,'Lookup Tables Options'!I226,"")))))</f>
        <v/>
      </c>
      <c r="J38" s="268" t="str">
        <f>IF($E$6='Lookup Tables Options'!$D$4,'Lookup Tables Options'!J34,IF($E$6='Lookup Tables Options'!$D$52,'Lookup Tables Options'!J82,IF($E$6='Lookup Tables Options'!$D$100,'Lookup Tables Options'!J130,IF($E$6='Lookup Tables Options'!$D$148,'Lookup Tables Options'!J178,IF($E$6='Lookup Tables Options'!$D$196,'Lookup Tables Options'!J226,"")))))</f>
        <v/>
      </c>
      <c r="K38" s="270" t="str">
        <f>IF($E$6='Lookup Tables Options'!$D$4,'Lookup Tables Options'!K34,IF($E$6='Lookup Tables Options'!$D$52,'Lookup Tables Options'!K82,IF($E$6='Lookup Tables Options'!$D$100,'Lookup Tables Options'!K130,IF($E$6='Lookup Tables Options'!$D$148,'Lookup Tables Options'!K178,IF($E$6='Lookup Tables Options'!$D$196,'Lookup Tables Options'!K226,"")))))</f>
        <v/>
      </c>
      <c r="L38" s="270" t="str">
        <f>IF($E$6='Lookup Tables Options'!$D$4,'Lookup Tables Options'!L34,IF($E$6='Lookup Tables Options'!$D$52,'Lookup Tables Options'!L82,IF($E$6='Lookup Tables Options'!$D$100,'Lookup Tables Options'!L130,IF($E$6='Lookup Tables Options'!$D$148,'Lookup Tables Options'!L178,IF($E$6='Lookup Tables Options'!$D$196,'Lookup Tables Options'!L226,"")))))</f>
        <v/>
      </c>
      <c r="M38" s="270" t="str">
        <f>IF($E$6='Lookup Tables Options'!$D$4,'Lookup Tables Options'!M34,IF($E$6='Lookup Tables Options'!$D$52,'Lookup Tables Options'!M82,IF($E$6='Lookup Tables Options'!$D$100,'Lookup Tables Options'!M130,IF($E$6='Lookup Tables Options'!$D$148,'Lookup Tables Options'!M178,IF($E$6='Lookup Tables Options'!$D$196,'Lookup Tables Options'!M226,"")))))</f>
        <v/>
      </c>
      <c r="N38" s="270" t="str">
        <f>IF($E$6='Lookup Tables Options'!$D$4,'Lookup Tables Options'!N34,IF($E$6='Lookup Tables Options'!$D$52,'Lookup Tables Options'!N82,IF($E$6='Lookup Tables Options'!$D$100,'Lookup Tables Options'!N130,IF($E$6='Lookup Tables Options'!$D$148,'Lookup Tables Options'!N178,IF($E$6='Lookup Tables Options'!$D$196,'Lookup Tables Options'!N226,"")))))</f>
        <v/>
      </c>
      <c r="O38" s="270" t="str">
        <f>IF($E$6='Lookup Tables Options'!$D$4,'Lookup Tables Options'!O34,IF($E$6='Lookup Tables Options'!$D$52,'Lookup Tables Options'!O82,IF($E$6='Lookup Tables Options'!$D$100,'Lookup Tables Options'!O130,IF($E$6='Lookup Tables Options'!$D$148,'Lookup Tables Options'!O178,IF($E$6='Lookup Tables Options'!$D$196,'Lookup Tables Options'!O226,"")))))</f>
        <v/>
      </c>
      <c r="P38" s="270" t="str">
        <f>IF($E$6='Lookup Tables Options'!$D$4,'Lookup Tables Options'!P34,IF($E$6='Lookup Tables Options'!$D$52,'Lookup Tables Options'!P82,IF($E$6='Lookup Tables Options'!$D$100,'Lookup Tables Options'!P130,IF($E$6='Lookup Tables Options'!$D$148,'Lookup Tables Options'!P178,IF($E$6='Lookup Tables Options'!$D$196,'Lookup Tables Options'!P226,"")))))</f>
        <v/>
      </c>
      <c r="Q38" s="270" t="str">
        <f>IF($E$6='Lookup Tables Options'!$D$4,'Lookup Tables Options'!Q34,IF($E$6='Lookup Tables Options'!$D$52,'Lookup Tables Options'!Q82,IF($E$6='Lookup Tables Options'!$D$100,'Lookup Tables Options'!Q130,IF($E$6='Lookup Tables Options'!$D$148,'Lookup Tables Options'!Q178,IF($E$6='Lookup Tables Options'!$D$196,'Lookup Tables Options'!Q226,"")))))</f>
        <v/>
      </c>
      <c r="R38" s="270" t="str">
        <f>IF($E$6='Lookup Tables Options'!$D$4,'Lookup Tables Options'!R34,IF($E$6='Lookup Tables Options'!$D$52,'Lookup Tables Options'!R82,IF($E$6='Lookup Tables Options'!$D$100,'Lookup Tables Options'!R130,IF($E$6='Lookup Tables Options'!$D$148,'Lookup Tables Options'!R178,IF($E$6='Lookup Tables Options'!$D$196,'Lookup Tables Options'!R226,"")))))</f>
        <v/>
      </c>
      <c r="S38" s="269" t="str">
        <f>IF($E$6='Lookup Tables Options'!$D$4,'Lookup Tables Options'!S34,IF($E$6='Lookup Tables Options'!$D$52,'Lookup Tables Options'!S82,IF($E$6='Lookup Tables Options'!$D$100,'Lookup Tables Options'!S130,IF($E$6='Lookup Tables Options'!$D$148,'Lookup Tables Options'!S178,IF($E$6='Lookup Tables Options'!$D$196,'Lookup Tables Options'!S226,"")))))</f>
        <v/>
      </c>
      <c r="T38" s="268" t="str">
        <f>IF($E$6='Lookup Tables Options'!$D$4,'Lookup Tables Options'!T34,IF($E$6='Lookup Tables Options'!$D$52,'Lookup Tables Options'!T82,IF($E$6='Lookup Tables Options'!$D$100,'Lookup Tables Options'!T130,IF($E$6='Lookup Tables Options'!$D$148,'Lookup Tables Options'!T178,IF($E$6='Lookup Tables Options'!$D$196,'Lookup Tables Options'!T226,"")))))</f>
        <v/>
      </c>
      <c r="U38" s="270" t="str">
        <f>IF($E$6='Lookup Tables Options'!$D$4,'Lookup Tables Options'!U34,IF($E$6='Lookup Tables Options'!$D$52,'Lookup Tables Options'!U82,IF($E$6='Lookup Tables Options'!$D$100,'Lookup Tables Options'!U130,IF($E$6='Lookup Tables Options'!$D$148,'Lookup Tables Options'!U178,IF($E$6='Lookup Tables Options'!$D$196,'Lookup Tables Options'!U226,"")))))</f>
        <v/>
      </c>
      <c r="V38" s="270" t="str">
        <f>IF($E$6='Lookup Tables Options'!$D$4,'Lookup Tables Options'!V34,IF($E$6='Lookup Tables Options'!$D$52,'Lookup Tables Options'!V82,IF($E$6='Lookup Tables Options'!$D$100,'Lookup Tables Options'!V130,IF($E$6='Lookup Tables Options'!$D$148,'Lookup Tables Options'!V178,IF($E$6='Lookup Tables Options'!$D$196,'Lookup Tables Options'!V226,"")))))</f>
        <v/>
      </c>
      <c r="W38" s="270" t="str">
        <f>IF($E$6='Lookup Tables Options'!$D$4,'Lookup Tables Options'!W34,IF($E$6='Lookup Tables Options'!$D$52,'Lookup Tables Options'!W82,IF($E$6='Lookup Tables Options'!$D$100,'Lookup Tables Options'!W130,IF($E$6='Lookup Tables Options'!$D$148,'Lookup Tables Options'!W178,IF($E$6='Lookup Tables Options'!$D$196,'Lookup Tables Options'!W226,"")))))</f>
        <v/>
      </c>
      <c r="X38" s="270" t="str">
        <f>IF($E$6='Lookup Tables Options'!$D$4,'Lookup Tables Options'!X34,IF($E$6='Lookup Tables Options'!$D$52,'Lookup Tables Options'!X82,IF($E$6='Lookup Tables Options'!$D$100,'Lookup Tables Options'!X130,IF($E$6='Lookup Tables Options'!$D$148,'Lookup Tables Options'!X178,IF($E$6='Lookup Tables Options'!$D$196,'Lookup Tables Options'!X226,"")))))</f>
        <v/>
      </c>
      <c r="Y38" s="270" t="str">
        <f>IF($E$6='Lookup Tables Options'!$D$4,'Lookup Tables Options'!Y34,IF($E$6='Lookup Tables Options'!$D$52,'Lookup Tables Options'!Y82,IF($E$6='Lookup Tables Options'!$D$100,'Lookup Tables Options'!Y130,IF($E$6='Lookup Tables Options'!$D$148,'Lookup Tables Options'!Y178,IF($E$6='Lookup Tables Options'!$D$196,'Lookup Tables Options'!Y226,"")))))</f>
        <v/>
      </c>
      <c r="Z38" s="270" t="str">
        <f>IF($E$6='Lookup Tables Options'!$D$4,'Lookup Tables Options'!Z34,IF($E$6='Lookup Tables Options'!$D$52,'Lookup Tables Options'!Z82,IF($E$6='Lookup Tables Options'!$D$100,'Lookup Tables Options'!Z130,IF($E$6='Lookup Tables Options'!$D$148,'Lookup Tables Options'!Z178,IF($E$6='Lookup Tables Options'!$D$196,'Lookup Tables Options'!Z226,"")))))</f>
        <v/>
      </c>
      <c r="AA38" s="270" t="str">
        <f>IF($E$6='Lookup Tables Options'!$D$4,'Lookup Tables Options'!AA34,IF($E$6='Lookup Tables Options'!$D$52,'Lookup Tables Options'!AA82,IF($E$6='Lookup Tables Options'!$D$100,'Lookup Tables Options'!AA130,IF($E$6='Lookup Tables Options'!$D$148,'Lookup Tables Options'!AA178,IF($E$6='Lookup Tables Options'!$D$196,'Lookup Tables Options'!AA226,"")))))</f>
        <v/>
      </c>
      <c r="AB38" s="270" t="str">
        <f>IF($E$6='Lookup Tables Options'!$D$4,'Lookup Tables Options'!AB34,IF($E$6='Lookup Tables Options'!$D$52,'Lookup Tables Options'!AB82,IF($E$6='Lookup Tables Options'!$D$100,'Lookup Tables Options'!AB130,IF($E$6='Lookup Tables Options'!$D$148,'Lookup Tables Options'!AB178,IF($E$6='Lookup Tables Options'!$D$196,'Lookup Tables Options'!AB226,"")))))</f>
        <v/>
      </c>
      <c r="AC38" s="270" t="str">
        <f>IF($E$6='Lookup Tables Options'!$D$4,'Lookup Tables Options'!AC34,IF($E$6='Lookup Tables Options'!$D$52,'Lookup Tables Options'!AC82,IF($E$6='Lookup Tables Options'!$D$100,'Lookup Tables Options'!AC130,IF($E$6='Lookup Tables Options'!$D$148,'Lookup Tables Options'!AC178,IF($E$6='Lookup Tables Options'!$D$196,'Lookup Tables Options'!AC226,"")))))</f>
        <v/>
      </c>
      <c r="AD38" s="268" t="str">
        <f>IF($E$6='Lookup Tables Options'!$D$4,'Lookup Tables Options'!AD34,IF($E$6='Lookup Tables Options'!$D$52,'Lookup Tables Options'!AD82,IF($E$6='Lookup Tables Options'!$D$100,'Lookup Tables Options'!AD130,IF($E$6='Lookup Tables Options'!$D$148,'Lookup Tables Options'!AD178,IF($E$6='Lookup Tables Options'!$D$196,'Lookup Tables Options'!AD226,"")))))</f>
        <v/>
      </c>
      <c r="AE38" s="270" t="str">
        <f>IF($E$6='Lookup Tables Options'!$D$4,'Lookup Tables Options'!AE34,IF($E$6='Lookup Tables Options'!$D$52,'Lookup Tables Options'!AE82,IF($E$6='Lookup Tables Options'!$D$100,'Lookup Tables Options'!AE130,IF($E$6='Lookup Tables Options'!$D$148,'Lookup Tables Options'!AE178,IF($E$6='Lookup Tables Options'!$D$196,'Lookup Tables Options'!AE226,"")))))</f>
        <v/>
      </c>
      <c r="AF38" s="270" t="str">
        <f>IF($E$6='Lookup Tables Options'!$D$4,'Lookup Tables Options'!AF34,IF($E$6='Lookup Tables Options'!$D$52,'Lookup Tables Options'!AF82,IF($E$6='Lookup Tables Options'!$D$100,'Lookup Tables Options'!AF130,IF($E$6='Lookup Tables Options'!$D$148,'Lookup Tables Options'!AF178,IF($E$6='Lookup Tables Options'!$D$196,'Lookup Tables Options'!AF226,"")))))</f>
        <v/>
      </c>
      <c r="AG38" s="270" t="str">
        <f>IF($E$6='Lookup Tables Options'!$D$4,'Lookup Tables Options'!AG34,IF($E$6='Lookup Tables Options'!$D$52,'Lookup Tables Options'!AG82,IF($E$6='Lookup Tables Options'!$D$100,'Lookup Tables Options'!AG130,IF($E$6='Lookup Tables Options'!$D$148,'Lookup Tables Options'!AG178,IF($E$6='Lookup Tables Options'!$D$196,'Lookup Tables Options'!AG226,"")))))</f>
        <v/>
      </c>
      <c r="AH38" s="270" t="str">
        <f>IF($E$6='Lookup Tables Options'!$D$4,'Lookup Tables Options'!AH34,IF($E$6='Lookup Tables Options'!$D$52,'Lookup Tables Options'!AH82,IF($E$6='Lookup Tables Options'!$D$100,'Lookup Tables Options'!AH130,IF($E$6='Lookup Tables Options'!$D$148,'Lookup Tables Options'!AH178,IF($E$6='Lookup Tables Options'!$D$196,'Lookup Tables Options'!AH226,"")))))</f>
        <v/>
      </c>
      <c r="AI38" s="270" t="str">
        <f>IF($E$6='Lookup Tables Options'!$D$4,'Lookup Tables Options'!AI34,IF($E$6='Lookup Tables Options'!$D$52,'Lookup Tables Options'!AI82,IF($E$6='Lookup Tables Options'!$D$100,'Lookup Tables Options'!AI130,IF($E$6='Lookup Tables Options'!$D$148,'Lookup Tables Options'!AI178,IF($E$6='Lookup Tables Options'!$D$196,'Lookup Tables Options'!AI226,"")))))</f>
        <v/>
      </c>
      <c r="AJ38" s="270" t="str">
        <f>IF($E$6='Lookup Tables Options'!$D$4,'Lookup Tables Options'!AJ34,IF($E$6='Lookup Tables Options'!$D$52,'Lookup Tables Options'!AJ82,IF($E$6='Lookup Tables Options'!$D$100,'Lookup Tables Options'!AJ130,IF($E$6='Lookup Tables Options'!$D$148,'Lookup Tables Options'!AJ178,IF($E$6='Lookup Tables Options'!$D$196,'Lookup Tables Options'!AJ226,"")))))</f>
        <v/>
      </c>
      <c r="AK38" s="270" t="str">
        <f>IF($E$6='Lookup Tables Options'!$D$4,'Lookup Tables Options'!AK34,IF($E$6='Lookup Tables Options'!$D$52,'Lookup Tables Options'!AK82,IF($E$6='Lookup Tables Options'!$D$100,'Lookup Tables Options'!AK130,IF($E$6='Lookup Tables Options'!$D$148,'Lookup Tables Options'!AK178,IF($E$6='Lookup Tables Options'!$D$196,'Lookup Tables Options'!AK226,"")))))</f>
        <v/>
      </c>
      <c r="AL38" s="270" t="str">
        <f>IF($E$6='Lookup Tables Options'!$D$4,'Lookup Tables Options'!AL34,IF($E$6='Lookup Tables Options'!$D$52,'Lookup Tables Options'!AL82,IF($E$6='Lookup Tables Options'!$D$100,'Lookup Tables Options'!AL130,IF($E$6='Lookup Tables Options'!$D$148,'Lookup Tables Options'!AL178,IF($E$6='Lookup Tables Options'!$D$196,'Lookup Tables Options'!AL226,"")))))</f>
        <v/>
      </c>
      <c r="AM38" s="269" t="str">
        <f>IF($E$6='Lookup Tables Options'!$D$4,'Lookup Tables Options'!AM34,IF($E$6='Lookup Tables Options'!$D$52,'Lookup Tables Options'!AM82,IF($E$6='Lookup Tables Options'!$D$100,'Lookup Tables Options'!AM130,IF($E$6='Lookup Tables Options'!$D$148,'Lookup Tables Options'!AM178,IF($E$6='Lookup Tables Options'!$D$196,'Lookup Tables Options'!AM226,"")))))</f>
        <v/>
      </c>
    </row>
    <row r="39" spans="4:39" ht="15.6">
      <c r="D39" s="267">
        <v>26</v>
      </c>
      <c r="E39" s="268" t="str">
        <f>IF($E$6='Lookup Tables Options'!$D$4,'Lookup Tables Options'!E35,IF($E$6='Lookup Tables Options'!$D$52,'Lookup Tables Options'!E83,IF($E$6='Lookup Tables Options'!$D$100,'Lookup Tables Options'!E131,IF($E$6='Lookup Tables Options'!$D$148,'Lookup Tables Options'!E179,IF($E$6='Lookup Tables Options'!$D$196,'Lookup Tables Options'!E227,"")))))</f>
        <v/>
      </c>
      <c r="F39" s="269" t="str">
        <f>IF($E$6='Lookup Tables Options'!$D$4,'Lookup Tables Options'!F35,IF($E$6='Lookup Tables Options'!$D$52,'Lookup Tables Options'!F83,IF($E$6='Lookup Tables Options'!$D$100,'Lookup Tables Options'!F131,IF($E$6='Lookup Tables Options'!$D$148,'Lookup Tables Options'!F179,IF($E$6='Lookup Tables Options'!$D$196,'Lookup Tables Options'!F227,"")))))</f>
        <v/>
      </c>
      <c r="G39" s="268" t="str">
        <f>IF($E$6='Lookup Tables Options'!$D$4,'Lookup Tables Options'!G35,IF($E$6='Lookup Tables Options'!$D$52,'Lookup Tables Options'!G83,IF($E$6='Lookup Tables Options'!$D$100,'Lookup Tables Options'!G131,IF($E$6='Lookup Tables Options'!$D$148,'Lookup Tables Options'!G179,IF($E$6='Lookup Tables Options'!$D$196,'Lookup Tables Options'!G227,"")))))</f>
        <v/>
      </c>
      <c r="H39" s="270" t="str">
        <f>IF($E$6='Lookup Tables Options'!$D$4,'Lookup Tables Options'!H35,IF($E$6='Lookup Tables Options'!$D$52,'Lookup Tables Options'!H83,IF($E$6='Lookup Tables Options'!$D$100,'Lookup Tables Options'!H131,IF($E$6='Lookup Tables Options'!$D$148,'Lookup Tables Options'!H179,IF($E$6='Lookup Tables Options'!$D$196,'Lookup Tables Options'!H227,"")))))</f>
        <v/>
      </c>
      <c r="I39" s="270" t="str">
        <f>IF($E$6='Lookup Tables Options'!$D$4,'Lookup Tables Options'!I35,IF($E$6='Lookup Tables Options'!$D$52,'Lookup Tables Options'!I83,IF($E$6='Lookup Tables Options'!$D$100,'Lookup Tables Options'!I131,IF($E$6='Lookup Tables Options'!$D$148,'Lookup Tables Options'!I179,IF($E$6='Lookup Tables Options'!$D$196,'Lookup Tables Options'!I227,"")))))</f>
        <v/>
      </c>
      <c r="J39" s="268" t="str">
        <f>IF($E$6='Lookup Tables Options'!$D$4,'Lookup Tables Options'!J35,IF($E$6='Lookup Tables Options'!$D$52,'Lookup Tables Options'!J83,IF($E$6='Lookup Tables Options'!$D$100,'Lookup Tables Options'!J131,IF($E$6='Lookup Tables Options'!$D$148,'Lookup Tables Options'!J179,IF($E$6='Lookup Tables Options'!$D$196,'Lookup Tables Options'!J227,"")))))</f>
        <v/>
      </c>
      <c r="K39" s="270" t="str">
        <f>IF($E$6='Lookup Tables Options'!$D$4,'Lookup Tables Options'!K35,IF($E$6='Lookup Tables Options'!$D$52,'Lookup Tables Options'!K83,IF($E$6='Lookup Tables Options'!$D$100,'Lookup Tables Options'!K131,IF($E$6='Lookup Tables Options'!$D$148,'Lookup Tables Options'!K179,IF($E$6='Lookup Tables Options'!$D$196,'Lookup Tables Options'!K227,"")))))</f>
        <v/>
      </c>
      <c r="L39" s="270" t="str">
        <f>IF($E$6='Lookup Tables Options'!$D$4,'Lookup Tables Options'!L35,IF($E$6='Lookup Tables Options'!$D$52,'Lookup Tables Options'!L83,IF($E$6='Lookup Tables Options'!$D$100,'Lookup Tables Options'!L131,IF($E$6='Lookup Tables Options'!$D$148,'Lookup Tables Options'!L179,IF($E$6='Lookup Tables Options'!$D$196,'Lookup Tables Options'!L227,"")))))</f>
        <v/>
      </c>
      <c r="M39" s="270" t="str">
        <f>IF($E$6='Lookup Tables Options'!$D$4,'Lookup Tables Options'!M35,IF($E$6='Lookup Tables Options'!$D$52,'Lookup Tables Options'!M83,IF($E$6='Lookup Tables Options'!$D$100,'Lookup Tables Options'!M131,IF($E$6='Lookup Tables Options'!$D$148,'Lookup Tables Options'!M179,IF($E$6='Lookup Tables Options'!$D$196,'Lookup Tables Options'!M227,"")))))</f>
        <v/>
      </c>
      <c r="N39" s="270" t="str">
        <f>IF($E$6='Lookup Tables Options'!$D$4,'Lookup Tables Options'!N35,IF($E$6='Lookup Tables Options'!$D$52,'Lookup Tables Options'!N83,IF($E$6='Lookup Tables Options'!$D$100,'Lookup Tables Options'!N131,IF($E$6='Lookup Tables Options'!$D$148,'Lookup Tables Options'!N179,IF($E$6='Lookup Tables Options'!$D$196,'Lookup Tables Options'!N227,"")))))</f>
        <v/>
      </c>
      <c r="O39" s="270" t="str">
        <f>IF($E$6='Lookup Tables Options'!$D$4,'Lookup Tables Options'!O35,IF($E$6='Lookup Tables Options'!$D$52,'Lookup Tables Options'!O83,IF($E$6='Lookup Tables Options'!$D$100,'Lookup Tables Options'!O131,IF($E$6='Lookup Tables Options'!$D$148,'Lookup Tables Options'!O179,IF($E$6='Lookup Tables Options'!$D$196,'Lookup Tables Options'!O227,"")))))</f>
        <v/>
      </c>
      <c r="P39" s="270" t="str">
        <f>IF($E$6='Lookup Tables Options'!$D$4,'Lookup Tables Options'!P35,IF($E$6='Lookup Tables Options'!$D$52,'Lookup Tables Options'!P83,IF($E$6='Lookup Tables Options'!$D$100,'Lookup Tables Options'!P131,IF($E$6='Lookup Tables Options'!$D$148,'Lookup Tables Options'!P179,IF($E$6='Lookup Tables Options'!$D$196,'Lookup Tables Options'!P227,"")))))</f>
        <v/>
      </c>
      <c r="Q39" s="270" t="str">
        <f>IF($E$6='Lookup Tables Options'!$D$4,'Lookup Tables Options'!Q35,IF($E$6='Lookup Tables Options'!$D$52,'Lookup Tables Options'!Q83,IF($E$6='Lookup Tables Options'!$D$100,'Lookup Tables Options'!Q131,IF($E$6='Lookup Tables Options'!$D$148,'Lookup Tables Options'!Q179,IF($E$6='Lookup Tables Options'!$D$196,'Lookup Tables Options'!Q227,"")))))</f>
        <v/>
      </c>
      <c r="R39" s="270" t="str">
        <f>IF($E$6='Lookup Tables Options'!$D$4,'Lookup Tables Options'!R35,IF($E$6='Lookup Tables Options'!$D$52,'Lookup Tables Options'!R83,IF($E$6='Lookup Tables Options'!$D$100,'Lookup Tables Options'!R131,IF($E$6='Lookup Tables Options'!$D$148,'Lookup Tables Options'!R179,IF($E$6='Lookup Tables Options'!$D$196,'Lookup Tables Options'!R227,"")))))</f>
        <v/>
      </c>
      <c r="S39" s="269" t="str">
        <f>IF($E$6='Lookup Tables Options'!$D$4,'Lookup Tables Options'!S35,IF($E$6='Lookup Tables Options'!$D$52,'Lookup Tables Options'!S83,IF($E$6='Lookup Tables Options'!$D$100,'Lookup Tables Options'!S131,IF($E$6='Lookup Tables Options'!$D$148,'Lookup Tables Options'!S179,IF($E$6='Lookup Tables Options'!$D$196,'Lookup Tables Options'!S227,"")))))</f>
        <v/>
      </c>
      <c r="T39" s="268" t="str">
        <f>IF($E$6='Lookup Tables Options'!$D$4,'Lookup Tables Options'!T35,IF($E$6='Lookup Tables Options'!$D$52,'Lookup Tables Options'!T83,IF($E$6='Lookup Tables Options'!$D$100,'Lookup Tables Options'!T131,IF($E$6='Lookup Tables Options'!$D$148,'Lookup Tables Options'!T179,IF($E$6='Lookup Tables Options'!$D$196,'Lookup Tables Options'!T227,"")))))</f>
        <v/>
      </c>
      <c r="U39" s="270" t="str">
        <f>IF($E$6='Lookup Tables Options'!$D$4,'Lookup Tables Options'!U35,IF($E$6='Lookup Tables Options'!$D$52,'Lookup Tables Options'!U83,IF($E$6='Lookup Tables Options'!$D$100,'Lookup Tables Options'!U131,IF($E$6='Lookup Tables Options'!$D$148,'Lookup Tables Options'!U179,IF($E$6='Lookup Tables Options'!$D$196,'Lookup Tables Options'!U227,"")))))</f>
        <v/>
      </c>
      <c r="V39" s="270" t="str">
        <f>IF($E$6='Lookup Tables Options'!$D$4,'Lookup Tables Options'!V35,IF($E$6='Lookup Tables Options'!$D$52,'Lookup Tables Options'!V83,IF($E$6='Lookup Tables Options'!$D$100,'Lookup Tables Options'!V131,IF($E$6='Lookup Tables Options'!$D$148,'Lookup Tables Options'!V179,IF($E$6='Lookup Tables Options'!$D$196,'Lookup Tables Options'!V227,"")))))</f>
        <v/>
      </c>
      <c r="W39" s="270" t="str">
        <f>IF($E$6='Lookup Tables Options'!$D$4,'Lookup Tables Options'!W35,IF($E$6='Lookup Tables Options'!$D$52,'Lookup Tables Options'!W83,IF($E$6='Lookup Tables Options'!$D$100,'Lookup Tables Options'!W131,IF($E$6='Lookup Tables Options'!$D$148,'Lookup Tables Options'!W179,IF($E$6='Lookup Tables Options'!$D$196,'Lookup Tables Options'!W227,"")))))</f>
        <v/>
      </c>
      <c r="X39" s="270" t="str">
        <f>IF($E$6='Lookup Tables Options'!$D$4,'Lookup Tables Options'!X35,IF($E$6='Lookup Tables Options'!$D$52,'Lookup Tables Options'!X83,IF($E$6='Lookup Tables Options'!$D$100,'Lookup Tables Options'!X131,IF($E$6='Lookup Tables Options'!$D$148,'Lookup Tables Options'!X179,IF($E$6='Lookup Tables Options'!$D$196,'Lookup Tables Options'!X227,"")))))</f>
        <v/>
      </c>
      <c r="Y39" s="270" t="str">
        <f>IF($E$6='Lookup Tables Options'!$D$4,'Lookup Tables Options'!Y35,IF($E$6='Lookup Tables Options'!$D$52,'Lookup Tables Options'!Y83,IF($E$6='Lookup Tables Options'!$D$100,'Lookup Tables Options'!Y131,IF($E$6='Lookup Tables Options'!$D$148,'Lookup Tables Options'!Y179,IF($E$6='Lookup Tables Options'!$D$196,'Lookup Tables Options'!Y227,"")))))</f>
        <v/>
      </c>
      <c r="Z39" s="270" t="str">
        <f>IF($E$6='Lookup Tables Options'!$D$4,'Lookup Tables Options'!Z35,IF($E$6='Lookup Tables Options'!$D$52,'Lookup Tables Options'!Z83,IF($E$6='Lookup Tables Options'!$D$100,'Lookup Tables Options'!Z131,IF($E$6='Lookup Tables Options'!$D$148,'Lookup Tables Options'!Z179,IF($E$6='Lookup Tables Options'!$D$196,'Lookup Tables Options'!Z227,"")))))</f>
        <v/>
      </c>
      <c r="AA39" s="270" t="str">
        <f>IF($E$6='Lookup Tables Options'!$D$4,'Lookup Tables Options'!AA35,IF($E$6='Lookup Tables Options'!$D$52,'Lookup Tables Options'!AA83,IF($E$6='Lookup Tables Options'!$D$100,'Lookup Tables Options'!AA131,IF($E$6='Lookup Tables Options'!$D$148,'Lookup Tables Options'!AA179,IF($E$6='Lookup Tables Options'!$D$196,'Lookup Tables Options'!AA227,"")))))</f>
        <v/>
      </c>
      <c r="AB39" s="270" t="str">
        <f>IF($E$6='Lookup Tables Options'!$D$4,'Lookup Tables Options'!AB35,IF($E$6='Lookup Tables Options'!$D$52,'Lookup Tables Options'!AB83,IF($E$6='Lookup Tables Options'!$D$100,'Lookup Tables Options'!AB131,IF($E$6='Lookup Tables Options'!$D$148,'Lookup Tables Options'!AB179,IF($E$6='Lookup Tables Options'!$D$196,'Lookup Tables Options'!AB227,"")))))</f>
        <v/>
      </c>
      <c r="AC39" s="270" t="str">
        <f>IF($E$6='Lookup Tables Options'!$D$4,'Lookup Tables Options'!AC35,IF($E$6='Lookup Tables Options'!$D$52,'Lookup Tables Options'!AC83,IF($E$6='Lookup Tables Options'!$D$100,'Lookup Tables Options'!AC131,IF($E$6='Lookup Tables Options'!$D$148,'Lookup Tables Options'!AC179,IF($E$6='Lookup Tables Options'!$D$196,'Lookup Tables Options'!AC227,"")))))</f>
        <v/>
      </c>
      <c r="AD39" s="268" t="str">
        <f>IF($E$6='Lookup Tables Options'!$D$4,'Lookup Tables Options'!AD35,IF($E$6='Lookup Tables Options'!$D$52,'Lookup Tables Options'!AD83,IF($E$6='Lookup Tables Options'!$D$100,'Lookup Tables Options'!AD131,IF($E$6='Lookup Tables Options'!$D$148,'Lookup Tables Options'!AD179,IF($E$6='Lookup Tables Options'!$D$196,'Lookup Tables Options'!AD227,"")))))</f>
        <v/>
      </c>
      <c r="AE39" s="270" t="str">
        <f>IF($E$6='Lookup Tables Options'!$D$4,'Lookup Tables Options'!AE35,IF($E$6='Lookup Tables Options'!$D$52,'Lookup Tables Options'!AE83,IF($E$6='Lookup Tables Options'!$D$100,'Lookup Tables Options'!AE131,IF($E$6='Lookup Tables Options'!$D$148,'Lookup Tables Options'!AE179,IF($E$6='Lookup Tables Options'!$D$196,'Lookup Tables Options'!AE227,"")))))</f>
        <v/>
      </c>
      <c r="AF39" s="270" t="str">
        <f>IF($E$6='Lookup Tables Options'!$D$4,'Lookup Tables Options'!AF35,IF($E$6='Lookup Tables Options'!$D$52,'Lookup Tables Options'!AF83,IF($E$6='Lookup Tables Options'!$D$100,'Lookup Tables Options'!AF131,IF($E$6='Lookup Tables Options'!$D$148,'Lookup Tables Options'!AF179,IF($E$6='Lookup Tables Options'!$D$196,'Lookup Tables Options'!AF227,"")))))</f>
        <v/>
      </c>
      <c r="AG39" s="270" t="str">
        <f>IF($E$6='Lookup Tables Options'!$D$4,'Lookup Tables Options'!AG35,IF($E$6='Lookup Tables Options'!$D$52,'Lookup Tables Options'!AG83,IF($E$6='Lookup Tables Options'!$D$100,'Lookup Tables Options'!AG131,IF($E$6='Lookup Tables Options'!$D$148,'Lookup Tables Options'!AG179,IF($E$6='Lookup Tables Options'!$D$196,'Lookup Tables Options'!AG227,"")))))</f>
        <v/>
      </c>
      <c r="AH39" s="270" t="str">
        <f>IF($E$6='Lookup Tables Options'!$D$4,'Lookup Tables Options'!AH35,IF($E$6='Lookup Tables Options'!$D$52,'Lookup Tables Options'!AH83,IF($E$6='Lookup Tables Options'!$D$100,'Lookup Tables Options'!AH131,IF($E$6='Lookup Tables Options'!$D$148,'Lookup Tables Options'!AH179,IF($E$6='Lookup Tables Options'!$D$196,'Lookup Tables Options'!AH227,"")))))</f>
        <v/>
      </c>
      <c r="AI39" s="270" t="str">
        <f>IF($E$6='Lookup Tables Options'!$D$4,'Lookup Tables Options'!AI35,IF($E$6='Lookup Tables Options'!$D$52,'Lookup Tables Options'!AI83,IF($E$6='Lookup Tables Options'!$D$100,'Lookup Tables Options'!AI131,IF($E$6='Lookup Tables Options'!$D$148,'Lookup Tables Options'!AI179,IF($E$6='Lookup Tables Options'!$D$196,'Lookup Tables Options'!AI227,"")))))</f>
        <v/>
      </c>
      <c r="AJ39" s="270" t="str">
        <f>IF($E$6='Lookup Tables Options'!$D$4,'Lookup Tables Options'!AJ35,IF($E$6='Lookup Tables Options'!$D$52,'Lookup Tables Options'!AJ83,IF($E$6='Lookup Tables Options'!$D$100,'Lookup Tables Options'!AJ131,IF($E$6='Lookup Tables Options'!$D$148,'Lookup Tables Options'!AJ179,IF($E$6='Lookup Tables Options'!$D$196,'Lookup Tables Options'!AJ227,"")))))</f>
        <v/>
      </c>
      <c r="AK39" s="270" t="str">
        <f>IF($E$6='Lookup Tables Options'!$D$4,'Lookup Tables Options'!AK35,IF($E$6='Lookup Tables Options'!$D$52,'Lookup Tables Options'!AK83,IF($E$6='Lookup Tables Options'!$D$100,'Lookup Tables Options'!AK131,IF($E$6='Lookup Tables Options'!$D$148,'Lookup Tables Options'!AK179,IF($E$6='Lookup Tables Options'!$D$196,'Lookup Tables Options'!AK227,"")))))</f>
        <v/>
      </c>
      <c r="AL39" s="270" t="str">
        <f>IF($E$6='Lookup Tables Options'!$D$4,'Lookup Tables Options'!AL35,IF($E$6='Lookup Tables Options'!$D$52,'Lookup Tables Options'!AL83,IF($E$6='Lookup Tables Options'!$D$100,'Lookup Tables Options'!AL131,IF($E$6='Lookup Tables Options'!$D$148,'Lookup Tables Options'!AL179,IF($E$6='Lookup Tables Options'!$D$196,'Lookup Tables Options'!AL227,"")))))</f>
        <v/>
      </c>
      <c r="AM39" s="269" t="str">
        <f>IF($E$6='Lookup Tables Options'!$D$4,'Lookup Tables Options'!AM35,IF($E$6='Lookup Tables Options'!$D$52,'Lookup Tables Options'!AM83,IF($E$6='Lookup Tables Options'!$D$100,'Lookup Tables Options'!AM131,IF($E$6='Lookup Tables Options'!$D$148,'Lookup Tables Options'!AM179,IF($E$6='Lookup Tables Options'!$D$196,'Lookup Tables Options'!AM227,"")))))</f>
        <v/>
      </c>
    </row>
    <row r="40" spans="4:39" ht="15.6">
      <c r="D40" s="267">
        <v>27</v>
      </c>
      <c r="E40" s="268" t="str">
        <f>IF($E$6='Lookup Tables Options'!$D$4,'Lookup Tables Options'!E36,IF($E$6='Lookup Tables Options'!$D$52,'Lookup Tables Options'!E84,IF($E$6='Lookup Tables Options'!$D$100,'Lookup Tables Options'!E132,IF($E$6='Lookup Tables Options'!$D$148,'Lookup Tables Options'!E180,IF($E$6='Lookup Tables Options'!$D$196,'Lookup Tables Options'!E228,"")))))</f>
        <v/>
      </c>
      <c r="F40" s="269" t="str">
        <f>IF($E$6='Lookup Tables Options'!$D$4,'Lookup Tables Options'!F36,IF($E$6='Lookup Tables Options'!$D$52,'Lookup Tables Options'!F84,IF($E$6='Lookup Tables Options'!$D$100,'Lookup Tables Options'!F132,IF($E$6='Lookup Tables Options'!$D$148,'Lookup Tables Options'!F180,IF($E$6='Lookup Tables Options'!$D$196,'Lookup Tables Options'!F228,"")))))</f>
        <v/>
      </c>
      <c r="G40" s="268" t="str">
        <f>IF($E$6='Lookup Tables Options'!$D$4,'Lookup Tables Options'!G36,IF($E$6='Lookup Tables Options'!$D$52,'Lookup Tables Options'!G84,IF($E$6='Lookup Tables Options'!$D$100,'Lookup Tables Options'!G132,IF($E$6='Lookup Tables Options'!$D$148,'Lookup Tables Options'!G180,IF($E$6='Lookup Tables Options'!$D$196,'Lookup Tables Options'!G228,"")))))</f>
        <v/>
      </c>
      <c r="H40" s="270" t="str">
        <f>IF($E$6='Lookup Tables Options'!$D$4,'Lookup Tables Options'!H36,IF($E$6='Lookup Tables Options'!$D$52,'Lookup Tables Options'!H84,IF($E$6='Lookup Tables Options'!$D$100,'Lookup Tables Options'!H132,IF($E$6='Lookup Tables Options'!$D$148,'Lookup Tables Options'!H180,IF($E$6='Lookup Tables Options'!$D$196,'Lookup Tables Options'!H228,"")))))</f>
        <v/>
      </c>
      <c r="I40" s="270" t="str">
        <f>IF($E$6='Lookup Tables Options'!$D$4,'Lookup Tables Options'!I36,IF($E$6='Lookup Tables Options'!$D$52,'Lookup Tables Options'!I84,IF($E$6='Lookup Tables Options'!$D$100,'Lookup Tables Options'!I132,IF($E$6='Lookup Tables Options'!$D$148,'Lookup Tables Options'!I180,IF($E$6='Lookup Tables Options'!$D$196,'Lookup Tables Options'!I228,"")))))</f>
        <v/>
      </c>
      <c r="J40" s="268" t="str">
        <f>IF($E$6='Lookup Tables Options'!$D$4,'Lookup Tables Options'!J36,IF($E$6='Lookup Tables Options'!$D$52,'Lookup Tables Options'!J84,IF($E$6='Lookup Tables Options'!$D$100,'Lookup Tables Options'!J132,IF($E$6='Lookup Tables Options'!$D$148,'Lookup Tables Options'!J180,IF($E$6='Lookup Tables Options'!$D$196,'Lookup Tables Options'!J228,"")))))</f>
        <v/>
      </c>
      <c r="K40" s="270" t="str">
        <f>IF($E$6='Lookup Tables Options'!$D$4,'Lookup Tables Options'!K36,IF($E$6='Lookup Tables Options'!$D$52,'Lookup Tables Options'!K84,IF($E$6='Lookup Tables Options'!$D$100,'Lookup Tables Options'!K132,IF($E$6='Lookup Tables Options'!$D$148,'Lookup Tables Options'!K180,IF($E$6='Lookup Tables Options'!$D$196,'Lookup Tables Options'!K228,"")))))</f>
        <v/>
      </c>
      <c r="L40" s="270" t="str">
        <f>IF($E$6='Lookup Tables Options'!$D$4,'Lookup Tables Options'!L36,IF($E$6='Lookup Tables Options'!$D$52,'Lookup Tables Options'!L84,IF($E$6='Lookup Tables Options'!$D$100,'Lookup Tables Options'!L132,IF($E$6='Lookup Tables Options'!$D$148,'Lookup Tables Options'!L180,IF($E$6='Lookup Tables Options'!$D$196,'Lookup Tables Options'!L228,"")))))</f>
        <v/>
      </c>
      <c r="M40" s="270" t="str">
        <f>IF($E$6='Lookup Tables Options'!$D$4,'Lookup Tables Options'!M36,IF($E$6='Lookup Tables Options'!$D$52,'Lookup Tables Options'!M84,IF($E$6='Lookup Tables Options'!$D$100,'Lookup Tables Options'!M132,IF($E$6='Lookup Tables Options'!$D$148,'Lookup Tables Options'!M180,IF($E$6='Lookup Tables Options'!$D$196,'Lookup Tables Options'!M228,"")))))</f>
        <v/>
      </c>
      <c r="N40" s="270" t="str">
        <f>IF($E$6='Lookup Tables Options'!$D$4,'Lookup Tables Options'!N36,IF($E$6='Lookup Tables Options'!$D$52,'Lookup Tables Options'!N84,IF($E$6='Lookup Tables Options'!$D$100,'Lookup Tables Options'!N132,IF($E$6='Lookup Tables Options'!$D$148,'Lookup Tables Options'!N180,IF($E$6='Lookup Tables Options'!$D$196,'Lookup Tables Options'!N228,"")))))</f>
        <v/>
      </c>
      <c r="O40" s="270" t="str">
        <f>IF($E$6='Lookup Tables Options'!$D$4,'Lookup Tables Options'!O36,IF($E$6='Lookup Tables Options'!$D$52,'Lookup Tables Options'!O84,IF($E$6='Lookup Tables Options'!$D$100,'Lookup Tables Options'!O132,IF($E$6='Lookup Tables Options'!$D$148,'Lookup Tables Options'!O180,IF($E$6='Lookup Tables Options'!$D$196,'Lookup Tables Options'!O228,"")))))</f>
        <v/>
      </c>
      <c r="P40" s="270" t="str">
        <f>IF($E$6='Lookup Tables Options'!$D$4,'Lookup Tables Options'!P36,IF($E$6='Lookup Tables Options'!$D$52,'Lookup Tables Options'!P84,IF($E$6='Lookup Tables Options'!$D$100,'Lookup Tables Options'!P132,IF($E$6='Lookup Tables Options'!$D$148,'Lookup Tables Options'!P180,IF($E$6='Lookup Tables Options'!$D$196,'Lookup Tables Options'!P228,"")))))</f>
        <v/>
      </c>
      <c r="Q40" s="270" t="str">
        <f>IF($E$6='Lookup Tables Options'!$D$4,'Lookup Tables Options'!Q36,IF($E$6='Lookup Tables Options'!$D$52,'Lookup Tables Options'!Q84,IF($E$6='Lookup Tables Options'!$D$100,'Lookup Tables Options'!Q132,IF($E$6='Lookup Tables Options'!$D$148,'Lookup Tables Options'!Q180,IF($E$6='Lookup Tables Options'!$D$196,'Lookup Tables Options'!Q228,"")))))</f>
        <v/>
      </c>
      <c r="R40" s="270" t="str">
        <f>IF($E$6='Lookup Tables Options'!$D$4,'Lookup Tables Options'!R36,IF($E$6='Lookup Tables Options'!$D$52,'Lookup Tables Options'!R84,IF($E$6='Lookup Tables Options'!$D$100,'Lookup Tables Options'!R132,IF($E$6='Lookup Tables Options'!$D$148,'Lookup Tables Options'!R180,IF($E$6='Lookup Tables Options'!$D$196,'Lookup Tables Options'!R228,"")))))</f>
        <v/>
      </c>
      <c r="S40" s="269" t="str">
        <f>IF($E$6='Lookup Tables Options'!$D$4,'Lookup Tables Options'!S36,IF($E$6='Lookup Tables Options'!$D$52,'Lookup Tables Options'!S84,IF($E$6='Lookup Tables Options'!$D$100,'Lookup Tables Options'!S132,IF($E$6='Lookup Tables Options'!$D$148,'Lookup Tables Options'!S180,IF($E$6='Lookup Tables Options'!$D$196,'Lookup Tables Options'!S228,"")))))</f>
        <v/>
      </c>
      <c r="T40" s="268" t="str">
        <f>IF($E$6='Lookup Tables Options'!$D$4,'Lookup Tables Options'!T36,IF($E$6='Lookup Tables Options'!$D$52,'Lookup Tables Options'!T84,IF($E$6='Lookup Tables Options'!$D$100,'Lookup Tables Options'!T132,IF($E$6='Lookup Tables Options'!$D$148,'Lookup Tables Options'!T180,IF($E$6='Lookup Tables Options'!$D$196,'Lookup Tables Options'!T228,"")))))</f>
        <v/>
      </c>
      <c r="U40" s="270" t="str">
        <f>IF($E$6='Lookup Tables Options'!$D$4,'Lookup Tables Options'!U36,IF($E$6='Lookup Tables Options'!$D$52,'Lookup Tables Options'!U84,IF($E$6='Lookup Tables Options'!$D$100,'Lookup Tables Options'!U132,IF($E$6='Lookup Tables Options'!$D$148,'Lookup Tables Options'!U180,IF($E$6='Lookup Tables Options'!$D$196,'Lookup Tables Options'!U228,"")))))</f>
        <v/>
      </c>
      <c r="V40" s="270" t="str">
        <f>IF($E$6='Lookup Tables Options'!$D$4,'Lookup Tables Options'!V36,IF($E$6='Lookup Tables Options'!$D$52,'Lookup Tables Options'!V84,IF($E$6='Lookup Tables Options'!$D$100,'Lookup Tables Options'!V132,IF($E$6='Lookup Tables Options'!$D$148,'Lookup Tables Options'!V180,IF($E$6='Lookup Tables Options'!$D$196,'Lookup Tables Options'!V228,"")))))</f>
        <v/>
      </c>
      <c r="W40" s="270" t="str">
        <f>IF($E$6='Lookup Tables Options'!$D$4,'Lookup Tables Options'!W36,IF($E$6='Lookup Tables Options'!$D$52,'Lookup Tables Options'!W84,IF($E$6='Lookup Tables Options'!$D$100,'Lookup Tables Options'!W132,IF($E$6='Lookup Tables Options'!$D$148,'Lookup Tables Options'!W180,IF($E$6='Lookup Tables Options'!$D$196,'Lookup Tables Options'!W228,"")))))</f>
        <v/>
      </c>
      <c r="X40" s="270" t="str">
        <f>IF($E$6='Lookup Tables Options'!$D$4,'Lookup Tables Options'!X36,IF($E$6='Lookup Tables Options'!$D$52,'Lookup Tables Options'!X84,IF($E$6='Lookup Tables Options'!$D$100,'Lookup Tables Options'!X132,IF($E$6='Lookup Tables Options'!$D$148,'Lookup Tables Options'!X180,IF($E$6='Lookup Tables Options'!$D$196,'Lookup Tables Options'!X228,"")))))</f>
        <v/>
      </c>
      <c r="Y40" s="270" t="str">
        <f>IF($E$6='Lookup Tables Options'!$D$4,'Lookup Tables Options'!Y36,IF($E$6='Lookup Tables Options'!$D$52,'Lookup Tables Options'!Y84,IF($E$6='Lookup Tables Options'!$D$100,'Lookup Tables Options'!Y132,IF($E$6='Lookup Tables Options'!$D$148,'Lookup Tables Options'!Y180,IF($E$6='Lookup Tables Options'!$D$196,'Lookup Tables Options'!Y228,"")))))</f>
        <v/>
      </c>
      <c r="Z40" s="270" t="str">
        <f>IF($E$6='Lookup Tables Options'!$D$4,'Lookup Tables Options'!Z36,IF($E$6='Lookup Tables Options'!$D$52,'Lookup Tables Options'!Z84,IF($E$6='Lookup Tables Options'!$D$100,'Lookup Tables Options'!Z132,IF($E$6='Lookup Tables Options'!$D$148,'Lookup Tables Options'!Z180,IF($E$6='Lookup Tables Options'!$D$196,'Lookup Tables Options'!Z228,"")))))</f>
        <v/>
      </c>
      <c r="AA40" s="270" t="str">
        <f>IF($E$6='Lookup Tables Options'!$D$4,'Lookup Tables Options'!AA36,IF($E$6='Lookup Tables Options'!$D$52,'Lookup Tables Options'!AA84,IF($E$6='Lookup Tables Options'!$D$100,'Lookup Tables Options'!AA132,IF($E$6='Lookup Tables Options'!$D$148,'Lookup Tables Options'!AA180,IF($E$6='Lookup Tables Options'!$D$196,'Lookup Tables Options'!AA228,"")))))</f>
        <v/>
      </c>
      <c r="AB40" s="270" t="str">
        <f>IF($E$6='Lookup Tables Options'!$D$4,'Lookup Tables Options'!AB36,IF($E$6='Lookup Tables Options'!$D$52,'Lookup Tables Options'!AB84,IF($E$6='Lookup Tables Options'!$D$100,'Lookup Tables Options'!AB132,IF($E$6='Lookup Tables Options'!$D$148,'Lookup Tables Options'!AB180,IF($E$6='Lookup Tables Options'!$D$196,'Lookup Tables Options'!AB228,"")))))</f>
        <v/>
      </c>
      <c r="AC40" s="270" t="str">
        <f>IF($E$6='Lookup Tables Options'!$D$4,'Lookup Tables Options'!AC36,IF($E$6='Lookup Tables Options'!$D$52,'Lookup Tables Options'!AC84,IF($E$6='Lookup Tables Options'!$D$100,'Lookup Tables Options'!AC132,IF($E$6='Lookup Tables Options'!$D$148,'Lookup Tables Options'!AC180,IF($E$6='Lookup Tables Options'!$D$196,'Lookup Tables Options'!AC228,"")))))</f>
        <v/>
      </c>
      <c r="AD40" s="268" t="str">
        <f>IF($E$6='Lookup Tables Options'!$D$4,'Lookup Tables Options'!AD36,IF($E$6='Lookup Tables Options'!$D$52,'Lookup Tables Options'!AD84,IF($E$6='Lookup Tables Options'!$D$100,'Lookup Tables Options'!AD132,IF($E$6='Lookup Tables Options'!$D$148,'Lookup Tables Options'!AD180,IF($E$6='Lookup Tables Options'!$D$196,'Lookup Tables Options'!AD228,"")))))</f>
        <v/>
      </c>
      <c r="AE40" s="270" t="str">
        <f>IF($E$6='Lookup Tables Options'!$D$4,'Lookup Tables Options'!AE36,IF($E$6='Lookup Tables Options'!$D$52,'Lookup Tables Options'!AE84,IF($E$6='Lookup Tables Options'!$D$100,'Lookup Tables Options'!AE132,IF($E$6='Lookup Tables Options'!$D$148,'Lookup Tables Options'!AE180,IF($E$6='Lookup Tables Options'!$D$196,'Lookup Tables Options'!AE228,"")))))</f>
        <v/>
      </c>
      <c r="AF40" s="270" t="str">
        <f>IF($E$6='Lookup Tables Options'!$D$4,'Lookup Tables Options'!AF36,IF($E$6='Lookup Tables Options'!$D$52,'Lookup Tables Options'!AF84,IF($E$6='Lookup Tables Options'!$D$100,'Lookup Tables Options'!AF132,IF($E$6='Lookup Tables Options'!$D$148,'Lookup Tables Options'!AF180,IF($E$6='Lookup Tables Options'!$D$196,'Lookup Tables Options'!AF228,"")))))</f>
        <v/>
      </c>
      <c r="AG40" s="270" t="str">
        <f>IF($E$6='Lookup Tables Options'!$D$4,'Lookup Tables Options'!AG36,IF($E$6='Lookup Tables Options'!$D$52,'Lookup Tables Options'!AG84,IF($E$6='Lookup Tables Options'!$D$100,'Lookup Tables Options'!AG132,IF($E$6='Lookup Tables Options'!$D$148,'Lookup Tables Options'!AG180,IF($E$6='Lookup Tables Options'!$D$196,'Lookup Tables Options'!AG228,"")))))</f>
        <v/>
      </c>
      <c r="AH40" s="270" t="str">
        <f>IF($E$6='Lookup Tables Options'!$D$4,'Lookup Tables Options'!AH36,IF($E$6='Lookup Tables Options'!$D$52,'Lookup Tables Options'!AH84,IF($E$6='Lookup Tables Options'!$D$100,'Lookup Tables Options'!AH132,IF($E$6='Lookup Tables Options'!$D$148,'Lookup Tables Options'!AH180,IF($E$6='Lookup Tables Options'!$D$196,'Lookup Tables Options'!AH228,"")))))</f>
        <v/>
      </c>
      <c r="AI40" s="270" t="str">
        <f>IF($E$6='Lookup Tables Options'!$D$4,'Lookup Tables Options'!AI36,IF($E$6='Lookup Tables Options'!$D$52,'Lookup Tables Options'!AI84,IF($E$6='Lookup Tables Options'!$D$100,'Lookup Tables Options'!AI132,IF($E$6='Lookup Tables Options'!$D$148,'Lookup Tables Options'!AI180,IF($E$6='Lookup Tables Options'!$D$196,'Lookup Tables Options'!AI228,"")))))</f>
        <v/>
      </c>
      <c r="AJ40" s="270" t="str">
        <f>IF($E$6='Lookup Tables Options'!$D$4,'Lookup Tables Options'!AJ36,IF($E$6='Lookup Tables Options'!$D$52,'Lookup Tables Options'!AJ84,IF($E$6='Lookup Tables Options'!$D$100,'Lookup Tables Options'!AJ132,IF($E$6='Lookup Tables Options'!$D$148,'Lookup Tables Options'!AJ180,IF($E$6='Lookup Tables Options'!$D$196,'Lookup Tables Options'!AJ228,"")))))</f>
        <v/>
      </c>
      <c r="AK40" s="270" t="str">
        <f>IF($E$6='Lookup Tables Options'!$D$4,'Lookup Tables Options'!AK36,IF($E$6='Lookup Tables Options'!$D$52,'Lookup Tables Options'!AK84,IF($E$6='Lookup Tables Options'!$D$100,'Lookup Tables Options'!AK132,IF($E$6='Lookup Tables Options'!$D$148,'Lookup Tables Options'!AK180,IF($E$6='Lookup Tables Options'!$D$196,'Lookup Tables Options'!AK228,"")))))</f>
        <v/>
      </c>
      <c r="AL40" s="270" t="str">
        <f>IF($E$6='Lookup Tables Options'!$D$4,'Lookup Tables Options'!AL36,IF($E$6='Lookup Tables Options'!$D$52,'Lookup Tables Options'!AL84,IF($E$6='Lookup Tables Options'!$D$100,'Lookup Tables Options'!AL132,IF($E$6='Lookup Tables Options'!$D$148,'Lookup Tables Options'!AL180,IF($E$6='Lookup Tables Options'!$D$196,'Lookup Tables Options'!AL228,"")))))</f>
        <v/>
      </c>
      <c r="AM40" s="269" t="str">
        <f>IF($E$6='Lookup Tables Options'!$D$4,'Lookup Tables Options'!AM36,IF($E$6='Lookup Tables Options'!$D$52,'Lookup Tables Options'!AM84,IF($E$6='Lookup Tables Options'!$D$100,'Lookup Tables Options'!AM132,IF($E$6='Lookup Tables Options'!$D$148,'Lookup Tables Options'!AM180,IF($E$6='Lookup Tables Options'!$D$196,'Lookup Tables Options'!AM228,"")))))</f>
        <v/>
      </c>
    </row>
    <row r="41" spans="4:39" ht="15.6">
      <c r="D41" s="267">
        <v>28</v>
      </c>
      <c r="E41" s="268" t="str">
        <f>IF($E$6='Lookup Tables Options'!$D$4,'Lookup Tables Options'!E37,IF($E$6='Lookup Tables Options'!$D$52,'Lookup Tables Options'!E85,IF($E$6='Lookup Tables Options'!$D$100,'Lookup Tables Options'!E133,IF($E$6='Lookup Tables Options'!$D$148,'Lookup Tables Options'!E181,IF($E$6='Lookup Tables Options'!$D$196,'Lookup Tables Options'!E229,"")))))</f>
        <v/>
      </c>
      <c r="F41" s="269" t="str">
        <f>IF($E$6='Lookup Tables Options'!$D$4,'Lookup Tables Options'!F37,IF($E$6='Lookup Tables Options'!$D$52,'Lookup Tables Options'!F85,IF($E$6='Lookup Tables Options'!$D$100,'Lookup Tables Options'!F133,IF($E$6='Lookup Tables Options'!$D$148,'Lookup Tables Options'!F181,IF($E$6='Lookup Tables Options'!$D$196,'Lookup Tables Options'!F229,"")))))</f>
        <v/>
      </c>
      <c r="G41" s="268" t="str">
        <f>IF($E$6='Lookup Tables Options'!$D$4,'Lookup Tables Options'!G37,IF($E$6='Lookup Tables Options'!$D$52,'Lookup Tables Options'!G85,IF($E$6='Lookup Tables Options'!$D$100,'Lookup Tables Options'!G133,IF($E$6='Lookup Tables Options'!$D$148,'Lookup Tables Options'!G181,IF($E$6='Lookup Tables Options'!$D$196,'Lookup Tables Options'!G229,"")))))</f>
        <v/>
      </c>
      <c r="H41" s="270" t="str">
        <f>IF($E$6='Lookup Tables Options'!$D$4,'Lookup Tables Options'!H37,IF($E$6='Lookup Tables Options'!$D$52,'Lookup Tables Options'!H85,IF($E$6='Lookup Tables Options'!$D$100,'Lookup Tables Options'!H133,IF($E$6='Lookup Tables Options'!$D$148,'Lookup Tables Options'!H181,IF($E$6='Lookup Tables Options'!$D$196,'Lookup Tables Options'!H229,"")))))</f>
        <v/>
      </c>
      <c r="I41" s="270" t="str">
        <f>IF($E$6='Lookup Tables Options'!$D$4,'Lookup Tables Options'!I37,IF($E$6='Lookup Tables Options'!$D$52,'Lookup Tables Options'!I85,IF($E$6='Lookup Tables Options'!$D$100,'Lookup Tables Options'!I133,IF($E$6='Lookup Tables Options'!$D$148,'Lookup Tables Options'!I181,IF($E$6='Lookup Tables Options'!$D$196,'Lookup Tables Options'!I229,"")))))</f>
        <v/>
      </c>
      <c r="J41" s="268" t="str">
        <f>IF($E$6='Lookup Tables Options'!$D$4,'Lookup Tables Options'!J37,IF($E$6='Lookup Tables Options'!$D$52,'Lookup Tables Options'!J85,IF($E$6='Lookup Tables Options'!$D$100,'Lookup Tables Options'!J133,IF($E$6='Lookup Tables Options'!$D$148,'Lookup Tables Options'!J181,IF($E$6='Lookup Tables Options'!$D$196,'Lookup Tables Options'!J229,"")))))</f>
        <v/>
      </c>
      <c r="K41" s="270" t="str">
        <f>IF($E$6='Lookup Tables Options'!$D$4,'Lookup Tables Options'!K37,IF($E$6='Lookup Tables Options'!$D$52,'Lookup Tables Options'!K85,IF($E$6='Lookup Tables Options'!$D$100,'Lookup Tables Options'!K133,IF($E$6='Lookup Tables Options'!$D$148,'Lookup Tables Options'!K181,IF($E$6='Lookup Tables Options'!$D$196,'Lookup Tables Options'!K229,"")))))</f>
        <v/>
      </c>
      <c r="L41" s="270" t="str">
        <f>IF($E$6='Lookup Tables Options'!$D$4,'Lookup Tables Options'!L37,IF($E$6='Lookup Tables Options'!$D$52,'Lookup Tables Options'!L85,IF($E$6='Lookup Tables Options'!$D$100,'Lookup Tables Options'!L133,IF($E$6='Lookup Tables Options'!$D$148,'Lookup Tables Options'!L181,IF($E$6='Lookup Tables Options'!$D$196,'Lookup Tables Options'!L229,"")))))</f>
        <v/>
      </c>
      <c r="M41" s="270" t="str">
        <f>IF($E$6='Lookup Tables Options'!$D$4,'Lookup Tables Options'!M37,IF($E$6='Lookup Tables Options'!$D$52,'Lookup Tables Options'!M85,IF($E$6='Lookup Tables Options'!$D$100,'Lookup Tables Options'!M133,IF($E$6='Lookup Tables Options'!$D$148,'Lookup Tables Options'!M181,IF($E$6='Lookup Tables Options'!$D$196,'Lookup Tables Options'!M229,"")))))</f>
        <v/>
      </c>
      <c r="N41" s="270" t="str">
        <f>IF($E$6='Lookup Tables Options'!$D$4,'Lookup Tables Options'!N37,IF($E$6='Lookup Tables Options'!$D$52,'Lookup Tables Options'!N85,IF($E$6='Lookup Tables Options'!$D$100,'Lookup Tables Options'!N133,IF($E$6='Lookup Tables Options'!$D$148,'Lookup Tables Options'!N181,IF($E$6='Lookup Tables Options'!$D$196,'Lookup Tables Options'!N229,"")))))</f>
        <v/>
      </c>
      <c r="O41" s="270" t="str">
        <f>IF($E$6='Lookup Tables Options'!$D$4,'Lookup Tables Options'!O37,IF($E$6='Lookup Tables Options'!$D$52,'Lookup Tables Options'!O85,IF($E$6='Lookup Tables Options'!$D$100,'Lookup Tables Options'!O133,IF($E$6='Lookup Tables Options'!$D$148,'Lookup Tables Options'!O181,IF($E$6='Lookup Tables Options'!$D$196,'Lookup Tables Options'!O229,"")))))</f>
        <v/>
      </c>
      <c r="P41" s="270" t="str">
        <f>IF($E$6='Lookup Tables Options'!$D$4,'Lookup Tables Options'!P37,IF($E$6='Lookup Tables Options'!$D$52,'Lookup Tables Options'!P85,IF($E$6='Lookup Tables Options'!$D$100,'Lookup Tables Options'!P133,IF($E$6='Lookup Tables Options'!$D$148,'Lookup Tables Options'!P181,IF($E$6='Lookup Tables Options'!$D$196,'Lookup Tables Options'!P229,"")))))</f>
        <v/>
      </c>
      <c r="Q41" s="270" t="str">
        <f>IF($E$6='Lookup Tables Options'!$D$4,'Lookup Tables Options'!Q37,IF($E$6='Lookup Tables Options'!$D$52,'Lookup Tables Options'!Q85,IF($E$6='Lookup Tables Options'!$D$100,'Lookup Tables Options'!Q133,IF($E$6='Lookup Tables Options'!$D$148,'Lookup Tables Options'!Q181,IF($E$6='Lookup Tables Options'!$D$196,'Lookup Tables Options'!Q229,"")))))</f>
        <v/>
      </c>
      <c r="R41" s="270" t="str">
        <f>IF($E$6='Lookup Tables Options'!$D$4,'Lookup Tables Options'!R37,IF($E$6='Lookup Tables Options'!$D$52,'Lookup Tables Options'!R85,IF($E$6='Lookup Tables Options'!$D$100,'Lookup Tables Options'!R133,IF($E$6='Lookup Tables Options'!$D$148,'Lookup Tables Options'!R181,IF($E$6='Lookup Tables Options'!$D$196,'Lookup Tables Options'!R229,"")))))</f>
        <v/>
      </c>
      <c r="S41" s="269" t="str">
        <f>IF($E$6='Lookup Tables Options'!$D$4,'Lookup Tables Options'!S37,IF($E$6='Lookup Tables Options'!$D$52,'Lookup Tables Options'!S85,IF($E$6='Lookup Tables Options'!$D$100,'Lookup Tables Options'!S133,IF($E$6='Lookup Tables Options'!$D$148,'Lookup Tables Options'!S181,IF($E$6='Lookup Tables Options'!$D$196,'Lookup Tables Options'!S229,"")))))</f>
        <v/>
      </c>
      <c r="T41" s="268" t="str">
        <f>IF($E$6='Lookup Tables Options'!$D$4,'Lookup Tables Options'!T37,IF($E$6='Lookup Tables Options'!$D$52,'Lookup Tables Options'!T85,IF($E$6='Lookup Tables Options'!$D$100,'Lookup Tables Options'!T133,IF($E$6='Lookup Tables Options'!$D$148,'Lookup Tables Options'!T181,IF($E$6='Lookup Tables Options'!$D$196,'Lookup Tables Options'!T229,"")))))</f>
        <v/>
      </c>
      <c r="U41" s="270" t="str">
        <f>IF($E$6='Lookup Tables Options'!$D$4,'Lookup Tables Options'!U37,IF($E$6='Lookup Tables Options'!$D$52,'Lookup Tables Options'!U85,IF($E$6='Lookup Tables Options'!$D$100,'Lookup Tables Options'!U133,IF($E$6='Lookup Tables Options'!$D$148,'Lookup Tables Options'!U181,IF($E$6='Lookup Tables Options'!$D$196,'Lookup Tables Options'!U229,"")))))</f>
        <v/>
      </c>
      <c r="V41" s="270" t="str">
        <f>IF($E$6='Lookup Tables Options'!$D$4,'Lookup Tables Options'!V37,IF($E$6='Lookup Tables Options'!$D$52,'Lookup Tables Options'!V85,IF($E$6='Lookup Tables Options'!$D$100,'Lookup Tables Options'!V133,IF($E$6='Lookup Tables Options'!$D$148,'Lookup Tables Options'!V181,IF($E$6='Lookup Tables Options'!$D$196,'Lookup Tables Options'!V229,"")))))</f>
        <v/>
      </c>
      <c r="W41" s="270" t="str">
        <f>IF($E$6='Lookup Tables Options'!$D$4,'Lookup Tables Options'!W37,IF($E$6='Lookup Tables Options'!$D$52,'Lookup Tables Options'!W85,IF($E$6='Lookup Tables Options'!$D$100,'Lookup Tables Options'!W133,IF($E$6='Lookup Tables Options'!$D$148,'Lookup Tables Options'!W181,IF($E$6='Lookup Tables Options'!$D$196,'Lookup Tables Options'!W229,"")))))</f>
        <v/>
      </c>
      <c r="X41" s="270" t="str">
        <f>IF($E$6='Lookup Tables Options'!$D$4,'Lookup Tables Options'!X37,IF($E$6='Lookup Tables Options'!$D$52,'Lookup Tables Options'!X85,IF($E$6='Lookup Tables Options'!$D$100,'Lookup Tables Options'!X133,IF($E$6='Lookup Tables Options'!$D$148,'Lookup Tables Options'!X181,IF($E$6='Lookup Tables Options'!$D$196,'Lookup Tables Options'!X229,"")))))</f>
        <v/>
      </c>
      <c r="Y41" s="270" t="str">
        <f>IF($E$6='Lookup Tables Options'!$D$4,'Lookup Tables Options'!Y37,IF($E$6='Lookup Tables Options'!$D$52,'Lookup Tables Options'!Y85,IF($E$6='Lookup Tables Options'!$D$100,'Lookup Tables Options'!Y133,IF($E$6='Lookup Tables Options'!$D$148,'Lookup Tables Options'!Y181,IF($E$6='Lookup Tables Options'!$D$196,'Lookup Tables Options'!Y229,"")))))</f>
        <v/>
      </c>
      <c r="Z41" s="270" t="str">
        <f>IF($E$6='Lookup Tables Options'!$D$4,'Lookup Tables Options'!Z37,IF($E$6='Lookup Tables Options'!$D$52,'Lookup Tables Options'!Z85,IF($E$6='Lookup Tables Options'!$D$100,'Lookup Tables Options'!Z133,IF($E$6='Lookup Tables Options'!$D$148,'Lookup Tables Options'!Z181,IF($E$6='Lookup Tables Options'!$D$196,'Lookup Tables Options'!Z229,"")))))</f>
        <v/>
      </c>
      <c r="AA41" s="270" t="str">
        <f>IF($E$6='Lookup Tables Options'!$D$4,'Lookup Tables Options'!AA37,IF($E$6='Lookup Tables Options'!$D$52,'Lookup Tables Options'!AA85,IF($E$6='Lookup Tables Options'!$D$100,'Lookup Tables Options'!AA133,IF($E$6='Lookup Tables Options'!$D$148,'Lookup Tables Options'!AA181,IF($E$6='Lookup Tables Options'!$D$196,'Lookup Tables Options'!AA229,"")))))</f>
        <v/>
      </c>
      <c r="AB41" s="270" t="str">
        <f>IF($E$6='Lookup Tables Options'!$D$4,'Lookup Tables Options'!AB37,IF($E$6='Lookup Tables Options'!$D$52,'Lookup Tables Options'!AB85,IF($E$6='Lookup Tables Options'!$D$100,'Lookup Tables Options'!AB133,IF($E$6='Lookup Tables Options'!$D$148,'Lookup Tables Options'!AB181,IF($E$6='Lookup Tables Options'!$D$196,'Lookup Tables Options'!AB229,"")))))</f>
        <v/>
      </c>
      <c r="AC41" s="270" t="str">
        <f>IF($E$6='Lookup Tables Options'!$D$4,'Lookup Tables Options'!AC37,IF($E$6='Lookup Tables Options'!$D$52,'Lookup Tables Options'!AC85,IF($E$6='Lookup Tables Options'!$D$100,'Lookup Tables Options'!AC133,IF($E$6='Lookup Tables Options'!$D$148,'Lookup Tables Options'!AC181,IF($E$6='Lookup Tables Options'!$D$196,'Lookup Tables Options'!AC229,"")))))</f>
        <v/>
      </c>
      <c r="AD41" s="268" t="str">
        <f>IF($E$6='Lookup Tables Options'!$D$4,'Lookup Tables Options'!AD37,IF($E$6='Lookup Tables Options'!$D$52,'Lookup Tables Options'!AD85,IF($E$6='Lookup Tables Options'!$D$100,'Lookup Tables Options'!AD133,IF($E$6='Lookup Tables Options'!$D$148,'Lookup Tables Options'!AD181,IF($E$6='Lookup Tables Options'!$D$196,'Lookup Tables Options'!AD229,"")))))</f>
        <v/>
      </c>
      <c r="AE41" s="270" t="str">
        <f>IF($E$6='Lookup Tables Options'!$D$4,'Lookup Tables Options'!AE37,IF($E$6='Lookup Tables Options'!$D$52,'Lookup Tables Options'!AE85,IF($E$6='Lookup Tables Options'!$D$100,'Lookup Tables Options'!AE133,IF($E$6='Lookup Tables Options'!$D$148,'Lookup Tables Options'!AE181,IF($E$6='Lookup Tables Options'!$D$196,'Lookup Tables Options'!AE229,"")))))</f>
        <v/>
      </c>
      <c r="AF41" s="270" t="str">
        <f>IF($E$6='Lookup Tables Options'!$D$4,'Lookup Tables Options'!AF37,IF($E$6='Lookup Tables Options'!$D$52,'Lookup Tables Options'!AF85,IF($E$6='Lookup Tables Options'!$D$100,'Lookup Tables Options'!AF133,IF($E$6='Lookup Tables Options'!$D$148,'Lookup Tables Options'!AF181,IF($E$6='Lookup Tables Options'!$D$196,'Lookup Tables Options'!AF229,"")))))</f>
        <v/>
      </c>
      <c r="AG41" s="270" t="str">
        <f>IF($E$6='Lookup Tables Options'!$D$4,'Lookup Tables Options'!AG37,IF($E$6='Lookup Tables Options'!$D$52,'Lookup Tables Options'!AG85,IF($E$6='Lookup Tables Options'!$D$100,'Lookup Tables Options'!AG133,IF($E$6='Lookup Tables Options'!$D$148,'Lookup Tables Options'!AG181,IF($E$6='Lookup Tables Options'!$D$196,'Lookup Tables Options'!AG229,"")))))</f>
        <v/>
      </c>
      <c r="AH41" s="270" t="str">
        <f>IF($E$6='Lookup Tables Options'!$D$4,'Lookup Tables Options'!AH37,IF($E$6='Lookup Tables Options'!$D$52,'Lookup Tables Options'!AH85,IF($E$6='Lookup Tables Options'!$D$100,'Lookup Tables Options'!AH133,IF($E$6='Lookup Tables Options'!$D$148,'Lookup Tables Options'!AH181,IF($E$6='Lookup Tables Options'!$D$196,'Lookup Tables Options'!AH229,"")))))</f>
        <v/>
      </c>
      <c r="AI41" s="270" t="str">
        <f>IF($E$6='Lookup Tables Options'!$D$4,'Lookup Tables Options'!AI37,IF($E$6='Lookup Tables Options'!$D$52,'Lookup Tables Options'!AI85,IF($E$6='Lookup Tables Options'!$D$100,'Lookup Tables Options'!AI133,IF($E$6='Lookup Tables Options'!$D$148,'Lookup Tables Options'!AI181,IF($E$6='Lookup Tables Options'!$D$196,'Lookup Tables Options'!AI229,"")))))</f>
        <v/>
      </c>
      <c r="AJ41" s="270" t="str">
        <f>IF($E$6='Lookup Tables Options'!$D$4,'Lookup Tables Options'!AJ37,IF($E$6='Lookup Tables Options'!$D$52,'Lookup Tables Options'!AJ85,IF($E$6='Lookup Tables Options'!$D$100,'Lookup Tables Options'!AJ133,IF($E$6='Lookup Tables Options'!$D$148,'Lookup Tables Options'!AJ181,IF($E$6='Lookup Tables Options'!$D$196,'Lookup Tables Options'!AJ229,"")))))</f>
        <v/>
      </c>
      <c r="AK41" s="270" t="str">
        <f>IF($E$6='Lookup Tables Options'!$D$4,'Lookup Tables Options'!AK37,IF($E$6='Lookup Tables Options'!$D$52,'Lookup Tables Options'!AK85,IF($E$6='Lookup Tables Options'!$D$100,'Lookup Tables Options'!AK133,IF($E$6='Lookup Tables Options'!$D$148,'Lookup Tables Options'!AK181,IF($E$6='Lookup Tables Options'!$D$196,'Lookup Tables Options'!AK229,"")))))</f>
        <v/>
      </c>
      <c r="AL41" s="270" t="str">
        <f>IF($E$6='Lookup Tables Options'!$D$4,'Lookup Tables Options'!AL37,IF($E$6='Lookup Tables Options'!$D$52,'Lookup Tables Options'!AL85,IF($E$6='Lookup Tables Options'!$D$100,'Lookup Tables Options'!AL133,IF($E$6='Lookup Tables Options'!$D$148,'Lookup Tables Options'!AL181,IF($E$6='Lookup Tables Options'!$D$196,'Lookup Tables Options'!AL229,"")))))</f>
        <v/>
      </c>
      <c r="AM41" s="269" t="str">
        <f>IF($E$6='Lookup Tables Options'!$D$4,'Lookup Tables Options'!AM37,IF($E$6='Lookup Tables Options'!$D$52,'Lookup Tables Options'!AM85,IF($E$6='Lookup Tables Options'!$D$100,'Lookup Tables Options'!AM133,IF($E$6='Lookup Tables Options'!$D$148,'Lookup Tables Options'!AM181,IF($E$6='Lookup Tables Options'!$D$196,'Lookup Tables Options'!AM229,"")))))</f>
        <v/>
      </c>
    </row>
    <row r="42" spans="4:39" ht="15.6">
      <c r="D42" s="267">
        <v>29</v>
      </c>
      <c r="E42" s="268" t="str">
        <f>IF($E$6='Lookup Tables Options'!$D$4,'Lookup Tables Options'!E38,IF($E$6='Lookup Tables Options'!$D$52,'Lookup Tables Options'!E86,IF($E$6='Lookup Tables Options'!$D$100,'Lookup Tables Options'!E134,IF($E$6='Lookup Tables Options'!$D$148,'Lookup Tables Options'!E182,IF($E$6='Lookup Tables Options'!$D$196,'Lookup Tables Options'!E230,"")))))</f>
        <v/>
      </c>
      <c r="F42" s="269" t="str">
        <f>IF($E$6='Lookup Tables Options'!$D$4,'Lookup Tables Options'!F38,IF($E$6='Lookup Tables Options'!$D$52,'Lookup Tables Options'!F86,IF($E$6='Lookup Tables Options'!$D$100,'Lookup Tables Options'!F134,IF($E$6='Lookup Tables Options'!$D$148,'Lookup Tables Options'!F182,IF($E$6='Lookup Tables Options'!$D$196,'Lookup Tables Options'!F230,"")))))</f>
        <v/>
      </c>
      <c r="G42" s="268" t="str">
        <f>IF($E$6='Lookup Tables Options'!$D$4,'Lookup Tables Options'!G38,IF($E$6='Lookup Tables Options'!$D$52,'Lookup Tables Options'!G86,IF($E$6='Lookup Tables Options'!$D$100,'Lookup Tables Options'!G134,IF($E$6='Lookup Tables Options'!$D$148,'Lookup Tables Options'!G182,IF($E$6='Lookup Tables Options'!$D$196,'Lookup Tables Options'!G230,"")))))</f>
        <v/>
      </c>
      <c r="H42" s="270" t="str">
        <f>IF($E$6='Lookup Tables Options'!$D$4,'Lookup Tables Options'!H38,IF($E$6='Lookup Tables Options'!$D$52,'Lookup Tables Options'!H86,IF($E$6='Lookup Tables Options'!$D$100,'Lookup Tables Options'!H134,IF($E$6='Lookup Tables Options'!$D$148,'Lookup Tables Options'!H182,IF($E$6='Lookup Tables Options'!$D$196,'Lookup Tables Options'!H230,"")))))</f>
        <v/>
      </c>
      <c r="I42" s="270" t="str">
        <f>IF($E$6='Lookup Tables Options'!$D$4,'Lookup Tables Options'!I38,IF($E$6='Lookup Tables Options'!$D$52,'Lookup Tables Options'!I86,IF($E$6='Lookup Tables Options'!$D$100,'Lookup Tables Options'!I134,IF($E$6='Lookup Tables Options'!$D$148,'Lookup Tables Options'!I182,IF($E$6='Lookup Tables Options'!$D$196,'Lookup Tables Options'!I230,"")))))</f>
        <v/>
      </c>
      <c r="J42" s="268" t="str">
        <f>IF($E$6='Lookup Tables Options'!$D$4,'Lookup Tables Options'!J38,IF($E$6='Lookup Tables Options'!$D$52,'Lookup Tables Options'!J86,IF($E$6='Lookup Tables Options'!$D$100,'Lookup Tables Options'!J134,IF($E$6='Lookup Tables Options'!$D$148,'Lookup Tables Options'!J182,IF($E$6='Lookup Tables Options'!$D$196,'Lookup Tables Options'!J230,"")))))</f>
        <v/>
      </c>
      <c r="K42" s="270" t="str">
        <f>IF($E$6='Lookup Tables Options'!$D$4,'Lookup Tables Options'!K38,IF($E$6='Lookup Tables Options'!$D$52,'Lookup Tables Options'!K86,IF($E$6='Lookup Tables Options'!$D$100,'Lookup Tables Options'!K134,IF($E$6='Lookup Tables Options'!$D$148,'Lookup Tables Options'!K182,IF($E$6='Lookup Tables Options'!$D$196,'Lookup Tables Options'!K230,"")))))</f>
        <v/>
      </c>
      <c r="L42" s="270" t="str">
        <f>IF($E$6='Lookup Tables Options'!$D$4,'Lookup Tables Options'!L38,IF($E$6='Lookup Tables Options'!$D$52,'Lookup Tables Options'!L86,IF($E$6='Lookup Tables Options'!$D$100,'Lookup Tables Options'!L134,IF($E$6='Lookup Tables Options'!$D$148,'Lookup Tables Options'!L182,IF($E$6='Lookup Tables Options'!$D$196,'Lookup Tables Options'!L230,"")))))</f>
        <v/>
      </c>
      <c r="M42" s="270" t="str">
        <f>IF($E$6='Lookup Tables Options'!$D$4,'Lookup Tables Options'!M38,IF($E$6='Lookup Tables Options'!$D$52,'Lookup Tables Options'!M86,IF($E$6='Lookup Tables Options'!$D$100,'Lookup Tables Options'!M134,IF($E$6='Lookup Tables Options'!$D$148,'Lookup Tables Options'!M182,IF($E$6='Lookup Tables Options'!$D$196,'Lookup Tables Options'!M230,"")))))</f>
        <v/>
      </c>
      <c r="N42" s="270" t="str">
        <f>IF($E$6='Lookup Tables Options'!$D$4,'Lookup Tables Options'!N38,IF($E$6='Lookup Tables Options'!$D$52,'Lookup Tables Options'!N86,IF($E$6='Lookup Tables Options'!$D$100,'Lookup Tables Options'!N134,IF($E$6='Lookup Tables Options'!$D$148,'Lookup Tables Options'!N182,IF($E$6='Lookup Tables Options'!$D$196,'Lookup Tables Options'!N230,"")))))</f>
        <v/>
      </c>
      <c r="O42" s="270" t="str">
        <f>IF($E$6='Lookup Tables Options'!$D$4,'Lookup Tables Options'!O38,IF($E$6='Lookup Tables Options'!$D$52,'Lookup Tables Options'!O86,IF($E$6='Lookup Tables Options'!$D$100,'Lookup Tables Options'!O134,IF($E$6='Lookup Tables Options'!$D$148,'Lookup Tables Options'!O182,IF($E$6='Lookup Tables Options'!$D$196,'Lookup Tables Options'!O230,"")))))</f>
        <v/>
      </c>
      <c r="P42" s="270" t="str">
        <f>IF($E$6='Lookup Tables Options'!$D$4,'Lookup Tables Options'!P38,IF($E$6='Lookup Tables Options'!$D$52,'Lookup Tables Options'!P86,IF($E$6='Lookup Tables Options'!$D$100,'Lookup Tables Options'!P134,IF($E$6='Lookup Tables Options'!$D$148,'Lookup Tables Options'!P182,IF($E$6='Lookup Tables Options'!$D$196,'Lookup Tables Options'!P230,"")))))</f>
        <v/>
      </c>
      <c r="Q42" s="270" t="str">
        <f>IF($E$6='Lookup Tables Options'!$D$4,'Lookup Tables Options'!Q38,IF($E$6='Lookup Tables Options'!$D$52,'Lookup Tables Options'!Q86,IF($E$6='Lookup Tables Options'!$D$100,'Lookup Tables Options'!Q134,IF($E$6='Lookup Tables Options'!$D$148,'Lookup Tables Options'!Q182,IF($E$6='Lookup Tables Options'!$D$196,'Lookup Tables Options'!Q230,"")))))</f>
        <v/>
      </c>
      <c r="R42" s="270" t="str">
        <f>IF($E$6='Lookup Tables Options'!$D$4,'Lookup Tables Options'!R38,IF($E$6='Lookup Tables Options'!$D$52,'Lookup Tables Options'!R86,IF($E$6='Lookup Tables Options'!$D$100,'Lookup Tables Options'!R134,IF($E$6='Lookup Tables Options'!$D$148,'Lookup Tables Options'!R182,IF($E$6='Lookup Tables Options'!$D$196,'Lookup Tables Options'!R230,"")))))</f>
        <v/>
      </c>
      <c r="S42" s="269" t="str">
        <f>IF($E$6='Lookup Tables Options'!$D$4,'Lookup Tables Options'!S38,IF($E$6='Lookup Tables Options'!$D$52,'Lookup Tables Options'!S86,IF($E$6='Lookup Tables Options'!$D$100,'Lookup Tables Options'!S134,IF($E$6='Lookup Tables Options'!$D$148,'Lookup Tables Options'!S182,IF($E$6='Lookup Tables Options'!$D$196,'Lookup Tables Options'!S230,"")))))</f>
        <v/>
      </c>
      <c r="T42" s="268" t="str">
        <f>IF($E$6='Lookup Tables Options'!$D$4,'Lookup Tables Options'!T38,IF($E$6='Lookup Tables Options'!$D$52,'Lookup Tables Options'!T86,IF($E$6='Lookup Tables Options'!$D$100,'Lookup Tables Options'!T134,IF($E$6='Lookup Tables Options'!$D$148,'Lookup Tables Options'!T182,IF($E$6='Lookup Tables Options'!$D$196,'Lookup Tables Options'!T230,"")))))</f>
        <v/>
      </c>
      <c r="U42" s="270" t="str">
        <f>IF($E$6='Lookup Tables Options'!$D$4,'Lookup Tables Options'!U38,IF($E$6='Lookup Tables Options'!$D$52,'Lookup Tables Options'!U86,IF($E$6='Lookup Tables Options'!$D$100,'Lookup Tables Options'!U134,IF($E$6='Lookup Tables Options'!$D$148,'Lookup Tables Options'!U182,IF($E$6='Lookup Tables Options'!$D$196,'Lookup Tables Options'!U230,"")))))</f>
        <v/>
      </c>
      <c r="V42" s="270" t="str">
        <f>IF($E$6='Lookup Tables Options'!$D$4,'Lookup Tables Options'!V38,IF($E$6='Lookup Tables Options'!$D$52,'Lookup Tables Options'!V86,IF($E$6='Lookup Tables Options'!$D$100,'Lookup Tables Options'!V134,IF($E$6='Lookup Tables Options'!$D$148,'Lookup Tables Options'!V182,IF($E$6='Lookup Tables Options'!$D$196,'Lookup Tables Options'!V230,"")))))</f>
        <v/>
      </c>
      <c r="W42" s="270" t="str">
        <f>IF($E$6='Lookup Tables Options'!$D$4,'Lookup Tables Options'!W38,IF($E$6='Lookup Tables Options'!$D$52,'Lookup Tables Options'!W86,IF($E$6='Lookup Tables Options'!$D$100,'Lookup Tables Options'!W134,IF($E$6='Lookup Tables Options'!$D$148,'Lookup Tables Options'!W182,IF($E$6='Lookup Tables Options'!$D$196,'Lookup Tables Options'!W230,"")))))</f>
        <v/>
      </c>
      <c r="X42" s="270" t="str">
        <f>IF($E$6='Lookup Tables Options'!$D$4,'Lookup Tables Options'!X38,IF($E$6='Lookup Tables Options'!$D$52,'Lookup Tables Options'!X86,IF($E$6='Lookup Tables Options'!$D$100,'Lookup Tables Options'!X134,IF($E$6='Lookup Tables Options'!$D$148,'Lookup Tables Options'!X182,IF($E$6='Lookup Tables Options'!$D$196,'Lookup Tables Options'!X230,"")))))</f>
        <v/>
      </c>
      <c r="Y42" s="270" t="str">
        <f>IF($E$6='Lookup Tables Options'!$D$4,'Lookup Tables Options'!Y38,IF($E$6='Lookup Tables Options'!$D$52,'Lookup Tables Options'!Y86,IF($E$6='Lookup Tables Options'!$D$100,'Lookup Tables Options'!Y134,IF($E$6='Lookup Tables Options'!$D$148,'Lookup Tables Options'!Y182,IF($E$6='Lookup Tables Options'!$D$196,'Lookup Tables Options'!Y230,"")))))</f>
        <v/>
      </c>
      <c r="Z42" s="270" t="str">
        <f>IF($E$6='Lookup Tables Options'!$D$4,'Lookup Tables Options'!Z38,IF($E$6='Lookup Tables Options'!$D$52,'Lookup Tables Options'!Z86,IF($E$6='Lookup Tables Options'!$D$100,'Lookup Tables Options'!Z134,IF($E$6='Lookup Tables Options'!$D$148,'Lookup Tables Options'!Z182,IF($E$6='Lookup Tables Options'!$D$196,'Lookup Tables Options'!Z230,"")))))</f>
        <v/>
      </c>
      <c r="AA42" s="270" t="str">
        <f>IF($E$6='Lookup Tables Options'!$D$4,'Lookup Tables Options'!AA38,IF($E$6='Lookup Tables Options'!$D$52,'Lookup Tables Options'!AA86,IF($E$6='Lookup Tables Options'!$D$100,'Lookup Tables Options'!AA134,IF($E$6='Lookup Tables Options'!$D$148,'Lookup Tables Options'!AA182,IF($E$6='Lookup Tables Options'!$D$196,'Lookup Tables Options'!AA230,"")))))</f>
        <v/>
      </c>
      <c r="AB42" s="270" t="str">
        <f>IF($E$6='Lookup Tables Options'!$D$4,'Lookup Tables Options'!AB38,IF($E$6='Lookup Tables Options'!$D$52,'Lookup Tables Options'!AB86,IF($E$6='Lookup Tables Options'!$D$100,'Lookup Tables Options'!AB134,IF($E$6='Lookup Tables Options'!$D$148,'Lookup Tables Options'!AB182,IF($E$6='Lookup Tables Options'!$D$196,'Lookup Tables Options'!AB230,"")))))</f>
        <v/>
      </c>
      <c r="AC42" s="270" t="str">
        <f>IF($E$6='Lookup Tables Options'!$D$4,'Lookup Tables Options'!AC38,IF($E$6='Lookup Tables Options'!$D$52,'Lookup Tables Options'!AC86,IF($E$6='Lookup Tables Options'!$D$100,'Lookup Tables Options'!AC134,IF($E$6='Lookup Tables Options'!$D$148,'Lookup Tables Options'!AC182,IF($E$6='Lookup Tables Options'!$D$196,'Lookup Tables Options'!AC230,"")))))</f>
        <v/>
      </c>
      <c r="AD42" s="268" t="str">
        <f>IF($E$6='Lookup Tables Options'!$D$4,'Lookup Tables Options'!AD38,IF($E$6='Lookup Tables Options'!$D$52,'Lookup Tables Options'!AD86,IF($E$6='Lookup Tables Options'!$D$100,'Lookup Tables Options'!AD134,IF($E$6='Lookup Tables Options'!$D$148,'Lookup Tables Options'!AD182,IF($E$6='Lookup Tables Options'!$D$196,'Lookup Tables Options'!AD230,"")))))</f>
        <v/>
      </c>
      <c r="AE42" s="270" t="str">
        <f>IF($E$6='Lookup Tables Options'!$D$4,'Lookup Tables Options'!AE38,IF($E$6='Lookup Tables Options'!$D$52,'Lookup Tables Options'!AE86,IF($E$6='Lookup Tables Options'!$D$100,'Lookup Tables Options'!AE134,IF($E$6='Lookup Tables Options'!$D$148,'Lookup Tables Options'!AE182,IF($E$6='Lookup Tables Options'!$D$196,'Lookup Tables Options'!AE230,"")))))</f>
        <v/>
      </c>
      <c r="AF42" s="270" t="str">
        <f>IF($E$6='Lookup Tables Options'!$D$4,'Lookup Tables Options'!AF38,IF($E$6='Lookup Tables Options'!$D$52,'Lookup Tables Options'!AF86,IF($E$6='Lookup Tables Options'!$D$100,'Lookup Tables Options'!AF134,IF($E$6='Lookup Tables Options'!$D$148,'Lookup Tables Options'!AF182,IF($E$6='Lookup Tables Options'!$D$196,'Lookup Tables Options'!AF230,"")))))</f>
        <v/>
      </c>
      <c r="AG42" s="270" t="str">
        <f>IF($E$6='Lookup Tables Options'!$D$4,'Lookup Tables Options'!AG38,IF($E$6='Lookup Tables Options'!$D$52,'Lookup Tables Options'!AG86,IF($E$6='Lookup Tables Options'!$D$100,'Lookup Tables Options'!AG134,IF($E$6='Lookup Tables Options'!$D$148,'Lookup Tables Options'!AG182,IF($E$6='Lookup Tables Options'!$D$196,'Lookup Tables Options'!AG230,"")))))</f>
        <v/>
      </c>
      <c r="AH42" s="270" t="str">
        <f>IF($E$6='Lookup Tables Options'!$D$4,'Lookup Tables Options'!AH38,IF($E$6='Lookup Tables Options'!$D$52,'Lookup Tables Options'!AH86,IF($E$6='Lookup Tables Options'!$D$100,'Lookup Tables Options'!AH134,IF($E$6='Lookup Tables Options'!$D$148,'Lookup Tables Options'!AH182,IF($E$6='Lookup Tables Options'!$D$196,'Lookup Tables Options'!AH230,"")))))</f>
        <v/>
      </c>
      <c r="AI42" s="270" t="str">
        <f>IF($E$6='Lookup Tables Options'!$D$4,'Lookup Tables Options'!AI38,IF($E$6='Lookup Tables Options'!$D$52,'Lookup Tables Options'!AI86,IF($E$6='Lookup Tables Options'!$D$100,'Lookup Tables Options'!AI134,IF($E$6='Lookup Tables Options'!$D$148,'Lookup Tables Options'!AI182,IF($E$6='Lookup Tables Options'!$D$196,'Lookup Tables Options'!AI230,"")))))</f>
        <v/>
      </c>
      <c r="AJ42" s="270" t="str">
        <f>IF($E$6='Lookup Tables Options'!$D$4,'Lookup Tables Options'!AJ38,IF($E$6='Lookup Tables Options'!$D$52,'Lookup Tables Options'!AJ86,IF($E$6='Lookup Tables Options'!$D$100,'Lookup Tables Options'!AJ134,IF($E$6='Lookup Tables Options'!$D$148,'Lookup Tables Options'!AJ182,IF($E$6='Lookup Tables Options'!$D$196,'Lookup Tables Options'!AJ230,"")))))</f>
        <v/>
      </c>
      <c r="AK42" s="270" t="str">
        <f>IF($E$6='Lookup Tables Options'!$D$4,'Lookup Tables Options'!AK38,IF($E$6='Lookup Tables Options'!$D$52,'Lookup Tables Options'!AK86,IF($E$6='Lookup Tables Options'!$D$100,'Lookup Tables Options'!AK134,IF($E$6='Lookup Tables Options'!$D$148,'Lookup Tables Options'!AK182,IF($E$6='Lookup Tables Options'!$D$196,'Lookup Tables Options'!AK230,"")))))</f>
        <v/>
      </c>
      <c r="AL42" s="270" t="str">
        <f>IF($E$6='Lookup Tables Options'!$D$4,'Lookup Tables Options'!AL38,IF($E$6='Lookup Tables Options'!$D$52,'Lookup Tables Options'!AL86,IF($E$6='Lookup Tables Options'!$D$100,'Lookup Tables Options'!AL134,IF($E$6='Lookup Tables Options'!$D$148,'Lookup Tables Options'!AL182,IF($E$6='Lookup Tables Options'!$D$196,'Lookup Tables Options'!AL230,"")))))</f>
        <v/>
      </c>
      <c r="AM42" s="269" t="str">
        <f>IF($E$6='Lookup Tables Options'!$D$4,'Lookup Tables Options'!AM38,IF($E$6='Lookup Tables Options'!$D$52,'Lookup Tables Options'!AM86,IF($E$6='Lookup Tables Options'!$D$100,'Lookup Tables Options'!AM134,IF($E$6='Lookup Tables Options'!$D$148,'Lookup Tables Options'!AM182,IF($E$6='Lookup Tables Options'!$D$196,'Lookup Tables Options'!AM230,"")))))</f>
        <v/>
      </c>
    </row>
    <row r="43" spans="4:39" ht="15.6">
      <c r="D43" s="274">
        <v>30</v>
      </c>
      <c r="E43" s="264" t="str">
        <f>IF($E$6='Lookup Tables Options'!$D$4,'Lookup Tables Options'!E39,IF($E$6='Lookup Tables Options'!$D$52,'Lookup Tables Options'!E87,IF($E$6='Lookup Tables Options'!$D$100,'Lookup Tables Options'!E135,IF($E$6='Lookup Tables Options'!$D$148,'Lookup Tables Options'!E183,IF($E$6='Lookup Tables Options'!$D$196,'Lookup Tables Options'!E231,"")))))</f>
        <v/>
      </c>
      <c r="F43" s="266" t="str">
        <f>IF($E$6='Lookup Tables Options'!$D$4,'Lookup Tables Options'!F39,IF($E$6='Lookup Tables Options'!$D$52,'Lookup Tables Options'!F87,IF($E$6='Lookup Tables Options'!$D$100,'Lookup Tables Options'!F135,IF($E$6='Lookup Tables Options'!$D$148,'Lookup Tables Options'!F183,IF($E$6='Lookup Tables Options'!$D$196,'Lookup Tables Options'!F231,"")))))</f>
        <v/>
      </c>
      <c r="G43" s="264" t="str">
        <f>IF($E$6='Lookup Tables Options'!$D$4,'Lookup Tables Options'!G39,IF($E$6='Lookup Tables Options'!$D$52,'Lookup Tables Options'!G87,IF($E$6='Lookup Tables Options'!$D$100,'Lookup Tables Options'!G135,IF($E$6='Lookup Tables Options'!$D$148,'Lookup Tables Options'!G183,IF($E$6='Lookup Tables Options'!$D$196,'Lookup Tables Options'!G231,"")))))</f>
        <v/>
      </c>
      <c r="H43" s="265" t="str">
        <f>IF($E$6='Lookup Tables Options'!$D$4,'Lookup Tables Options'!H39,IF($E$6='Lookup Tables Options'!$D$52,'Lookup Tables Options'!H87,IF($E$6='Lookup Tables Options'!$D$100,'Lookup Tables Options'!H135,IF($E$6='Lookup Tables Options'!$D$148,'Lookup Tables Options'!H183,IF($E$6='Lookup Tables Options'!$D$196,'Lookup Tables Options'!H231,"")))))</f>
        <v/>
      </c>
      <c r="I43" s="265" t="str">
        <f>IF($E$6='Lookup Tables Options'!$D$4,'Lookup Tables Options'!I39,IF($E$6='Lookup Tables Options'!$D$52,'Lookup Tables Options'!I87,IF($E$6='Lookup Tables Options'!$D$100,'Lookup Tables Options'!I135,IF($E$6='Lookup Tables Options'!$D$148,'Lookup Tables Options'!I183,IF($E$6='Lookup Tables Options'!$D$196,'Lookup Tables Options'!I231,"")))))</f>
        <v/>
      </c>
      <c r="J43" s="264" t="str">
        <f>IF($E$6='Lookup Tables Options'!$D$4,'Lookup Tables Options'!J39,IF($E$6='Lookup Tables Options'!$D$52,'Lookup Tables Options'!J87,IF($E$6='Lookup Tables Options'!$D$100,'Lookup Tables Options'!J135,IF($E$6='Lookup Tables Options'!$D$148,'Lookup Tables Options'!J183,IF($E$6='Lookup Tables Options'!$D$196,'Lookup Tables Options'!J231,"")))))</f>
        <v/>
      </c>
      <c r="K43" s="265" t="str">
        <f>IF($E$6='Lookup Tables Options'!$D$4,'Lookup Tables Options'!K39,IF($E$6='Lookup Tables Options'!$D$52,'Lookup Tables Options'!K87,IF($E$6='Lookup Tables Options'!$D$100,'Lookup Tables Options'!K135,IF($E$6='Lookup Tables Options'!$D$148,'Lookup Tables Options'!K183,IF($E$6='Lookup Tables Options'!$D$196,'Lookup Tables Options'!K231,"")))))</f>
        <v/>
      </c>
      <c r="L43" s="265" t="str">
        <f>IF($E$6='Lookup Tables Options'!$D$4,'Lookup Tables Options'!L39,IF($E$6='Lookup Tables Options'!$D$52,'Lookup Tables Options'!L87,IF($E$6='Lookup Tables Options'!$D$100,'Lookup Tables Options'!L135,IF($E$6='Lookup Tables Options'!$D$148,'Lookup Tables Options'!L183,IF($E$6='Lookup Tables Options'!$D$196,'Lookup Tables Options'!L231,"")))))</f>
        <v/>
      </c>
      <c r="M43" s="265" t="str">
        <f>IF($E$6='Lookup Tables Options'!$D$4,'Lookup Tables Options'!M39,IF($E$6='Lookup Tables Options'!$D$52,'Lookup Tables Options'!M87,IF($E$6='Lookup Tables Options'!$D$100,'Lookup Tables Options'!M135,IF($E$6='Lookup Tables Options'!$D$148,'Lookup Tables Options'!M183,IF($E$6='Lookup Tables Options'!$D$196,'Lookup Tables Options'!M231,"")))))</f>
        <v/>
      </c>
      <c r="N43" s="265" t="str">
        <f>IF($E$6='Lookup Tables Options'!$D$4,'Lookup Tables Options'!N39,IF($E$6='Lookup Tables Options'!$D$52,'Lookup Tables Options'!N87,IF($E$6='Lookup Tables Options'!$D$100,'Lookup Tables Options'!N135,IF($E$6='Lookup Tables Options'!$D$148,'Lookup Tables Options'!N183,IF($E$6='Lookup Tables Options'!$D$196,'Lookup Tables Options'!N231,"")))))</f>
        <v/>
      </c>
      <c r="O43" s="265" t="str">
        <f>IF($E$6='Lookup Tables Options'!$D$4,'Lookup Tables Options'!O39,IF($E$6='Lookup Tables Options'!$D$52,'Lookup Tables Options'!O87,IF($E$6='Lookup Tables Options'!$D$100,'Lookup Tables Options'!O135,IF($E$6='Lookup Tables Options'!$D$148,'Lookup Tables Options'!O183,IF($E$6='Lookup Tables Options'!$D$196,'Lookup Tables Options'!O231,"")))))</f>
        <v/>
      </c>
      <c r="P43" s="265" t="str">
        <f>IF($E$6='Lookup Tables Options'!$D$4,'Lookup Tables Options'!P39,IF($E$6='Lookup Tables Options'!$D$52,'Lookup Tables Options'!P87,IF($E$6='Lookup Tables Options'!$D$100,'Lookup Tables Options'!P135,IF($E$6='Lookup Tables Options'!$D$148,'Lookup Tables Options'!P183,IF($E$6='Lookup Tables Options'!$D$196,'Lookup Tables Options'!P231,"")))))</f>
        <v/>
      </c>
      <c r="Q43" s="265" t="str">
        <f>IF($E$6='Lookup Tables Options'!$D$4,'Lookup Tables Options'!Q39,IF($E$6='Lookup Tables Options'!$D$52,'Lookup Tables Options'!Q87,IF($E$6='Lookup Tables Options'!$D$100,'Lookup Tables Options'!Q135,IF($E$6='Lookup Tables Options'!$D$148,'Lookup Tables Options'!Q183,IF($E$6='Lookup Tables Options'!$D$196,'Lookup Tables Options'!Q231,"")))))</f>
        <v/>
      </c>
      <c r="R43" s="265" t="str">
        <f>IF($E$6='Lookup Tables Options'!$D$4,'Lookup Tables Options'!R39,IF($E$6='Lookup Tables Options'!$D$52,'Lookup Tables Options'!R87,IF($E$6='Lookup Tables Options'!$D$100,'Lookup Tables Options'!R135,IF($E$6='Lookup Tables Options'!$D$148,'Lookup Tables Options'!R183,IF($E$6='Lookup Tables Options'!$D$196,'Lookup Tables Options'!R231,"")))))</f>
        <v/>
      </c>
      <c r="S43" s="266" t="str">
        <f>IF($E$6='Lookup Tables Options'!$D$4,'Lookup Tables Options'!S39,IF($E$6='Lookup Tables Options'!$D$52,'Lookup Tables Options'!S87,IF($E$6='Lookup Tables Options'!$D$100,'Lookup Tables Options'!S135,IF($E$6='Lookup Tables Options'!$D$148,'Lookup Tables Options'!S183,IF($E$6='Lookup Tables Options'!$D$196,'Lookup Tables Options'!S231,"")))))</f>
        <v/>
      </c>
      <c r="T43" s="264" t="str">
        <f>IF($E$6='Lookup Tables Options'!$D$4,'Lookup Tables Options'!T39,IF($E$6='Lookup Tables Options'!$D$52,'Lookup Tables Options'!T87,IF($E$6='Lookup Tables Options'!$D$100,'Lookup Tables Options'!T135,IF($E$6='Lookup Tables Options'!$D$148,'Lookup Tables Options'!T183,IF($E$6='Lookup Tables Options'!$D$196,'Lookup Tables Options'!T231,"")))))</f>
        <v/>
      </c>
      <c r="U43" s="265" t="str">
        <f>IF($E$6='Lookup Tables Options'!$D$4,'Lookup Tables Options'!U39,IF($E$6='Lookup Tables Options'!$D$52,'Lookup Tables Options'!U87,IF($E$6='Lookup Tables Options'!$D$100,'Lookup Tables Options'!U135,IF($E$6='Lookup Tables Options'!$D$148,'Lookup Tables Options'!U183,IF($E$6='Lookup Tables Options'!$D$196,'Lookup Tables Options'!U231,"")))))</f>
        <v/>
      </c>
      <c r="V43" s="265" t="str">
        <f>IF($E$6='Lookup Tables Options'!$D$4,'Lookup Tables Options'!V39,IF($E$6='Lookup Tables Options'!$D$52,'Lookup Tables Options'!V87,IF($E$6='Lookup Tables Options'!$D$100,'Lookup Tables Options'!V135,IF($E$6='Lookup Tables Options'!$D$148,'Lookup Tables Options'!V183,IF($E$6='Lookup Tables Options'!$D$196,'Lookup Tables Options'!V231,"")))))</f>
        <v/>
      </c>
      <c r="W43" s="265" t="str">
        <f>IF($E$6='Lookup Tables Options'!$D$4,'Lookup Tables Options'!W39,IF($E$6='Lookup Tables Options'!$D$52,'Lookup Tables Options'!W87,IF($E$6='Lookup Tables Options'!$D$100,'Lookup Tables Options'!W135,IF($E$6='Lookup Tables Options'!$D$148,'Lookup Tables Options'!W183,IF($E$6='Lookup Tables Options'!$D$196,'Lookup Tables Options'!W231,"")))))</f>
        <v/>
      </c>
      <c r="X43" s="265" t="str">
        <f>IF($E$6='Lookup Tables Options'!$D$4,'Lookup Tables Options'!X39,IF($E$6='Lookup Tables Options'!$D$52,'Lookup Tables Options'!X87,IF($E$6='Lookup Tables Options'!$D$100,'Lookup Tables Options'!X135,IF($E$6='Lookup Tables Options'!$D$148,'Lookup Tables Options'!X183,IF($E$6='Lookup Tables Options'!$D$196,'Lookup Tables Options'!X231,"")))))</f>
        <v/>
      </c>
      <c r="Y43" s="265" t="str">
        <f>IF($E$6='Lookup Tables Options'!$D$4,'Lookup Tables Options'!Y39,IF($E$6='Lookup Tables Options'!$D$52,'Lookup Tables Options'!Y87,IF($E$6='Lookup Tables Options'!$D$100,'Lookup Tables Options'!Y135,IF($E$6='Lookup Tables Options'!$D$148,'Lookup Tables Options'!Y183,IF($E$6='Lookup Tables Options'!$D$196,'Lookup Tables Options'!Y231,"")))))</f>
        <v/>
      </c>
      <c r="Z43" s="265" t="str">
        <f>IF($E$6='Lookup Tables Options'!$D$4,'Lookup Tables Options'!Z39,IF($E$6='Lookup Tables Options'!$D$52,'Lookup Tables Options'!Z87,IF($E$6='Lookup Tables Options'!$D$100,'Lookup Tables Options'!Z135,IF($E$6='Lookup Tables Options'!$D$148,'Lookup Tables Options'!Z183,IF($E$6='Lookup Tables Options'!$D$196,'Lookup Tables Options'!Z231,"")))))</f>
        <v/>
      </c>
      <c r="AA43" s="265" t="str">
        <f>IF($E$6='Lookup Tables Options'!$D$4,'Lookup Tables Options'!AA39,IF($E$6='Lookup Tables Options'!$D$52,'Lookup Tables Options'!AA87,IF($E$6='Lookup Tables Options'!$D$100,'Lookup Tables Options'!AA135,IF($E$6='Lookup Tables Options'!$D$148,'Lookup Tables Options'!AA183,IF($E$6='Lookup Tables Options'!$D$196,'Lookup Tables Options'!AA231,"")))))</f>
        <v/>
      </c>
      <c r="AB43" s="265" t="str">
        <f>IF($E$6='Lookup Tables Options'!$D$4,'Lookup Tables Options'!AB39,IF($E$6='Lookup Tables Options'!$D$52,'Lookup Tables Options'!AB87,IF($E$6='Lookup Tables Options'!$D$100,'Lookup Tables Options'!AB135,IF($E$6='Lookup Tables Options'!$D$148,'Lookup Tables Options'!AB183,IF($E$6='Lookup Tables Options'!$D$196,'Lookup Tables Options'!AB231,"")))))</f>
        <v/>
      </c>
      <c r="AC43" s="265" t="str">
        <f>IF($E$6='Lookup Tables Options'!$D$4,'Lookup Tables Options'!AC39,IF($E$6='Lookup Tables Options'!$D$52,'Lookup Tables Options'!AC87,IF($E$6='Lookup Tables Options'!$D$100,'Lookup Tables Options'!AC135,IF($E$6='Lookup Tables Options'!$D$148,'Lookup Tables Options'!AC183,IF($E$6='Lookup Tables Options'!$D$196,'Lookup Tables Options'!AC231,"")))))</f>
        <v/>
      </c>
      <c r="AD43" s="264" t="str">
        <f>IF($E$6='Lookup Tables Options'!$D$4,'Lookup Tables Options'!AD39,IF($E$6='Lookup Tables Options'!$D$52,'Lookup Tables Options'!AD87,IF($E$6='Lookup Tables Options'!$D$100,'Lookup Tables Options'!AD135,IF($E$6='Lookup Tables Options'!$D$148,'Lookup Tables Options'!AD183,IF($E$6='Lookup Tables Options'!$D$196,'Lookup Tables Options'!AD231,"")))))</f>
        <v/>
      </c>
      <c r="AE43" s="265" t="str">
        <f>IF($E$6='Lookup Tables Options'!$D$4,'Lookup Tables Options'!AE39,IF($E$6='Lookup Tables Options'!$D$52,'Lookup Tables Options'!AE87,IF($E$6='Lookup Tables Options'!$D$100,'Lookup Tables Options'!AE135,IF($E$6='Lookup Tables Options'!$D$148,'Lookup Tables Options'!AE183,IF($E$6='Lookup Tables Options'!$D$196,'Lookup Tables Options'!AE231,"")))))</f>
        <v/>
      </c>
      <c r="AF43" s="265" t="str">
        <f>IF($E$6='Lookup Tables Options'!$D$4,'Lookup Tables Options'!AF39,IF($E$6='Lookup Tables Options'!$D$52,'Lookup Tables Options'!AF87,IF($E$6='Lookup Tables Options'!$D$100,'Lookup Tables Options'!AF135,IF($E$6='Lookup Tables Options'!$D$148,'Lookup Tables Options'!AF183,IF($E$6='Lookup Tables Options'!$D$196,'Lookup Tables Options'!AF231,"")))))</f>
        <v/>
      </c>
      <c r="AG43" s="265" t="str">
        <f>IF($E$6='Lookup Tables Options'!$D$4,'Lookup Tables Options'!AG39,IF($E$6='Lookup Tables Options'!$D$52,'Lookup Tables Options'!AG87,IF($E$6='Lookup Tables Options'!$D$100,'Lookup Tables Options'!AG135,IF($E$6='Lookup Tables Options'!$D$148,'Lookup Tables Options'!AG183,IF($E$6='Lookup Tables Options'!$D$196,'Lookup Tables Options'!AG231,"")))))</f>
        <v/>
      </c>
      <c r="AH43" s="265" t="str">
        <f>IF($E$6='Lookup Tables Options'!$D$4,'Lookup Tables Options'!AH39,IF($E$6='Lookup Tables Options'!$D$52,'Lookup Tables Options'!AH87,IF($E$6='Lookup Tables Options'!$D$100,'Lookup Tables Options'!AH135,IF($E$6='Lookup Tables Options'!$D$148,'Lookup Tables Options'!AH183,IF($E$6='Lookup Tables Options'!$D$196,'Lookup Tables Options'!AH231,"")))))</f>
        <v/>
      </c>
      <c r="AI43" s="265" t="str">
        <f>IF($E$6='Lookup Tables Options'!$D$4,'Lookup Tables Options'!AI39,IF($E$6='Lookup Tables Options'!$D$52,'Lookup Tables Options'!AI87,IF($E$6='Lookup Tables Options'!$D$100,'Lookup Tables Options'!AI135,IF($E$6='Lookup Tables Options'!$D$148,'Lookup Tables Options'!AI183,IF($E$6='Lookup Tables Options'!$D$196,'Lookup Tables Options'!AI231,"")))))</f>
        <v/>
      </c>
      <c r="AJ43" s="265" t="str">
        <f>IF($E$6='Lookup Tables Options'!$D$4,'Lookup Tables Options'!AJ39,IF($E$6='Lookup Tables Options'!$D$52,'Lookup Tables Options'!AJ87,IF($E$6='Lookup Tables Options'!$D$100,'Lookup Tables Options'!AJ135,IF($E$6='Lookup Tables Options'!$D$148,'Lookup Tables Options'!AJ183,IF($E$6='Lookup Tables Options'!$D$196,'Lookup Tables Options'!AJ231,"")))))</f>
        <v/>
      </c>
      <c r="AK43" s="265" t="str">
        <f>IF($E$6='Lookup Tables Options'!$D$4,'Lookup Tables Options'!AK39,IF($E$6='Lookup Tables Options'!$D$52,'Lookup Tables Options'!AK87,IF($E$6='Lookup Tables Options'!$D$100,'Lookup Tables Options'!AK135,IF($E$6='Lookup Tables Options'!$D$148,'Lookup Tables Options'!AK183,IF($E$6='Lookup Tables Options'!$D$196,'Lookup Tables Options'!AK231,"")))))</f>
        <v/>
      </c>
      <c r="AL43" s="265" t="str">
        <f>IF($E$6='Lookup Tables Options'!$D$4,'Lookup Tables Options'!AL39,IF($E$6='Lookup Tables Options'!$D$52,'Lookup Tables Options'!AL87,IF($E$6='Lookup Tables Options'!$D$100,'Lookup Tables Options'!AL135,IF($E$6='Lookup Tables Options'!$D$148,'Lookup Tables Options'!AL183,IF($E$6='Lookup Tables Options'!$D$196,'Lookup Tables Options'!AL231,"")))))</f>
        <v/>
      </c>
      <c r="AM43" s="266" t="str">
        <f>IF($E$6='Lookup Tables Options'!$D$4,'Lookup Tables Options'!AM39,IF($E$6='Lookup Tables Options'!$D$52,'Lookup Tables Options'!AM87,IF($E$6='Lookup Tables Options'!$D$100,'Lookup Tables Options'!AM135,IF($E$6='Lookup Tables Options'!$D$148,'Lookup Tables Options'!AM183,IF($E$6='Lookup Tables Options'!$D$196,'Lookup Tables Options'!AM231,"")))))</f>
        <v/>
      </c>
    </row>
    <row r="44" spans="4:39" ht="15.6">
      <c r="D44" s="267">
        <v>31</v>
      </c>
      <c r="E44" s="268" t="str">
        <f>IF($E$6='Lookup Tables Options'!$D$4,'Lookup Tables Options'!E40,IF($E$6='Lookup Tables Options'!$D$52,'Lookup Tables Options'!E88,IF($E$6='Lookup Tables Options'!$D$100,'Lookup Tables Options'!E136,IF($E$6='Lookup Tables Options'!$D$148,'Lookup Tables Options'!E184,IF($E$6='Lookup Tables Options'!$D$196,'Lookup Tables Options'!E232,"")))))</f>
        <v/>
      </c>
      <c r="F44" s="269" t="str">
        <f>IF($E$6='Lookup Tables Options'!$D$4,'Lookup Tables Options'!F40,IF($E$6='Lookup Tables Options'!$D$52,'Lookup Tables Options'!F88,IF($E$6='Lookup Tables Options'!$D$100,'Lookup Tables Options'!F136,IF($E$6='Lookup Tables Options'!$D$148,'Lookup Tables Options'!F184,IF($E$6='Lookup Tables Options'!$D$196,'Lookup Tables Options'!F232,"")))))</f>
        <v/>
      </c>
      <c r="G44" s="268" t="str">
        <f>IF($E$6='Lookup Tables Options'!$D$4,'Lookup Tables Options'!G40,IF($E$6='Lookup Tables Options'!$D$52,'Lookup Tables Options'!G88,IF($E$6='Lookup Tables Options'!$D$100,'Lookup Tables Options'!G136,IF($E$6='Lookup Tables Options'!$D$148,'Lookup Tables Options'!G184,IF($E$6='Lookup Tables Options'!$D$196,'Lookup Tables Options'!G232,"")))))</f>
        <v/>
      </c>
      <c r="H44" s="270" t="str">
        <f>IF($E$6='Lookup Tables Options'!$D$4,'Lookup Tables Options'!H40,IF($E$6='Lookup Tables Options'!$D$52,'Lookup Tables Options'!H88,IF($E$6='Lookup Tables Options'!$D$100,'Lookup Tables Options'!H136,IF($E$6='Lookup Tables Options'!$D$148,'Lookup Tables Options'!H184,IF($E$6='Lookup Tables Options'!$D$196,'Lookup Tables Options'!H232,"")))))</f>
        <v/>
      </c>
      <c r="I44" s="270" t="str">
        <f>IF($E$6='Lookup Tables Options'!$D$4,'Lookup Tables Options'!I40,IF($E$6='Lookup Tables Options'!$D$52,'Lookup Tables Options'!I88,IF($E$6='Lookup Tables Options'!$D$100,'Lookup Tables Options'!I136,IF($E$6='Lookup Tables Options'!$D$148,'Lookup Tables Options'!I184,IF($E$6='Lookup Tables Options'!$D$196,'Lookup Tables Options'!I232,"")))))</f>
        <v/>
      </c>
      <c r="J44" s="268" t="str">
        <f>IF($E$6='Lookup Tables Options'!$D$4,'Lookup Tables Options'!J40,IF($E$6='Lookup Tables Options'!$D$52,'Lookup Tables Options'!J88,IF($E$6='Lookup Tables Options'!$D$100,'Lookup Tables Options'!J136,IF($E$6='Lookup Tables Options'!$D$148,'Lookup Tables Options'!J184,IF($E$6='Lookup Tables Options'!$D$196,'Lookup Tables Options'!J232,"")))))</f>
        <v/>
      </c>
      <c r="K44" s="270" t="str">
        <f>IF($E$6='Lookup Tables Options'!$D$4,'Lookup Tables Options'!K40,IF($E$6='Lookup Tables Options'!$D$52,'Lookup Tables Options'!K88,IF($E$6='Lookup Tables Options'!$D$100,'Lookup Tables Options'!K136,IF($E$6='Lookup Tables Options'!$D$148,'Lookup Tables Options'!K184,IF($E$6='Lookup Tables Options'!$D$196,'Lookup Tables Options'!K232,"")))))</f>
        <v/>
      </c>
      <c r="L44" s="270" t="str">
        <f>IF($E$6='Lookup Tables Options'!$D$4,'Lookup Tables Options'!L40,IF($E$6='Lookup Tables Options'!$D$52,'Lookup Tables Options'!L88,IF($E$6='Lookup Tables Options'!$D$100,'Lookup Tables Options'!L136,IF($E$6='Lookup Tables Options'!$D$148,'Lookup Tables Options'!L184,IF($E$6='Lookup Tables Options'!$D$196,'Lookup Tables Options'!L232,"")))))</f>
        <v/>
      </c>
      <c r="M44" s="270" t="str">
        <f>IF($E$6='Lookup Tables Options'!$D$4,'Lookup Tables Options'!M40,IF($E$6='Lookup Tables Options'!$D$52,'Lookup Tables Options'!M88,IF($E$6='Lookup Tables Options'!$D$100,'Lookup Tables Options'!M136,IF($E$6='Lookup Tables Options'!$D$148,'Lookup Tables Options'!M184,IF($E$6='Lookup Tables Options'!$D$196,'Lookup Tables Options'!M232,"")))))</f>
        <v/>
      </c>
      <c r="N44" s="270" t="str">
        <f>IF($E$6='Lookup Tables Options'!$D$4,'Lookup Tables Options'!N40,IF($E$6='Lookup Tables Options'!$D$52,'Lookup Tables Options'!N88,IF($E$6='Lookup Tables Options'!$D$100,'Lookup Tables Options'!N136,IF($E$6='Lookup Tables Options'!$D$148,'Lookup Tables Options'!N184,IF($E$6='Lookup Tables Options'!$D$196,'Lookup Tables Options'!N232,"")))))</f>
        <v/>
      </c>
      <c r="O44" s="270" t="str">
        <f>IF($E$6='Lookup Tables Options'!$D$4,'Lookup Tables Options'!O40,IF($E$6='Lookup Tables Options'!$D$52,'Lookup Tables Options'!O88,IF($E$6='Lookup Tables Options'!$D$100,'Lookup Tables Options'!O136,IF($E$6='Lookup Tables Options'!$D$148,'Lookup Tables Options'!O184,IF($E$6='Lookup Tables Options'!$D$196,'Lookup Tables Options'!O232,"")))))</f>
        <v/>
      </c>
      <c r="P44" s="270" t="str">
        <f>IF($E$6='Lookup Tables Options'!$D$4,'Lookup Tables Options'!P40,IF($E$6='Lookup Tables Options'!$D$52,'Lookup Tables Options'!P88,IF($E$6='Lookup Tables Options'!$D$100,'Lookup Tables Options'!P136,IF($E$6='Lookup Tables Options'!$D$148,'Lookup Tables Options'!P184,IF($E$6='Lookup Tables Options'!$D$196,'Lookup Tables Options'!P232,"")))))</f>
        <v/>
      </c>
      <c r="Q44" s="270" t="str">
        <f>IF($E$6='Lookup Tables Options'!$D$4,'Lookup Tables Options'!Q40,IF($E$6='Lookup Tables Options'!$D$52,'Lookup Tables Options'!Q88,IF($E$6='Lookup Tables Options'!$D$100,'Lookup Tables Options'!Q136,IF($E$6='Lookup Tables Options'!$D$148,'Lookup Tables Options'!Q184,IF($E$6='Lookup Tables Options'!$D$196,'Lookup Tables Options'!Q232,"")))))</f>
        <v/>
      </c>
      <c r="R44" s="270" t="str">
        <f>IF($E$6='Lookup Tables Options'!$D$4,'Lookup Tables Options'!R40,IF($E$6='Lookup Tables Options'!$D$52,'Lookup Tables Options'!R88,IF($E$6='Lookup Tables Options'!$D$100,'Lookup Tables Options'!R136,IF($E$6='Lookup Tables Options'!$D$148,'Lookup Tables Options'!R184,IF($E$6='Lookup Tables Options'!$D$196,'Lookup Tables Options'!R232,"")))))</f>
        <v/>
      </c>
      <c r="S44" s="269" t="str">
        <f>IF($E$6='Lookup Tables Options'!$D$4,'Lookup Tables Options'!S40,IF($E$6='Lookup Tables Options'!$D$52,'Lookup Tables Options'!S88,IF($E$6='Lookup Tables Options'!$D$100,'Lookup Tables Options'!S136,IF($E$6='Lookup Tables Options'!$D$148,'Lookup Tables Options'!S184,IF($E$6='Lookup Tables Options'!$D$196,'Lookup Tables Options'!S232,"")))))</f>
        <v/>
      </c>
      <c r="T44" s="268" t="str">
        <f>IF($E$6='Lookup Tables Options'!$D$4,'Lookup Tables Options'!T40,IF($E$6='Lookup Tables Options'!$D$52,'Lookup Tables Options'!T88,IF($E$6='Lookup Tables Options'!$D$100,'Lookup Tables Options'!T136,IF($E$6='Lookup Tables Options'!$D$148,'Lookup Tables Options'!T184,IF($E$6='Lookup Tables Options'!$D$196,'Lookup Tables Options'!T232,"")))))</f>
        <v/>
      </c>
      <c r="U44" s="270" t="str">
        <f>IF($E$6='Lookup Tables Options'!$D$4,'Lookup Tables Options'!U40,IF($E$6='Lookup Tables Options'!$D$52,'Lookup Tables Options'!U88,IF($E$6='Lookup Tables Options'!$D$100,'Lookup Tables Options'!U136,IF($E$6='Lookup Tables Options'!$D$148,'Lookup Tables Options'!U184,IF($E$6='Lookup Tables Options'!$D$196,'Lookup Tables Options'!U232,"")))))</f>
        <v/>
      </c>
      <c r="V44" s="270" t="str">
        <f>IF($E$6='Lookup Tables Options'!$D$4,'Lookup Tables Options'!V40,IF($E$6='Lookup Tables Options'!$D$52,'Lookup Tables Options'!V88,IF($E$6='Lookup Tables Options'!$D$100,'Lookup Tables Options'!V136,IF($E$6='Lookup Tables Options'!$D$148,'Lookup Tables Options'!V184,IF($E$6='Lookup Tables Options'!$D$196,'Lookup Tables Options'!V232,"")))))</f>
        <v/>
      </c>
      <c r="W44" s="270" t="str">
        <f>IF($E$6='Lookup Tables Options'!$D$4,'Lookup Tables Options'!W40,IF($E$6='Lookup Tables Options'!$D$52,'Lookup Tables Options'!W88,IF($E$6='Lookup Tables Options'!$D$100,'Lookup Tables Options'!W136,IF($E$6='Lookup Tables Options'!$D$148,'Lookup Tables Options'!W184,IF($E$6='Lookup Tables Options'!$D$196,'Lookup Tables Options'!W232,"")))))</f>
        <v/>
      </c>
      <c r="X44" s="270" t="str">
        <f>IF($E$6='Lookup Tables Options'!$D$4,'Lookup Tables Options'!X40,IF($E$6='Lookup Tables Options'!$D$52,'Lookup Tables Options'!X88,IF($E$6='Lookup Tables Options'!$D$100,'Lookup Tables Options'!X136,IF($E$6='Lookup Tables Options'!$D$148,'Lookup Tables Options'!X184,IF($E$6='Lookup Tables Options'!$D$196,'Lookup Tables Options'!X232,"")))))</f>
        <v/>
      </c>
      <c r="Y44" s="270" t="str">
        <f>IF($E$6='Lookup Tables Options'!$D$4,'Lookup Tables Options'!Y40,IF($E$6='Lookup Tables Options'!$D$52,'Lookup Tables Options'!Y88,IF($E$6='Lookup Tables Options'!$D$100,'Lookup Tables Options'!Y136,IF($E$6='Lookup Tables Options'!$D$148,'Lookup Tables Options'!Y184,IF($E$6='Lookup Tables Options'!$D$196,'Lookup Tables Options'!Y232,"")))))</f>
        <v/>
      </c>
      <c r="Z44" s="270" t="str">
        <f>IF($E$6='Lookup Tables Options'!$D$4,'Lookup Tables Options'!Z40,IF($E$6='Lookup Tables Options'!$D$52,'Lookup Tables Options'!Z88,IF($E$6='Lookup Tables Options'!$D$100,'Lookup Tables Options'!Z136,IF($E$6='Lookup Tables Options'!$D$148,'Lookup Tables Options'!Z184,IF($E$6='Lookup Tables Options'!$D$196,'Lookup Tables Options'!Z232,"")))))</f>
        <v/>
      </c>
      <c r="AA44" s="270" t="str">
        <f>IF($E$6='Lookup Tables Options'!$D$4,'Lookup Tables Options'!AA40,IF($E$6='Lookup Tables Options'!$D$52,'Lookup Tables Options'!AA88,IF($E$6='Lookup Tables Options'!$D$100,'Lookup Tables Options'!AA136,IF($E$6='Lookup Tables Options'!$D$148,'Lookup Tables Options'!AA184,IF($E$6='Lookup Tables Options'!$D$196,'Lookup Tables Options'!AA232,"")))))</f>
        <v/>
      </c>
      <c r="AB44" s="270" t="str">
        <f>IF($E$6='Lookup Tables Options'!$D$4,'Lookup Tables Options'!AB40,IF($E$6='Lookup Tables Options'!$D$52,'Lookup Tables Options'!AB88,IF($E$6='Lookup Tables Options'!$D$100,'Lookup Tables Options'!AB136,IF($E$6='Lookup Tables Options'!$D$148,'Lookup Tables Options'!AB184,IF($E$6='Lookup Tables Options'!$D$196,'Lookup Tables Options'!AB232,"")))))</f>
        <v/>
      </c>
      <c r="AC44" s="270" t="str">
        <f>IF($E$6='Lookup Tables Options'!$D$4,'Lookup Tables Options'!AC40,IF($E$6='Lookup Tables Options'!$D$52,'Lookup Tables Options'!AC88,IF($E$6='Lookup Tables Options'!$D$100,'Lookup Tables Options'!AC136,IF($E$6='Lookup Tables Options'!$D$148,'Lookup Tables Options'!AC184,IF($E$6='Lookup Tables Options'!$D$196,'Lookup Tables Options'!AC232,"")))))</f>
        <v/>
      </c>
      <c r="AD44" s="271" t="str">
        <f>IF($E$6='Lookup Tables Options'!$D$4,'Lookup Tables Options'!AD40,IF($E$6='Lookup Tables Options'!$D$52,'Lookup Tables Options'!AD88,IF($E$6='Lookup Tables Options'!$D$100,'Lookup Tables Options'!AD136,IF($E$6='Lookup Tables Options'!$D$148,'Lookup Tables Options'!AD184,IF($E$6='Lookup Tables Options'!$D$196,'Lookup Tables Options'!AD232,"")))))</f>
        <v/>
      </c>
      <c r="AE44" s="272" t="str">
        <f>IF($E$6='Lookup Tables Options'!$D$4,'Lookup Tables Options'!AE40,IF($E$6='Lookup Tables Options'!$D$52,'Lookup Tables Options'!AE88,IF($E$6='Lookup Tables Options'!$D$100,'Lookup Tables Options'!AE136,IF($E$6='Lookup Tables Options'!$D$148,'Lookup Tables Options'!AE184,IF($E$6='Lookup Tables Options'!$D$196,'Lookup Tables Options'!AE232,"")))))</f>
        <v/>
      </c>
      <c r="AF44" s="272" t="str">
        <f>IF($E$6='Lookup Tables Options'!$D$4,'Lookup Tables Options'!AF40,IF($E$6='Lookup Tables Options'!$D$52,'Lookup Tables Options'!AF88,IF($E$6='Lookup Tables Options'!$D$100,'Lookup Tables Options'!AF136,IF($E$6='Lookup Tables Options'!$D$148,'Lookup Tables Options'!AF184,IF($E$6='Lookup Tables Options'!$D$196,'Lookup Tables Options'!AF232,"")))))</f>
        <v/>
      </c>
      <c r="AG44" s="272" t="str">
        <f>IF($E$6='Lookup Tables Options'!$D$4,'Lookup Tables Options'!AG40,IF($E$6='Lookup Tables Options'!$D$52,'Lookup Tables Options'!AG88,IF($E$6='Lookup Tables Options'!$D$100,'Lookup Tables Options'!AG136,IF($E$6='Lookup Tables Options'!$D$148,'Lookup Tables Options'!AG184,IF($E$6='Lookup Tables Options'!$D$196,'Lookup Tables Options'!AG232,"")))))</f>
        <v/>
      </c>
      <c r="AH44" s="272" t="str">
        <f>IF($E$6='Lookup Tables Options'!$D$4,'Lookup Tables Options'!AH40,IF($E$6='Lookup Tables Options'!$D$52,'Lookup Tables Options'!AH88,IF($E$6='Lookup Tables Options'!$D$100,'Lookup Tables Options'!AH136,IF($E$6='Lookup Tables Options'!$D$148,'Lookup Tables Options'!AH184,IF($E$6='Lookup Tables Options'!$D$196,'Lookup Tables Options'!AH232,"")))))</f>
        <v/>
      </c>
      <c r="AI44" s="272" t="str">
        <f>IF($E$6='Lookup Tables Options'!$D$4,'Lookup Tables Options'!AI40,IF($E$6='Lookup Tables Options'!$D$52,'Lookup Tables Options'!AI88,IF($E$6='Lookup Tables Options'!$D$100,'Lookup Tables Options'!AI136,IF($E$6='Lookup Tables Options'!$D$148,'Lookup Tables Options'!AI184,IF($E$6='Lookup Tables Options'!$D$196,'Lookup Tables Options'!AI232,"")))))</f>
        <v/>
      </c>
      <c r="AJ44" s="272" t="str">
        <f>IF($E$6='Lookup Tables Options'!$D$4,'Lookup Tables Options'!AJ40,IF($E$6='Lookup Tables Options'!$D$52,'Lookup Tables Options'!AJ88,IF($E$6='Lookup Tables Options'!$D$100,'Lookup Tables Options'!AJ136,IF($E$6='Lookup Tables Options'!$D$148,'Lookup Tables Options'!AJ184,IF($E$6='Lookup Tables Options'!$D$196,'Lookup Tables Options'!AJ232,"")))))</f>
        <v/>
      </c>
      <c r="AK44" s="272" t="str">
        <f>IF($E$6='Lookup Tables Options'!$D$4,'Lookup Tables Options'!AK40,IF($E$6='Lookup Tables Options'!$D$52,'Lookup Tables Options'!AK88,IF($E$6='Lookup Tables Options'!$D$100,'Lookup Tables Options'!AK136,IF($E$6='Lookup Tables Options'!$D$148,'Lookup Tables Options'!AK184,IF($E$6='Lookup Tables Options'!$D$196,'Lookup Tables Options'!AK232,"")))))</f>
        <v/>
      </c>
      <c r="AL44" s="272" t="str">
        <f>IF($E$6='Lookup Tables Options'!$D$4,'Lookup Tables Options'!AL40,IF($E$6='Lookup Tables Options'!$D$52,'Lookup Tables Options'!AL88,IF($E$6='Lookup Tables Options'!$D$100,'Lookup Tables Options'!AL136,IF($E$6='Lookup Tables Options'!$D$148,'Lookup Tables Options'!AL184,IF($E$6='Lookup Tables Options'!$D$196,'Lookup Tables Options'!AL232,"")))))</f>
        <v/>
      </c>
      <c r="AM44" s="273" t="str">
        <f>IF($E$6='Lookup Tables Options'!$D$4,'Lookup Tables Options'!AM40,IF($E$6='Lookup Tables Options'!$D$52,'Lookup Tables Options'!AM88,IF($E$6='Lookup Tables Options'!$D$100,'Lookup Tables Options'!AM136,IF($E$6='Lookup Tables Options'!$D$148,'Lookup Tables Options'!AM184,IF($E$6='Lookup Tables Options'!$D$196,'Lookup Tables Options'!AM232,"")))))</f>
        <v/>
      </c>
    </row>
    <row r="45" spans="4:39" ht="15.6">
      <c r="D45" s="267">
        <v>32</v>
      </c>
      <c r="E45" s="268" t="str">
        <f>IF($E$6='Lookup Tables Options'!$D$4,'Lookup Tables Options'!E41,IF($E$6='Lookup Tables Options'!$D$52,'Lookup Tables Options'!E89,IF($E$6='Lookup Tables Options'!$D$100,'Lookup Tables Options'!E137,IF($E$6='Lookup Tables Options'!$D$148,'Lookup Tables Options'!E185,IF($E$6='Lookup Tables Options'!$D$196,'Lookup Tables Options'!E233,"")))))</f>
        <v/>
      </c>
      <c r="F45" s="269" t="str">
        <f>IF($E$6='Lookup Tables Options'!$D$4,'Lookup Tables Options'!F41,IF($E$6='Lookup Tables Options'!$D$52,'Lookup Tables Options'!F89,IF($E$6='Lookup Tables Options'!$D$100,'Lookup Tables Options'!F137,IF($E$6='Lookup Tables Options'!$D$148,'Lookup Tables Options'!F185,IF($E$6='Lookup Tables Options'!$D$196,'Lookup Tables Options'!F233,"")))))</f>
        <v/>
      </c>
      <c r="G45" s="268" t="str">
        <f>IF($E$6='Lookup Tables Options'!$D$4,'Lookup Tables Options'!G41,IF($E$6='Lookup Tables Options'!$D$52,'Lookup Tables Options'!G89,IF($E$6='Lookup Tables Options'!$D$100,'Lookup Tables Options'!G137,IF($E$6='Lookup Tables Options'!$D$148,'Lookup Tables Options'!G185,IF($E$6='Lookup Tables Options'!$D$196,'Lookup Tables Options'!G233,"")))))</f>
        <v/>
      </c>
      <c r="H45" s="270" t="str">
        <f>IF($E$6='Lookup Tables Options'!$D$4,'Lookup Tables Options'!H41,IF($E$6='Lookup Tables Options'!$D$52,'Lookup Tables Options'!H89,IF($E$6='Lookup Tables Options'!$D$100,'Lookup Tables Options'!H137,IF($E$6='Lookup Tables Options'!$D$148,'Lookup Tables Options'!H185,IF($E$6='Lookup Tables Options'!$D$196,'Lookup Tables Options'!H233,"")))))</f>
        <v/>
      </c>
      <c r="I45" s="270" t="str">
        <f>IF($E$6='Lookup Tables Options'!$D$4,'Lookup Tables Options'!I41,IF($E$6='Lookup Tables Options'!$D$52,'Lookup Tables Options'!I89,IF($E$6='Lookup Tables Options'!$D$100,'Lookup Tables Options'!I137,IF($E$6='Lookup Tables Options'!$D$148,'Lookup Tables Options'!I185,IF($E$6='Lookup Tables Options'!$D$196,'Lookup Tables Options'!I233,"")))))</f>
        <v/>
      </c>
      <c r="J45" s="268" t="str">
        <f>IF($E$6='Lookup Tables Options'!$D$4,'Lookup Tables Options'!J41,IF($E$6='Lookup Tables Options'!$D$52,'Lookup Tables Options'!J89,IF($E$6='Lookup Tables Options'!$D$100,'Lookup Tables Options'!J137,IF($E$6='Lookup Tables Options'!$D$148,'Lookup Tables Options'!J185,IF($E$6='Lookup Tables Options'!$D$196,'Lookup Tables Options'!J233,"")))))</f>
        <v/>
      </c>
      <c r="K45" s="270" t="str">
        <f>IF($E$6='Lookup Tables Options'!$D$4,'Lookup Tables Options'!K41,IF($E$6='Lookup Tables Options'!$D$52,'Lookup Tables Options'!K89,IF($E$6='Lookup Tables Options'!$D$100,'Lookup Tables Options'!K137,IF($E$6='Lookup Tables Options'!$D$148,'Lookup Tables Options'!K185,IF($E$6='Lookup Tables Options'!$D$196,'Lookup Tables Options'!K233,"")))))</f>
        <v/>
      </c>
      <c r="L45" s="270" t="str">
        <f>IF($E$6='Lookup Tables Options'!$D$4,'Lookup Tables Options'!L41,IF($E$6='Lookup Tables Options'!$D$52,'Lookup Tables Options'!L89,IF($E$6='Lookup Tables Options'!$D$100,'Lookup Tables Options'!L137,IF($E$6='Lookup Tables Options'!$D$148,'Lookup Tables Options'!L185,IF($E$6='Lookup Tables Options'!$D$196,'Lookup Tables Options'!L233,"")))))</f>
        <v/>
      </c>
      <c r="M45" s="270" t="str">
        <f>IF($E$6='Lookup Tables Options'!$D$4,'Lookup Tables Options'!M41,IF($E$6='Lookup Tables Options'!$D$52,'Lookup Tables Options'!M89,IF($E$6='Lookup Tables Options'!$D$100,'Lookup Tables Options'!M137,IF($E$6='Lookup Tables Options'!$D$148,'Lookup Tables Options'!M185,IF($E$6='Lookup Tables Options'!$D$196,'Lookup Tables Options'!M233,"")))))</f>
        <v/>
      </c>
      <c r="N45" s="270" t="str">
        <f>IF($E$6='Lookup Tables Options'!$D$4,'Lookup Tables Options'!N41,IF($E$6='Lookup Tables Options'!$D$52,'Lookup Tables Options'!N89,IF($E$6='Lookup Tables Options'!$D$100,'Lookup Tables Options'!N137,IF($E$6='Lookup Tables Options'!$D$148,'Lookup Tables Options'!N185,IF($E$6='Lookup Tables Options'!$D$196,'Lookup Tables Options'!N233,"")))))</f>
        <v/>
      </c>
      <c r="O45" s="270" t="str">
        <f>IF($E$6='Lookup Tables Options'!$D$4,'Lookup Tables Options'!O41,IF($E$6='Lookup Tables Options'!$D$52,'Lookup Tables Options'!O89,IF($E$6='Lookup Tables Options'!$D$100,'Lookup Tables Options'!O137,IF($E$6='Lookup Tables Options'!$D$148,'Lookup Tables Options'!O185,IF($E$6='Lookup Tables Options'!$D$196,'Lookup Tables Options'!O233,"")))))</f>
        <v/>
      </c>
      <c r="P45" s="270" t="str">
        <f>IF($E$6='Lookup Tables Options'!$D$4,'Lookup Tables Options'!P41,IF($E$6='Lookup Tables Options'!$D$52,'Lookup Tables Options'!P89,IF($E$6='Lookup Tables Options'!$D$100,'Lookup Tables Options'!P137,IF($E$6='Lookup Tables Options'!$D$148,'Lookup Tables Options'!P185,IF($E$6='Lookup Tables Options'!$D$196,'Lookup Tables Options'!P233,"")))))</f>
        <v/>
      </c>
      <c r="Q45" s="270" t="str">
        <f>IF($E$6='Lookup Tables Options'!$D$4,'Lookup Tables Options'!Q41,IF($E$6='Lookup Tables Options'!$D$52,'Lookup Tables Options'!Q89,IF($E$6='Lookup Tables Options'!$D$100,'Lookup Tables Options'!Q137,IF($E$6='Lookup Tables Options'!$D$148,'Lookup Tables Options'!Q185,IF($E$6='Lookup Tables Options'!$D$196,'Lookup Tables Options'!Q233,"")))))</f>
        <v/>
      </c>
      <c r="R45" s="270" t="str">
        <f>IF($E$6='Lookup Tables Options'!$D$4,'Lookup Tables Options'!R41,IF($E$6='Lookup Tables Options'!$D$52,'Lookup Tables Options'!R89,IF($E$6='Lookup Tables Options'!$D$100,'Lookup Tables Options'!R137,IF($E$6='Lookup Tables Options'!$D$148,'Lookup Tables Options'!R185,IF($E$6='Lookup Tables Options'!$D$196,'Lookup Tables Options'!R233,"")))))</f>
        <v/>
      </c>
      <c r="S45" s="269" t="str">
        <f>IF($E$6='Lookup Tables Options'!$D$4,'Lookup Tables Options'!S41,IF($E$6='Lookup Tables Options'!$D$52,'Lookup Tables Options'!S89,IF($E$6='Lookup Tables Options'!$D$100,'Lookup Tables Options'!S137,IF($E$6='Lookup Tables Options'!$D$148,'Lookup Tables Options'!S185,IF($E$6='Lookup Tables Options'!$D$196,'Lookup Tables Options'!S233,"")))))</f>
        <v/>
      </c>
      <c r="T45" s="268" t="str">
        <f>IF($E$6='Lookup Tables Options'!$D$4,'Lookup Tables Options'!T41,IF($E$6='Lookup Tables Options'!$D$52,'Lookup Tables Options'!T89,IF($E$6='Lookup Tables Options'!$D$100,'Lookup Tables Options'!T137,IF($E$6='Lookup Tables Options'!$D$148,'Lookup Tables Options'!T185,IF($E$6='Lookup Tables Options'!$D$196,'Lookup Tables Options'!T233,"")))))</f>
        <v/>
      </c>
      <c r="U45" s="270" t="str">
        <f>IF($E$6='Lookup Tables Options'!$D$4,'Lookup Tables Options'!U41,IF($E$6='Lookup Tables Options'!$D$52,'Lookup Tables Options'!U89,IF($E$6='Lookup Tables Options'!$D$100,'Lookup Tables Options'!U137,IF($E$6='Lookup Tables Options'!$D$148,'Lookup Tables Options'!U185,IF($E$6='Lookup Tables Options'!$D$196,'Lookup Tables Options'!U233,"")))))</f>
        <v/>
      </c>
      <c r="V45" s="270" t="str">
        <f>IF($E$6='Lookup Tables Options'!$D$4,'Lookup Tables Options'!V41,IF($E$6='Lookup Tables Options'!$D$52,'Lookup Tables Options'!V89,IF($E$6='Lookup Tables Options'!$D$100,'Lookup Tables Options'!V137,IF($E$6='Lookup Tables Options'!$D$148,'Lookup Tables Options'!V185,IF($E$6='Lookup Tables Options'!$D$196,'Lookup Tables Options'!V233,"")))))</f>
        <v/>
      </c>
      <c r="W45" s="270" t="str">
        <f>IF($E$6='Lookup Tables Options'!$D$4,'Lookup Tables Options'!W41,IF($E$6='Lookup Tables Options'!$D$52,'Lookup Tables Options'!W89,IF($E$6='Lookup Tables Options'!$D$100,'Lookup Tables Options'!W137,IF($E$6='Lookup Tables Options'!$D$148,'Lookup Tables Options'!W185,IF($E$6='Lookup Tables Options'!$D$196,'Lookup Tables Options'!W233,"")))))</f>
        <v/>
      </c>
      <c r="X45" s="270" t="str">
        <f>IF($E$6='Lookup Tables Options'!$D$4,'Lookup Tables Options'!X41,IF($E$6='Lookup Tables Options'!$D$52,'Lookup Tables Options'!X89,IF($E$6='Lookup Tables Options'!$D$100,'Lookup Tables Options'!X137,IF($E$6='Lookup Tables Options'!$D$148,'Lookup Tables Options'!X185,IF($E$6='Lookup Tables Options'!$D$196,'Lookup Tables Options'!X233,"")))))</f>
        <v/>
      </c>
      <c r="Y45" s="270" t="str">
        <f>IF($E$6='Lookup Tables Options'!$D$4,'Lookup Tables Options'!Y41,IF($E$6='Lookup Tables Options'!$D$52,'Lookup Tables Options'!Y89,IF($E$6='Lookup Tables Options'!$D$100,'Lookup Tables Options'!Y137,IF($E$6='Lookup Tables Options'!$D$148,'Lookup Tables Options'!Y185,IF($E$6='Lookup Tables Options'!$D$196,'Lookup Tables Options'!Y233,"")))))</f>
        <v/>
      </c>
      <c r="Z45" s="270" t="str">
        <f>IF($E$6='Lookup Tables Options'!$D$4,'Lookup Tables Options'!Z41,IF($E$6='Lookup Tables Options'!$D$52,'Lookup Tables Options'!Z89,IF($E$6='Lookup Tables Options'!$D$100,'Lookup Tables Options'!Z137,IF($E$6='Lookup Tables Options'!$D$148,'Lookup Tables Options'!Z185,IF($E$6='Lookup Tables Options'!$D$196,'Lookup Tables Options'!Z233,"")))))</f>
        <v/>
      </c>
      <c r="AA45" s="270" t="str">
        <f>IF($E$6='Lookup Tables Options'!$D$4,'Lookup Tables Options'!AA41,IF($E$6='Lookup Tables Options'!$D$52,'Lookup Tables Options'!AA89,IF($E$6='Lookup Tables Options'!$D$100,'Lookup Tables Options'!AA137,IF($E$6='Lookup Tables Options'!$D$148,'Lookup Tables Options'!AA185,IF($E$6='Lookup Tables Options'!$D$196,'Lookup Tables Options'!AA233,"")))))</f>
        <v/>
      </c>
      <c r="AB45" s="270" t="str">
        <f>IF($E$6='Lookup Tables Options'!$D$4,'Lookup Tables Options'!AB41,IF($E$6='Lookup Tables Options'!$D$52,'Lookup Tables Options'!AB89,IF($E$6='Lookup Tables Options'!$D$100,'Lookup Tables Options'!AB137,IF($E$6='Lookup Tables Options'!$D$148,'Lookup Tables Options'!AB185,IF($E$6='Lookup Tables Options'!$D$196,'Lookup Tables Options'!AB233,"")))))</f>
        <v/>
      </c>
      <c r="AC45" s="270" t="str">
        <f>IF($E$6='Lookup Tables Options'!$D$4,'Lookup Tables Options'!AC41,IF($E$6='Lookup Tables Options'!$D$52,'Lookup Tables Options'!AC89,IF($E$6='Lookup Tables Options'!$D$100,'Lookup Tables Options'!AC137,IF($E$6='Lookup Tables Options'!$D$148,'Lookup Tables Options'!AC185,IF($E$6='Lookup Tables Options'!$D$196,'Lookup Tables Options'!AC233,"")))))</f>
        <v/>
      </c>
      <c r="AD45" s="268" t="str">
        <f>IF($E$6='Lookup Tables Options'!$D$4,'Lookup Tables Options'!AD41,IF($E$6='Lookup Tables Options'!$D$52,'Lookup Tables Options'!AD89,IF($E$6='Lookup Tables Options'!$D$100,'Lookup Tables Options'!AD137,IF($E$6='Lookup Tables Options'!$D$148,'Lookup Tables Options'!AD185,IF($E$6='Lookup Tables Options'!$D$196,'Lookup Tables Options'!AD233,"")))))</f>
        <v/>
      </c>
      <c r="AE45" s="270" t="str">
        <f>IF($E$6='Lookup Tables Options'!$D$4,'Lookup Tables Options'!AE41,IF($E$6='Lookup Tables Options'!$D$52,'Lookup Tables Options'!AE89,IF($E$6='Lookup Tables Options'!$D$100,'Lookup Tables Options'!AE137,IF($E$6='Lookup Tables Options'!$D$148,'Lookup Tables Options'!AE185,IF($E$6='Lookup Tables Options'!$D$196,'Lookup Tables Options'!AE233,"")))))</f>
        <v/>
      </c>
      <c r="AF45" s="270" t="str">
        <f>IF($E$6='Lookup Tables Options'!$D$4,'Lookup Tables Options'!AF41,IF($E$6='Lookup Tables Options'!$D$52,'Lookup Tables Options'!AF89,IF($E$6='Lookup Tables Options'!$D$100,'Lookup Tables Options'!AF137,IF($E$6='Lookup Tables Options'!$D$148,'Lookup Tables Options'!AF185,IF($E$6='Lookup Tables Options'!$D$196,'Lookup Tables Options'!AF233,"")))))</f>
        <v/>
      </c>
      <c r="AG45" s="270" t="str">
        <f>IF($E$6='Lookup Tables Options'!$D$4,'Lookup Tables Options'!AG41,IF($E$6='Lookup Tables Options'!$D$52,'Lookup Tables Options'!AG89,IF($E$6='Lookup Tables Options'!$D$100,'Lookup Tables Options'!AG137,IF($E$6='Lookup Tables Options'!$D$148,'Lookup Tables Options'!AG185,IF($E$6='Lookup Tables Options'!$D$196,'Lookup Tables Options'!AG233,"")))))</f>
        <v/>
      </c>
      <c r="AH45" s="270" t="str">
        <f>IF($E$6='Lookup Tables Options'!$D$4,'Lookup Tables Options'!AH41,IF($E$6='Lookup Tables Options'!$D$52,'Lookup Tables Options'!AH89,IF($E$6='Lookup Tables Options'!$D$100,'Lookup Tables Options'!AH137,IF($E$6='Lookup Tables Options'!$D$148,'Lookup Tables Options'!AH185,IF($E$6='Lookup Tables Options'!$D$196,'Lookup Tables Options'!AH233,"")))))</f>
        <v/>
      </c>
      <c r="AI45" s="270" t="str">
        <f>IF($E$6='Lookup Tables Options'!$D$4,'Lookup Tables Options'!AI41,IF($E$6='Lookup Tables Options'!$D$52,'Lookup Tables Options'!AI89,IF($E$6='Lookup Tables Options'!$D$100,'Lookup Tables Options'!AI137,IF($E$6='Lookup Tables Options'!$D$148,'Lookup Tables Options'!AI185,IF($E$6='Lookup Tables Options'!$D$196,'Lookup Tables Options'!AI233,"")))))</f>
        <v/>
      </c>
      <c r="AJ45" s="270" t="str">
        <f>IF($E$6='Lookup Tables Options'!$D$4,'Lookup Tables Options'!AJ41,IF($E$6='Lookup Tables Options'!$D$52,'Lookup Tables Options'!AJ89,IF($E$6='Lookup Tables Options'!$D$100,'Lookup Tables Options'!AJ137,IF($E$6='Lookup Tables Options'!$D$148,'Lookup Tables Options'!AJ185,IF($E$6='Lookup Tables Options'!$D$196,'Lookup Tables Options'!AJ233,"")))))</f>
        <v/>
      </c>
      <c r="AK45" s="270" t="str">
        <f>IF($E$6='Lookup Tables Options'!$D$4,'Lookup Tables Options'!AK41,IF($E$6='Lookup Tables Options'!$D$52,'Lookup Tables Options'!AK89,IF($E$6='Lookup Tables Options'!$D$100,'Lookup Tables Options'!AK137,IF($E$6='Lookup Tables Options'!$D$148,'Lookup Tables Options'!AK185,IF($E$6='Lookup Tables Options'!$D$196,'Lookup Tables Options'!AK233,"")))))</f>
        <v/>
      </c>
      <c r="AL45" s="270" t="str">
        <f>IF($E$6='Lookup Tables Options'!$D$4,'Lookup Tables Options'!AL41,IF($E$6='Lookup Tables Options'!$D$52,'Lookup Tables Options'!AL89,IF($E$6='Lookup Tables Options'!$D$100,'Lookup Tables Options'!AL137,IF($E$6='Lookup Tables Options'!$D$148,'Lookup Tables Options'!AL185,IF($E$6='Lookup Tables Options'!$D$196,'Lookup Tables Options'!AL233,"")))))</f>
        <v/>
      </c>
      <c r="AM45" s="269" t="str">
        <f>IF($E$6='Lookup Tables Options'!$D$4,'Lookup Tables Options'!AM41,IF($E$6='Lookup Tables Options'!$D$52,'Lookup Tables Options'!AM89,IF($E$6='Lookup Tables Options'!$D$100,'Lookup Tables Options'!AM137,IF($E$6='Lookup Tables Options'!$D$148,'Lookup Tables Options'!AM185,IF($E$6='Lookup Tables Options'!$D$196,'Lookup Tables Options'!AM233,"")))))</f>
        <v/>
      </c>
    </row>
    <row r="46" spans="4:39" ht="15.6">
      <c r="D46" s="267">
        <v>33</v>
      </c>
      <c r="E46" s="268" t="str">
        <f>IF($E$6='Lookup Tables Options'!$D$4,'Lookup Tables Options'!E42,IF($E$6='Lookup Tables Options'!$D$52,'Lookup Tables Options'!E90,IF($E$6='Lookup Tables Options'!$D$100,'Lookup Tables Options'!E138,IF($E$6='Lookup Tables Options'!$D$148,'Lookup Tables Options'!E186,IF($E$6='Lookup Tables Options'!$D$196,'Lookup Tables Options'!E234,"")))))</f>
        <v/>
      </c>
      <c r="F46" s="269" t="str">
        <f>IF($E$6='Lookup Tables Options'!$D$4,'Lookup Tables Options'!F42,IF($E$6='Lookup Tables Options'!$D$52,'Lookup Tables Options'!F90,IF($E$6='Lookup Tables Options'!$D$100,'Lookup Tables Options'!F138,IF($E$6='Lookup Tables Options'!$D$148,'Lookup Tables Options'!F186,IF($E$6='Lookup Tables Options'!$D$196,'Lookup Tables Options'!F234,"")))))</f>
        <v/>
      </c>
      <c r="G46" s="268" t="str">
        <f>IF($E$6='Lookup Tables Options'!$D$4,'Lookup Tables Options'!G42,IF($E$6='Lookup Tables Options'!$D$52,'Lookup Tables Options'!G90,IF($E$6='Lookup Tables Options'!$D$100,'Lookup Tables Options'!G138,IF($E$6='Lookup Tables Options'!$D$148,'Lookup Tables Options'!G186,IF($E$6='Lookup Tables Options'!$D$196,'Lookup Tables Options'!G234,"")))))</f>
        <v/>
      </c>
      <c r="H46" s="270" t="str">
        <f>IF($E$6='Lookup Tables Options'!$D$4,'Lookup Tables Options'!H42,IF($E$6='Lookup Tables Options'!$D$52,'Lookup Tables Options'!H90,IF($E$6='Lookup Tables Options'!$D$100,'Lookup Tables Options'!H138,IF($E$6='Lookup Tables Options'!$D$148,'Lookup Tables Options'!H186,IF($E$6='Lookup Tables Options'!$D$196,'Lookup Tables Options'!H234,"")))))</f>
        <v/>
      </c>
      <c r="I46" s="270" t="str">
        <f>IF($E$6='Lookup Tables Options'!$D$4,'Lookup Tables Options'!I42,IF($E$6='Lookup Tables Options'!$D$52,'Lookup Tables Options'!I90,IF($E$6='Lookup Tables Options'!$D$100,'Lookup Tables Options'!I138,IF($E$6='Lookup Tables Options'!$D$148,'Lookup Tables Options'!I186,IF($E$6='Lookup Tables Options'!$D$196,'Lookup Tables Options'!I234,"")))))</f>
        <v/>
      </c>
      <c r="J46" s="268" t="str">
        <f>IF($E$6='Lookup Tables Options'!$D$4,'Lookup Tables Options'!J42,IF($E$6='Lookup Tables Options'!$D$52,'Lookup Tables Options'!J90,IF($E$6='Lookup Tables Options'!$D$100,'Lookup Tables Options'!J138,IF($E$6='Lookup Tables Options'!$D$148,'Lookup Tables Options'!J186,IF($E$6='Lookup Tables Options'!$D$196,'Lookup Tables Options'!J234,"")))))</f>
        <v/>
      </c>
      <c r="K46" s="270" t="str">
        <f>IF($E$6='Lookup Tables Options'!$D$4,'Lookup Tables Options'!K42,IF($E$6='Lookup Tables Options'!$D$52,'Lookup Tables Options'!K90,IF($E$6='Lookup Tables Options'!$D$100,'Lookup Tables Options'!K138,IF($E$6='Lookup Tables Options'!$D$148,'Lookup Tables Options'!K186,IF($E$6='Lookup Tables Options'!$D$196,'Lookup Tables Options'!K234,"")))))</f>
        <v/>
      </c>
      <c r="L46" s="270" t="str">
        <f>IF($E$6='Lookup Tables Options'!$D$4,'Lookup Tables Options'!L42,IF($E$6='Lookup Tables Options'!$D$52,'Lookup Tables Options'!L90,IF($E$6='Lookup Tables Options'!$D$100,'Lookup Tables Options'!L138,IF($E$6='Lookup Tables Options'!$D$148,'Lookup Tables Options'!L186,IF($E$6='Lookup Tables Options'!$D$196,'Lookup Tables Options'!L234,"")))))</f>
        <v/>
      </c>
      <c r="M46" s="270" t="str">
        <f>IF($E$6='Lookup Tables Options'!$D$4,'Lookup Tables Options'!M42,IF($E$6='Lookup Tables Options'!$D$52,'Lookup Tables Options'!M90,IF($E$6='Lookup Tables Options'!$D$100,'Lookup Tables Options'!M138,IF($E$6='Lookup Tables Options'!$D$148,'Lookup Tables Options'!M186,IF($E$6='Lookup Tables Options'!$D$196,'Lookup Tables Options'!M234,"")))))</f>
        <v/>
      </c>
      <c r="N46" s="270" t="str">
        <f>IF($E$6='Lookup Tables Options'!$D$4,'Lookup Tables Options'!N42,IF($E$6='Lookup Tables Options'!$D$52,'Lookup Tables Options'!N90,IF($E$6='Lookup Tables Options'!$D$100,'Lookup Tables Options'!N138,IF($E$6='Lookup Tables Options'!$D$148,'Lookup Tables Options'!N186,IF($E$6='Lookup Tables Options'!$D$196,'Lookup Tables Options'!N234,"")))))</f>
        <v/>
      </c>
      <c r="O46" s="270" t="str">
        <f>IF($E$6='Lookup Tables Options'!$D$4,'Lookup Tables Options'!O42,IF($E$6='Lookup Tables Options'!$D$52,'Lookup Tables Options'!O90,IF($E$6='Lookup Tables Options'!$D$100,'Lookup Tables Options'!O138,IF($E$6='Lookup Tables Options'!$D$148,'Lookup Tables Options'!O186,IF($E$6='Lookup Tables Options'!$D$196,'Lookup Tables Options'!O234,"")))))</f>
        <v/>
      </c>
      <c r="P46" s="270" t="str">
        <f>IF($E$6='Lookup Tables Options'!$D$4,'Lookup Tables Options'!P42,IF($E$6='Lookup Tables Options'!$D$52,'Lookup Tables Options'!P90,IF($E$6='Lookup Tables Options'!$D$100,'Lookup Tables Options'!P138,IF($E$6='Lookup Tables Options'!$D$148,'Lookup Tables Options'!P186,IF($E$6='Lookup Tables Options'!$D$196,'Lookup Tables Options'!P234,"")))))</f>
        <v/>
      </c>
      <c r="Q46" s="270" t="str">
        <f>IF($E$6='Lookup Tables Options'!$D$4,'Lookup Tables Options'!Q42,IF($E$6='Lookup Tables Options'!$D$52,'Lookup Tables Options'!Q90,IF($E$6='Lookup Tables Options'!$D$100,'Lookup Tables Options'!Q138,IF($E$6='Lookup Tables Options'!$D$148,'Lookup Tables Options'!Q186,IF($E$6='Lookup Tables Options'!$D$196,'Lookup Tables Options'!Q234,"")))))</f>
        <v/>
      </c>
      <c r="R46" s="270" t="str">
        <f>IF($E$6='Lookup Tables Options'!$D$4,'Lookup Tables Options'!R42,IF($E$6='Lookup Tables Options'!$D$52,'Lookup Tables Options'!R90,IF($E$6='Lookup Tables Options'!$D$100,'Lookup Tables Options'!R138,IF($E$6='Lookup Tables Options'!$D$148,'Lookup Tables Options'!R186,IF($E$6='Lookup Tables Options'!$D$196,'Lookup Tables Options'!R234,"")))))</f>
        <v/>
      </c>
      <c r="S46" s="269" t="str">
        <f>IF($E$6='Lookup Tables Options'!$D$4,'Lookup Tables Options'!S42,IF($E$6='Lookup Tables Options'!$D$52,'Lookup Tables Options'!S90,IF($E$6='Lookup Tables Options'!$D$100,'Lookup Tables Options'!S138,IF($E$6='Lookup Tables Options'!$D$148,'Lookup Tables Options'!S186,IF($E$6='Lookup Tables Options'!$D$196,'Lookup Tables Options'!S234,"")))))</f>
        <v/>
      </c>
      <c r="T46" s="268" t="str">
        <f>IF($E$6='Lookup Tables Options'!$D$4,'Lookup Tables Options'!T42,IF($E$6='Lookup Tables Options'!$D$52,'Lookup Tables Options'!T90,IF($E$6='Lookup Tables Options'!$D$100,'Lookup Tables Options'!T138,IF($E$6='Lookup Tables Options'!$D$148,'Lookup Tables Options'!T186,IF($E$6='Lookup Tables Options'!$D$196,'Lookup Tables Options'!T234,"")))))</f>
        <v/>
      </c>
      <c r="U46" s="270" t="str">
        <f>IF($E$6='Lookup Tables Options'!$D$4,'Lookup Tables Options'!U42,IF($E$6='Lookup Tables Options'!$D$52,'Lookup Tables Options'!U90,IF($E$6='Lookup Tables Options'!$D$100,'Lookup Tables Options'!U138,IF($E$6='Lookup Tables Options'!$D$148,'Lookup Tables Options'!U186,IF($E$6='Lookup Tables Options'!$D$196,'Lookup Tables Options'!U234,"")))))</f>
        <v/>
      </c>
      <c r="V46" s="270" t="str">
        <f>IF($E$6='Lookup Tables Options'!$D$4,'Lookup Tables Options'!V42,IF($E$6='Lookup Tables Options'!$D$52,'Lookup Tables Options'!V90,IF($E$6='Lookup Tables Options'!$D$100,'Lookup Tables Options'!V138,IF($E$6='Lookup Tables Options'!$D$148,'Lookup Tables Options'!V186,IF($E$6='Lookup Tables Options'!$D$196,'Lookup Tables Options'!V234,"")))))</f>
        <v/>
      </c>
      <c r="W46" s="270" t="str">
        <f>IF($E$6='Lookup Tables Options'!$D$4,'Lookup Tables Options'!W42,IF($E$6='Lookup Tables Options'!$D$52,'Lookup Tables Options'!W90,IF($E$6='Lookup Tables Options'!$D$100,'Lookup Tables Options'!W138,IF($E$6='Lookup Tables Options'!$D$148,'Lookup Tables Options'!W186,IF($E$6='Lookup Tables Options'!$D$196,'Lookup Tables Options'!W234,"")))))</f>
        <v/>
      </c>
      <c r="X46" s="270" t="str">
        <f>IF($E$6='Lookup Tables Options'!$D$4,'Lookup Tables Options'!X42,IF($E$6='Lookup Tables Options'!$D$52,'Lookup Tables Options'!X90,IF($E$6='Lookup Tables Options'!$D$100,'Lookup Tables Options'!X138,IF($E$6='Lookup Tables Options'!$D$148,'Lookup Tables Options'!X186,IF($E$6='Lookup Tables Options'!$D$196,'Lookup Tables Options'!X234,"")))))</f>
        <v/>
      </c>
      <c r="Y46" s="270" t="str">
        <f>IF($E$6='Lookup Tables Options'!$D$4,'Lookup Tables Options'!Y42,IF($E$6='Lookup Tables Options'!$D$52,'Lookup Tables Options'!Y90,IF($E$6='Lookup Tables Options'!$D$100,'Lookup Tables Options'!Y138,IF($E$6='Lookup Tables Options'!$D$148,'Lookup Tables Options'!Y186,IF($E$6='Lookup Tables Options'!$D$196,'Lookup Tables Options'!Y234,"")))))</f>
        <v/>
      </c>
      <c r="Z46" s="270" t="str">
        <f>IF($E$6='Lookup Tables Options'!$D$4,'Lookup Tables Options'!Z42,IF($E$6='Lookup Tables Options'!$D$52,'Lookup Tables Options'!Z90,IF($E$6='Lookup Tables Options'!$D$100,'Lookup Tables Options'!Z138,IF($E$6='Lookup Tables Options'!$D$148,'Lookup Tables Options'!Z186,IF($E$6='Lookup Tables Options'!$D$196,'Lookup Tables Options'!Z234,"")))))</f>
        <v/>
      </c>
      <c r="AA46" s="270" t="str">
        <f>IF($E$6='Lookup Tables Options'!$D$4,'Lookup Tables Options'!AA42,IF($E$6='Lookup Tables Options'!$D$52,'Lookup Tables Options'!AA90,IF($E$6='Lookup Tables Options'!$D$100,'Lookup Tables Options'!AA138,IF($E$6='Lookup Tables Options'!$D$148,'Lookup Tables Options'!AA186,IF($E$6='Lookup Tables Options'!$D$196,'Lookup Tables Options'!AA234,"")))))</f>
        <v/>
      </c>
      <c r="AB46" s="270" t="str">
        <f>IF($E$6='Lookup Tables Options'!$D$4,'Lookup Tables Options'!AB42,IF($E$6='Lookup Tables Options'!$D$52,'Lookup Tables Options'!AB90,IF($E$6='Lookup Tables Options'!$D$100,'Lookup Tables Options'!AB138,IF($E$6='Lookup Tables Options'!$D$148,'Lookup Tables Options'!AB186,IF($E$6='Lookup Tables Options'!$D$196,'Lookup Tables Options'!AB234,"")))))</f>
        <v/>
      </c>
      <c r="AC46" s="270" t="str">
        <f>IF($E$6='Lookup Tables Options'!$D$4,'Lookup Tables Options'!AC42,IF($E$6='Lookup Tables Options'!$D$52,'Lookup Tables Options'!AC90,IF($E$6='Lookup Tables Options'!$D$100,'Lookup Tables Options'!AC138,IF($E$6='Lookup Tables Options'!$D$148,'Lookup Tables Options'!AC186,IF($E$6='Lookup Tables Options'!$D$196,'Lookup Tables Options'!AC234,"")))))</f>
        <v/>
      </c>
      <c r="AD46" s="268" t="str">
        <f>IF($E$6='Lookup Tables Options'!$D$4,'Lookup Tables Options'!AD42,IF($E$6='Lookup Tables Options'!$D$52,'Lookup Tables Options'!AD90,IF($E$6='Lookup Tables Options'!$D$100,'Lookup Tables Options'!AD138,IF($E$6='Lookup Tables Options'!$D$148,'Lookup Tables Options'!AD186,IF($E$6='Lookup Tables Options'!$D$196,'Lookup Tables Options'!AD234,"")))))</f>
        <v/>
      </c>
      <c r="AE46" s="270" t="str">
        <f>IF($E$6='Lookup Tables Options'!$D$4,'Lookup Tables Options'!AE42,IF($E$6='Lookup Tables Options'!$D$52,'Lookup Tables Options'!AE90,IF($E$6='Lookup Tables Options'!$D$100,'Lookup Tables Options'!AE138,IF($E$6='Lookup Tables Options'!$D$148,'Lookup Tables Options'!AE186,IF($E$6='Lookup Tables Options'!$D$196,'Lookup Tables Options'!AE234,"")))))</f>
        <v/>
      </c>
      <c r="AF46" s="270" t="str">
        <f>IF($E$6='Lookup Tables Options'!$D$4,'Lookup Tables Options'!AF42,IF($E$6='Lookup Tables Options'!$D$52,'Lookup Tables Options'!AF90,IF($E$6='Lookup Tables Options'!$D$100,'Lookup Tables Options'!AF138,IF($E$6='Lookup Tables Options'!$D$148,'Lookup Tables Options'!AF186,IF($E$6='Lookup Tables Options'!$D$196,'Lookup Tables Options'!AF234,"")))))</f>
        <v/>
      </c>
      <c r="AG46" s="270" t="str">
        <f>IF($E$6='Lookup Tables Options'!$D$4,'Lookup Tables Options'!AG42,IF($E$6='Lookup Tables Options'!$D$52,'Lookup Tables Options'!AG90,IF($E$6='Lookup Tables Options'!$D$100,'Lookup Tables Options'!AG138,IF($E$6='Lookup Tables Options'!$D$148,'Lookup Tables Options'!AG186,IF($E$6='Lookup Tables Options'!$D$196,'Lookup Tables Options'!AG234,"")))))</f>
        <v/>
      </c>
      <c r="AH46" s="270" t="str">
        <f>IF($E$6='Lookup Tables Options'!$D$4,'Lookup Tables Options'!AH42,IF($E$6='Lookup Tables Options'!$D$52,'Lookup Tables Options'!AH90,IF($E$6='Lookup Tables Options'!$D$100,'Lookup Tables Options'!AH138,IF($E$6='Lookup Tables Options'!$D$148,'Lookup Tables Options'!AH186,IF($E$6='Lookup Tables Options'!$D$196,'Lookup Tables Options'!AH234,"")))))</f>
        <v/>
      </c>
      <c r="AI46" s="270" t="str">
        <f>IF($E$6='Lookup Tables Options'!$D$4,'Lookup Tables Options'!AI42,IF($E$6='Lookup Tables Options'!$D$52,'Lookup Tables Options'!AI90,IF($E$6='Lookup Tables Options'!$D$100,'Lookup Tables Options'!AI138,IF($E$6='Lookup Tables Options'!$D$148,'Lookup Tables Options'!AI186,IF($E$6='Lookup Tables Options'!$D$196,'Lookup Tables Options'!AI234,"")))))</f>
        <v/>
      </c>
      <c r="AJ46" s="270" t="str">
        <f>IF($E$6='Lookup Tables Options'!$D$4,'Lookup Tables Options'!AJ42,IF($E$6='Lookup Tables Options'!$D$52,'Lookup Tables Options'!AJ90,IF($E$6='Lookup Tables Options'!$D$100,'Lookup Tables Options'!AJ138,IF($E$6='Lookup Tables Options'!$D$148,'Lookup Tables Options'!AJ186,IF($E$6='Lookup Tables Options'!$D$196,'Lookup Tables Options'!AJ234,"")))))</f>
        <v/>
      </c>
      <c r="AK46" s="270" t="str">
        <f>IF($E$6='Lookup Tables Options'!$D$4,'Lookup Tables Options'!AK42,IF($E$6='Lookup Tables Options'!$D$52,'Lookup Tables Options'!AK90,IF($E$6='Lookup Tables Options'!$D$100,'Lookup Tables Options'!AK138,IF($E$6='Lookup Tables Options'!$D$148,'Lookup Tables Options'!AK186,IF($E$6='Lookup Tables Options'!$D$196,'Lookup Tables Options'!AK234,"")))))</f>
        <v/>
      </c>
      <c r="AL46" s="270" t="str">
        <f>IF($E$6='Lookup Tables Options'!$D$4,'Lookup Tables Options'!AL42,IF($E$6='Lookup Tables Options'!$D$52,'Lookup Tables Options'!AL90,IF($E$6='Lookup Tables Options'!$D$100,'Lookup Tables Options'!AL138,IF($E$6='Lookup Tables Options'!$D$148,'Lookup Tables Options'!AL186,IF($E$6='Lookup Tables Options'!$D$196,'Lookup Tables Options'!AL234,"")))))</f>
        <v/>
      </c>
      <c r="AM46" s="269" t="str">
        <f>IF($E$6='Lookup Tables Options'!$D$4,'Lookup Tables Options'!AM42,IF($E$6='Lookup Tables Options'!$D$52,'Lookup Tables Options'!AM90,IF($E$6='Lookup Tables Options'!$D$100,'Lookup Tables Options'!AM138,IF($E$6='Lookup Tables Options'!$D$148,'Lookup Tables Options'!AM186,IF($E$6='Lookup Tables Options'!$D$196,'Lookup Tables Options'!AM234,"")))))</f>
        <v/>
      </c>
    </row>
    <row r="47" spans="4:39" ht="15.6">
      <c r="D47" s="267">
        <v>34</v>
      </c>
      <c r="E47" s="268" t="str">
        <f>IF($E$6='Lookup Tables Options'!$D$4,'Lookup Tables Options'!E43,IF($E$6='Lookup Tables Options'!$D$52,'Lookup Tables Options'!E91,IF($E$6='Lookup Tables Options'!$D$100,'Lookup Tables Options'!E139,IF($E$6='Lookup Tables Options'!$D$148,'Lookup Tables Options'!E187,IF($E$6='Lookup Tables Options'!$D$196,'Lookup Tables Options'!E235,"")))))</f>
        <v/>
      </c>
      <c r="F47" s="269" t="str">
        <f>IF($E$6='Lookup Tables Options'!$D$4,'Lookup Tables Options'!F43,IF($E$6='Lookup Tables Options'!$D$52,'Lookup Tables Options'!F91,IF($E$6='Lookup Tables Options'!$D$100,'Lookup Tables Options'!F139,IF($E$6='Lookup Tables Options'!$D$148,'Lookup Tables Options'!F187,IF($E$6='Lookup Tables Options'!$D$196,'Lookup Tables Options'!F235,"")))))</f>
        <v/>
      </c>
      <c r="G47" s="268" t="str">
        <f>IF($E$6='Lookup Tables Options'!$D$4,'Lookup Tables Options'!G43,IF($E$6='Lookup Tables Options'!$D$52,'Lookup Tables Options'!G91,IF($E$6='Lookup Tables Options'!$D$100,'Lookup Tables Options'!G139,IF($E$6='Lookup Tables Options'!$D$148,'Lookup Tables Options'!G187,IF($E$6='Lookup Tables Options'!$D$196,'Lookup Tables Options'!G235,"")))))</f>
        <v/>
      </c>
      <c r="H47" s="270" t="str">
        <f>IF($E$6='Lookup Tables Options'!$D$4,'Lookup Tables Options'!H43,IF($E$6='Lookup Tables Options'!$D$52,'Lookup Tables Options'!H91,IF($E$6='Lookup Tables Options'!$D$100,'Lookup Tables Options'!H139,IF($E$6='Lookup Tables Options'!$D$148,'Lookup Tables Options'!H187,IF($E$6='Lookup Tables Options'!$D$196,'Lookup Tables Options'!H235,"")))))</f>
        <v/>
      </c>
      <c r="I47" s="270" t="str">
        <f>IF($E$6='Lookup Tables Options'!$D$4,'Lookup Tables Options'!I43,IF($E$6='Lookup Tables Options'!$D$52,'Lookup Tables Options'!I91,IF($E$6='Lookup Tables Options'!$D$100,'Lookup Tables Options'!I139,IF($E$6='Lookup Tables Options'!$D$148,'Lookup Tables Options'!I187,IF($E$6='Lookup Tables Options'!$D$196,'Lookup Tables Options'!I235,"")))))</f>
        <v/>
      </c>
      <c r="J47" s="268" t="str">
        <f>IF($E$6='Lookup Tables Options'!$D$4,'Lookup Tables Options'!J43,IF($E$6='Lookup Tables Options'!$D$52,'Lookup Tables Options'!J91,IF($E$6='Lookup Tables Options'!$D$100,'Lookup Tables Options'!J139,IF($E$6='Lookup Tables Options'!$D$148,'Lookup Tables Options'!J187,IF($E$6='Lookup Tables Options'!$D$196,'Lookup Tables Options'!J235,"")))))</f>
        <v/>
      </c>
      <c r="K47" s="270" t="str">
        <f>IF($E$6='Lookup Tables Options'!$D$4,'Lookup Tables Options'!K43,IF($E$6='Lookup Tables Options'!$D$52,'Lookup Tables Options'!K91,IF($E$6='Lookup Tables Options'!$D$100,'Lookup Tables Options'!K139,IF($E$6='Lookup Tables Options'!$D$148,'Lookup Tables Options'!K187,IF($E$6='Lookup Tables Options'!$D$196,'Lookup Tables Options'!K235,"")))))</f>
        <v/>
      </c>
      <c r="L47" s="270" t="str">
        <f>IF($E$6='Lookup Tables Options'!$D$4,'Lookup Tables Options'!L43,IF($E$6='Lookup Tables Options'!$D$52,'Lookup Tables Options'!L91,IF($E$6='Lookup Tables Options'!$D$100,'Lookup Tables Options'!L139,IF($E$6='Lookup Tables Options'!$D$148,'Lookup Tables Options'!L187,IF($E$6='Lookup Tables Options'!$D$196,'Lookup Tables Options'!L235,"")))))</f>
        <v/>
      </c>
      <c r="M47" s="270" t="str">
        <f>IF($E$6='Lookup Tables Options'!$D$4,'Lookup Tables Options'!M43,IF($E$6='Lookup Tables Options'!$D$52,'Lookup Tables Options'!M91,IF($E$6='Lookup Tables Options'!$D$100,'Lookup Tables Options'!M139,IF($E$6='Lookup Tables Options'!$D$148,'Lookup Tables Options'!M187,IF($E$6='Lookup Tables Options'!$D$196,'Lookup Tables Options'!M235,"")))))</f>
        <v/>
      </c>
      <c r="N47" s="270" t="str">
        <f>IF($E$6='Lookup Tables Options'!$D$4,'Lookup Tables Options'!N43,IF($E$6='Lookup Tables Options'!$D$52,'Lookup Tables Options'!N91,IF($E$6='Lookup Tables Options'!$D$100,'Lookup Tables Options'!N139,IF($E$6='Lookup Tables Options'!$D$148,'Lookup Tables Options'!N187,IF($E$6='Lookup Tables Options'!$D$196,'Lookup Tables Options'!N235,"")))))</f>
        <v/>
      </c>
      <c r="O47" s="270" t="str">
        <f>IF($E$6='Lookup Tables Options'!$D$4,'Lookup Tables Options'!O43,IF($E$6='Lookup Tables Options'!$D$52,'Lookup Tables Options'!O91,IF($E$6='Lookup Tables Options'!$D$100,'Lookup Tables Options'!O139,IF($E$6='Lookup Tables Options'!$D$148,'Lookup Tables Options'!O187,IF($E$6='Lookup Tables Options'!$D$196,'Lookup Tables Options'!O235,"")))))</f>
        <v/>
      </c>
      <c r="P47" s="270" t="str">
        <f>IF($E$6='Lookup Tables Options'!$D$4,'Lookup Tables Options'!P43,IF($E$6='Lookup Tables Options'!$D$52,'Lookup Tables Options'!P91,IF($E$6='Lookup Tables Options'!$D$100,'Lookup Tables Options'!P139,IF($E$6='Lookup Tables Options'!$D$148,'Lookup Tables Options'!P187,IF($E$6='Lookup Tables Options'!$D$196,'Lookup Tables Options'!P235,"")))))</f>
        <v/>
      </c>
      <c r="Q47" s="270" t="str">
        <f>IF($E$6='Lookup Tables Options'!$D$4,'Lookup Tables Options'!Q43,IF($E$6='Lookup Tables Options'!$D$52,'Lookup Tables Options'!Q91,IF($E$6='Lookup Tables Options'!$D$100,'Lookup Tables Options'!Q139,IF($E$6='Lookup Tables Options'!$D$148,'Lookup Tables Options'!Q187,IF($E$6='Lookup Tables Options'!$D$196,'Lookup Tables Options'!Q235,"")))))</f>
        <v/>
      </c>
      <c r="R47" s="270" t="str">
        <f>IF($E$6='Lookup Tables Options'!$D$4,'Lookup Tables Options'!R43,IF($E$6='Lookup Tables Options'!$D$52,'Lookup Tables Options'!R91,IF($E$6='Lookup Tables Options'!$D$100,'Lookup Tables Options'!R139,IF($E$6='Lookup Tables Options'!$D$148,'Lookup Tables Options'!R187,IF($E$6='Lookup Tables Options'!$D$196,'Lookup Tables Options'!R235,"")))))</f>
        <v/>
      </c>
      <c r="S47" s="269" t="str">
        <f>IF($E$6='Lookup Tables Options'!$D$4,'Lookup Tables Options'!S43,IF($E$6='Lookup Tables Options'!$D$52,'Lookup Tables Options'!S91,IF($E$6='Lookup Tables Options'!$D$100,'Lookup Tables Options'!S139,IF($E$6='Lookup Tables Options'!$D$148,'Lookup Tables Options'!S187,IF($E$6='Lookup Tables Options'!$D$196,'Lookup Tables Options'!S235,"")))))</f>
        <v/>
      </c>
      <c r="T47" s="268" t="str">
        <f>IF($E$6='Lookup Tables Options'!$D$4,'Lookup Tables Options'!T43,IF($E$6='Lookup Tables Options'!$D$52,'Lookup Tables Options'!T91,IF($E$6='Lookup Tables Options'!$D$100,'Lookup Tables Options'!T139,IF($E$6='Lookup Tables Options'!$D$148,'Lookup Tables Options'!T187,IF($E$6='Lookup Tables Options'!$D$196,'Lookup Tables Options'!T235,"")))))</f>
        <v/>
      </c>
      <c r="U47" s="270" t="str">
        <f>IF($E$6='Lookup Tables Options'!$D$4,'Lookup Tables Options'!U43,IF($E$6='Lookup Tables Options'!$D$52,'Lookup Tables Options'!U91,IF($E$6='Lookup Tables Options'!$D$100,'Lookup Tables Options'!U139,IF($E$6='Lookup Tables Options'!$D$148,'Lookup Tables Options'!U187,IF($E$6='Lookup Tables Options'!$D$196,'Lookup Tables Options'!U235,"")))))</f>
        <v/>
      </c>
      <c r="V47" s="270" t="str">
        <f>IF($E$6='Lookup Tables Options'!$D$4,'Lookup Tables Options'!V43,IF($E$6='Lookup Tables Options'!$D$52,'Lookup Tables Options'!V91,IF($E$6='Lookup Tables Options'!$D$100,'Lookup Tables Options'!V139,IF($E$6='Lookup Tables Options'!$D$148,'Lookup Tables Options'!V187,IF($E$6='Lookup Tables Options'!$D$196,'Lookup Tables Options'!V235,"")))))</f>
        <v/>
      </c>
      <c r="W47" s="270" t="str">
        <f>IF($E$6='Lookup Tables Options'!$D$4,'Lookup Tables Options'!W43,IF($E$6='Lookup Tables Options'!$D$52,'Lookup Tables Options'!W91,IF($E$6='Lookup Tables Options'!$D$100,'Lookup Tables Options'!W139,IF($E$6='Lookup Tables Options'!$D$148,'Lookup Tables Options'!W187,IF($E$6='Lookup Tables Options'!$D$196,'Lookup Tables Options'!W235,"")))))</f>
        <v/>
      </c>
      <c r="X47" s="270" t="str">
        <f>IF($E$6='Lookup Tables Options'!$D$4,'Lookup Tables Options'!X43,IF($E$6='Lookup Tables Options'!$D$52,'Lookup Tables Options'!X91,IF($E$6='Lookup Tables Options'!$D$100,'Lookup Tables Options'!X139,IF($E$6='Lookup Tables Options'!$D$148,'Lookup Tables Options'!X187,IF($E$6='Lookup Tables Options'!$D$196,'Lookup Tables Options'!X235,"")))))</f>
        <v/>
      </c>
      <c r="Y47" s="270" t="str">
        <f>IF($E$6='Lookup Tables Options'!$D$4,'Lookup Tables Options'!Y43,IF($E$6='Lookup Tables Options'!$D$52,'Lookup Tables Options'!Y91,IF($E$6='Lookup Tables Options'!$D$100,'Lookup Tables Options'!Y139,IF($E$6='Lookup Tables Options'!$D$148,'Lookup Tables Options'!Y187,IF($E$6='Lookup Tables Options'!$D$196,'Lookup Tables Options'!Y235,"")))))</f>
        <v/>
      </c>
      <c r="Z47" s="270" t="str">
        <f>IF($E$6='Lookup Tables Options'!$D$4,'Lookup Tables Options'!Z43,IF($E$6='Lookup Tables Options'!$D$52,'Lookup Tables Options'!Z91,IF($E$6='Lookup Tables Options'!$D$100,'Lookup Tables Options'!Z139,IF($E$6='Lookup Tables Options'!$D$148,'Lookup Tables Options'!Z187,IF($E$6='Lookup Tables Options'!$D$196,'Lookup Tables Options'!Z235,"")))))</f>
        <v/>
      </c>
      <c r="AA47" s="270" t="str">
        <f>IF($E$6='Lookup Tables Options'!$D$4,'Lookup Tables Options'!AA43,IF($E$6='Lookup Tables Options'!$D$52,'Lookup Tables Options'!AA91,IF($E$6='Lookup Tables Options'!$D$100,'Lookup Tables Options'!AA139,IF($E$6='Lookup Tables Options'!$D$148,'Lookup Tables Options'!AA187,IF($E$6='Lookup Tables Options'!$D$196,'Lookup Tables Options'!AA235,"")))))</f>
        <v/>
      </c>
      <c r="AB47" s="270" t="str">
        <f>IF($E$6='Lookup Tables Options'!$D$4,'Lookup Tables Options'!AB43,IF($E$6='Lookup Tables Options'!$D$52,'Lookup Tables Options'!AB91,IF($E$6='Lookup Tables Options'!$D$100,'Lookup Tables Options'!AB139,IF($E$6='Lookup Tables Options'!$D$148,'Lookup Tables Options'!AB187,IF($E$6='Lookup Tables Options'!$D$196,'Lookup Tables Options'!AB235,"")))))</f>
        <v/>
      </c>
      <c r="AC47" s="270" t="str">
        <f>IF($E$6='Lookup Tables Options'!$D$4,'Lookup Tables Options'!AC43,IF($E$6='Lookup Tables Options'!$D$52,'Lookup Tables Options'!AC91,IF($E$6='Lookup Tables Options'!$D$100,'Lookup Tables Options'!AC139,IF($E$6='Lookup Tables Options'!$D$148,'Lookup Tables Options'!AC187,IF($E$6='Lookup Tables Options'!$D$196,'Lookup Tables Options'!AC235,"")))))</f>
        <v/>
      </c>
      <c r="AD47" s="268" t="str">
        <f>IF($E$6='Lookup Tables Options'!$D$4,'Lookup Tables Options'!AD43,IF($E$6='Lookup Tables Options'!$D$52,'Lookup Tables Options'!AD91,IF($E$6='Lookup Tables Options'!$D$100,'Lookup Tables Options'!AD139,IF($E$6='Lookup Tables Options'!$D$148,'Lookup Tables Options'!AD187,IF($E$6='Lookup Tables Options'!$D$196,'Lookup Tables Options'!AD235,"")))))</f>
        <v/>
      </c>
      <c r="AE47" s="270" t="str">
        <f>IF($E$6='Lookup Tables Options'!$D$4,'Lookup Tables Options'!AE43,IF($E$6='Lookup Tables Options'!$D$52,'Lookup Tables Options'!AE91,IF($E$6='Lookup Tables Options'!$D$100,'Lookup Tables Options'!AE139,IF($E$6='Lookup Tables Options'!$D$148,'Lookup Tables Options'!AE187,IF($E$6='Lookup Tables Options'!$D$196,'Lookup Tables Options'!AE235,"")))))</f>
        <v/>
      </c>
      <c r="AF47" s="270" t="str">
        <f>IF($E$6='Lookup Tables Options'!$D$4,'Lookup Tables Options'!AF43,IF($E$6='Lookup Tables Options'!$D$52,'Lookup Tables Options'!AF91,IF($E$6='Lookup Tables Options'!$D$100,'Lookup Tables Options'!AF139,IF($E$6='Lookup Tables Options'!$D$148,'Lookup Tables Options'!AF187,IF($E$6='Lookup Tables Options'!$D$196,'Lookup Tables Options'!AF235,"")))))</f>
        <v/>
      </c>
      <c r="AG47" s="270" t="str">
        <f>IF($E$6='Lookup Tables Options'!$D$4,'Lookup Tables Options'!AG43,IF($E$6='Lookup Tables Options'!$D$52,'Lookup Tables Options'!AG91,IF($E$6='Lookup Tables Options'!$D$100,'Lookup Tables Options'!AG139,IF($E$6='Lookup Tables Options'!$D$148,'Lookup Tables Options'!AG187,IF($E$6='Lookup Tables Options'!$D$196,'Lookup Tables Options'!AG235,"")))))</f>
        <v/>
      </c>
      <c r="AH47" s="270" t="str">
        <f>IF($E$6='Lookup Tables Options'!$D$4,'Lookup Tables Options'!AH43,IF($E$6='Lookup Tables Options'!$D$52,'Lookup Tables Options'!AH91,IF($E$6='Lookup Tables Options'!$D$100,'Lookup Tables Options'!AH139,IF($E$6='Lookup Tables Options'!$D$148,'Lookup Tables Options'!AH187,IF($E$6='Lookup Tables Options'!$D$196,'Lookup Tables Options'!AH235,"")))))</f>
        <v/>
      </c>
      <c r="AI47" s="270" t="str">
        <f>IF($E$6='Lookup Tables Options'!$D$4,'Lookup Tables Options'!AI43,IF($E$6='Lookup Tables Options'!$D$52,'Lookup Tables Options'!AI91,IF($E$6='Lookup Tables Options'!$D$100,'Lookup Tables Options'!AI139,IF($E$6='Lookup Tables Options'!$D$148,'Lookup Tables Options'!AI187,IF($E$6='Lookup Tables Options'!$D$196,'Lookup Tables Options'!AI235,"")))))</f>
        <v/>
      </c>
      <c r="AJ47" s="270" t="str">
        <f>IF($E$6='Lookup Tables Options'!$D$4,'Lookup Tables Options'!AJ43,IF($E$6='Lookup Tables Options'!$D$52,'Lookup Tables Options'!AJ91,IF($E$6='Lookup Tables Options'!$D$100,'Lookup Tables Options'!AJ139,IF($E$6='Lookup Tables Options'!$D$148,'Lookup Tables Options'!AJ187,IF($E$6='Lookup Tables Options'!$D$196,'Lookup Tables Options'!AJ235,"")))))</f>
        <v/>
      </c>
      <c r="AK47" s="270" t="str">
        <f>IF($E$6='Lookup Tables Options'!$D$4,'Lookup Tables Options'!AK43,IF($E$6='Lookup Tables Options'!$D$52,'Lookup Tables Options'!AK91,IF($E$6='Lookup Tables Options'!$D$100,'Lookup Tables Options'!AK139,IF($E$6='Lookup Tables Options'!$D$148,'Lookup Tables Options'!AK187,IF($E$6='Lookup Tables Options'!$D$196,'Lookup Tables Options'!AK235,"")))))</f>
        <v/>
      </c>
      <c r="AL47" s="270" t="str">
        <f>IF($E$6='Lookup Tables Options'!$D$4,'Lookup Tables Options'!AL43,IF($E$6='Lookup Tables Options'!$D$52,'Lookup Tables Options'!AL91,IF($E$6='Lookup Tables Options'!$D$100,'Lookup Tables Options'!AL139,IF($E$6='Lookup Tables Options'!$D$148,'Lookup Tables Options'!AL187,IF($E$6='Lookup Tables Options'!$D$196,'Lookup Tables Options'!AL235,"")))))</f>
        <v/>
      </c>
      <c r="AM47" s="269" t="str">
        <f>IF($E$6='Lookup Tables Options'!$D$4,'Lookup Tables Options'!AM43,IF($E$6='Lookup Tables Options'!$D$52,'Lookup Tables Options'!AM91,IF($E$6='Lookup Tables Options'!$D$100,'Lookup Tables Options'!AM139,IF($E$6='Lookup Tables Options'!$D$148,'Lookup Tables Options'!AM187,IF($E$6='Lookup Tables Options'!$D$196,'Lookup Tables Options'!AM235,"")))))</f>
        <v/>
      </c>
    </row>
    <row r="48" spans="4:39" ht="15.6">
      <c r="D48" s="267">
        <v>35</v>
      </c>
      <c r="E48" s="268" t="str">
        <f>IF($E$6='Lookup Tables Options'!$D$4,'Lookup Tables Options'!E44,IF($E$6='Lookup Tables Options'!$D$52,'Lookup Tables Options'!E92,IF($E$6='Lookup Tables Options'!$D$100,'Lookup Tables Options'!E140,IF($E$6='Lookup Tables Options'!$D$148,'Lookup Tables Options'!E188,IF($E$6='Lookup Tables Options'!$D$196,'Lookup Tables Options'!E236,"")))))</f>
        <v/>
      </c>
      <c r="F48" s="269" t="str">
        <f>IF($E$6='Lookup Tables Options'!$D$4,'Lookup Tables Options'!F44,IF($E$6='Lookup Tables Options'!$D$52,'Lookup Tables Options'!F92,IF($E$6='Lookup Tables Options'!$D$100,'Lookup Tables Options'!F140,IF($E$6='Lookup Tables Options'!$D$148,'Lookup Tables Options'!F188,IF($E$6='Lookup Tables Options'!$D$196,'Lookup Tables Options'!F236,"")))))</f>
        <v/>
      </c>
      <c r="G48" s="268" t="str">
        <f>IF($E$6='Lookup Tables Options'!$D$4,'Lookup Tables Options'!G44,IF($E$6='Lookup Tables Options'!$D$52,'Lookup Tables Options'!G92,IF($E$6='Lookup Tables Options'!$D$100,'Lookup Tables Options'!G140,IF($E$6='Lookup Tables Options'!$D$148,'Lookup Tables Options'!G188,IF($E$6='Lookup Tables Options'!$D$196,'Lookup Tables Options'!G236,"")))))</f>
        <v/>
      </c>
      <c r="H48" s="270" t="str">
        <f>IF($E$6='Lookup Tables Options'!$D$4,'Lookup Tables Options'!H44,IF($E$6='Lookup Tables Options'!$D$52,'Lookup Tables Options'!H92,IF($E$6='Lookup Tables Options'!$D$100,'Lookup Tables Options'!H140,IF($E$6='Lookup Tables Options'!$D$148,'Lookup Tables Options'!H188,IF($E$6='Lookup Tables Options'!$D$196,'Lookup Tables Options'!H236,"")))))</f>
        <v/>
      </c>
      <c r="I48" s="270" t="str">
        <f>IF($E$6='Lookup Tables Options'!$D$4,'Lookup Tables Options'!I44,IF($E$6='Lookup Tables Options'!$D$52,'Lookup Tables Options'!I92,IF($E$6='Lookup Tables Options'!$D$100,'Lookup Tables Options'!I140,IF($E$6='Lookup Tables Options'!$D$148,'Lookup Tables Options'!I188,IF($E$6='Lookup Tables Options'!$D$196,'Lookup Tables Options'!I236,"")))))</f>
        <v/>
      </c>
      <c r="J48" s="268" t="str">
        <f>IF($E$6='Lookup Tables Options'!$D$4,'Lookup Tables Options'!J44,IF($E$6='Lookup Tables Options'!$D$52,'Lookup Tables Options'!J92,IF($E$6='Lookup Tables Options'!$D$100,'Lookup Tables Options'!J140,IF($E$6='Lookup Tables Options'!$D$148,'Lookup Tables Options'!J188,IF($E$6='Lookup Tables Options'!$D$196,'Lookup Tables Options'!J236,"")))))</f>
        <v/>
      </c>
      <c r="K48" s="270" t="str">
        <f>IF($E$6='Lookup Tables Options'!$D$4,'Lookup Tables Options'!K44,IF($E$6='Lookup Tables Options'!$D$52,'Lookup Tables Options'!K92,IF($E$6='Lookup Tables Options'!$D$100,'Lookup Tables Options'!K140,IF($E$6='Lookup Tables Options'!$D$148,'Lookup Tables Options'!K188,IF($E$6='Lookup Tables Options'!$D$196,'Lookup Tables Options'!K236,"")))))</f>
        <v/>
      </c>
      <c r="L48" s="270" t="str">
        <f>IF($E$6='Lookup Tables Options'!$D$4,'Lookup Tables Options'!L44,IF($E$6='Lookup Tables Options'!$D$52,'Lookup Tables Options'!L92,IF($E$6='Lookup Tables Options'!$D$100,'Lookup Tables Options'!L140,IF($E$6='Lookup Tables Options'!$D$148,'Lookup Tables Options'!L188,IF($E$6='Lookup Tables Options'!$D$196,'Lookup Tables Options'!L236,"")))))</f>
        <v/>
      </c>
      <c r="M48" s="270" t="str">
        <f>IF($E$6='Lookup Tables Options'!$D$4,'Lookup Tables Options'!M44,IF($E$6='Lookup Tables Options'!$D$52,'Lookup Tables Options'!M92,IF($E$6='Lookup Tables Options'!$D$100,'Lookup Tables Options'!M140,IF($E$6='Lookup Tables Options'!$D$148,'Lookup Tables Options'!M188,IF($E$6='Lookup Tables Options'!$D$196,'Lookup Tables Options'!M236,"")))))</f>
        <v/>
      </c>
      <c r="N48" s="270" t="str">
        <f>IF($E$6='Lookup Tables Options'!$D$4,'Lookup Tables Options'!N44,IF($E$6='Lookup Tables Options'!$D$52,'Lookup Tables Options'!N92,IF($E$6='Lookup Tables Options'!$D$100,'Lookup Tables Options'!N140,IF($E$6='Lookup Tables Options'!$D$148,'Lookup Tables Options'!N188,IF($E$6='Lookup Tables Options'!$D$196,'Lookup Tables Options'!N236,"")))))</f>
        <v/>
      </c>
      <c r="O48" s="270" t="str">
        <f>IF($E$6='Lookup Tables Options'!$D$4,'Lookup Tables Options'!O44,IF($E$6='Lookup Tables Options'!$D$52,'Lookup Tables Options'!O92,IF($E$6='Lookup Tables Options'!$D$100,'Lookup Tables Options'!O140,IF($E$6='Lookup Tables Options'!$D$148,'Lookup Tables Options'!O188,IF($E$6='Lookup Tables Options'!$D$196,'Lookup Tables Options'!O236,"")))))</f>
        <v/>
      </c>
      <c r="P48" s="270" t="str">
        <f>IF($E$6='Lookup Tables Options'!$D$4,'Lookup Tables Options'!P44,IF($E$6='Lookup Tables Options'!$D$52,'Lookup Tables Options'!P92,IF($E$6='Lookup Tables Options'!$D$100,'Lookup Tables Options'!P140,IF($E$6='Lookup Tables Options'!$D$148,'Lookup Tables Options'!P188,IF($E$6='Lookup Tables Options'!$D$196,'Lookup Tables Options'!P236,"")))))</f>
        <v/>
      </c>
      <c r="Q48" s="270" t="str">
        <f>IF($E$6='Lookup Tables Options'!$D$4,'Lookup Tables Options'!Q44,IF($E$6='Lookup Tables Options'!$D$52,'Lookup Tables Options'!Q92,IF($E$6='Lookup Tables Options'!$D$100,'Lookup Tables Options'!Q140,IF($E$6='Lookup Tables Options'!$D$148,'Lookup Tables Options'!Q188,IF($E$6='Lookup Tables Options'!$D$196,'Lookup Tables Options'!Q236,"")))))</f>
        <v/>
      </c>
      <c r="R48" s="270" t="str">
        <f>IF($E$6='Lookup Tables Options'!$D$4,'Lookup Tables Options'!R44,IF($E$6='Lookup Tables Options'!$D$52,'Lookup Tables Options'!R92,IF($E$6='Lookup Tables Options'!$D$100,'Lookup Tables Options'!R140,IF($E$6='Lookup Tables Options'!$D$148,'Lookup Tables Options'!R188,IF($E$6='Lookup Tables Options'!$D$196,'Lookup Tables Options'!R236,"")))))</f>
        <v/>
      </c>
      <c r="S48" s="269" t="str">
        <f>IF($E$6='Lookup Tables Options'!$D$4,'Lookup Tables Options'!S44,IF($E$6='Lookup Tables Options'!$D$52,'Lookup Tables Options'!S92,IF($E$6='Lookup Tables Options'!$D$100,'Lookup Tables Options'!S140,IF($E$6='Lookup Tables Options'!$D$148,'Lookup Tables Options'!S188,IF($E$6='Lookup Tables Options'!$D$196,'Lookup Tables Options'!S236,"")))))</f>
        <v/>
      </c>
      <c r="T48" s="268" t="str">
        <f>IF($E$6='Lookup Tables Options'!$D$4,'Lookup Tables Options'!T44,IF($E$6='Lookup Tables Options'!$D$52,'Lookup Tables Options'!T92,IF($E$6='Lookup Tables Options'!$D$100,'Lookup Tables Options'!T140,IF($E$6='Lookup Tables Options'!$D$148,'Lookup Tables Options'!T188,IF($E$6='Lookup Tables Options'!$D$196,'Lookup Tables Options'!T236,"")))))</f>
        <v/>
      </c>
      <c r="U48" s="270" t="str">
        <f>IF($E$6='Lookup Tables Options'!$D$4,'Lookup Tables Options'!U44,IF($E$6='Lookup Tables Options'!$D$52,'Lookup Tables Options'!U92,IF($E$6='Lookup Tables Options'!$D$100,'Lookup Tables Options'!U140,IF($E$6='Lookup Tables Options'!$D$148,'Lookup Tables Options'!U188,IF($E$6='Lookup Tables Options'!$D$196,'Lookup Tables Options'!U236,"")))))</f>
        <v/>
      </c>
      <c r="V48" s="270" t="str">
        <f>IF($E$6='Lookup Tables Options'!$D$4,'Lookup Tables Options'!V44,IF($E$6='Lookup Tables Options'!$D$52,'Lookup Tables Options'!V92,IF($E$6='Lookup Tables Options'!$D$100,'Lookup Tables Options'!V140,IF($E$6='Lookup Tables Options'!$D$148,'Lookup Tables Options'!V188,IF($E$6='Lookup Tables Options'!$D$196,'Lookup Tables Options'!V236,"")))))</f>
        <v/>
      </c>
      <c r="W48" s="270" t="str">
        <f>IF($E$6='Lookup Tables Options'!$D$4,'Lookup Tables Options'!W44,IF($E$6='Lookup Tables Options'!$D$52,'Lookup Tables Options'!W92,IF($E$6='Lookup Tables Options'!$D$100,'Lookup Tables Options'!W140,IF($E$6='Lookup Tables Options'!$D$148,'Lookup Tables Options'!W188,IF($E$6='Lookup Tables Options'!$D$196,'Lookup Tables Options'!W236,"")))))</f>
        <v/>
      </c>
      <c r="X48" s="270" t="str">
        <f>IF($E$6='Lookup Tables Options'!$D$4,'Lookup Tables Options'!X44,IF($E$6='Lookup Tables Options'!$D$52,'Lookup Tables Options'!X92,IF($E$6='Lookup Tables Options'!$D$100,'Lookup Tables Options'!X140,IF($E$6='Lookup Tables Options'!$D$148,'Lookup Tables Options'!X188,IF($E$6='Lookup Tables Options'!$D$196,'Lookup Tables Options'!X236,"")))))</f>
        <v/>
      </c>
      <c r="Y48" s="270" t="str">
        <f>IF($E$6='Lookup Tables Options'!$D$4,'Lookup Tables Options'!Y44,IF($E$6='Lookup Tables Options'!$D$52,'Lookup Tables Options'!Y92,IF($E$6='Lookup Tables Options'!$D$100,'Lookup Tables Options'!Y140,IF($E$6='Lookup Tables Options'!$D$148,'Lookup Tables Options'!Y188,IF($E$6='Lookup Tables Options'!$D$196,'Lookup Tables Options'!Y236,"")))))</f>
        <v/>
      </c>
      <c r="Z48" s="270" t="str">
        <f>IF($E$6='Lookup Tables Options'!$D$4,'Lookup Tables Options'!Z44,IF($E$6='Lookup Tables Options'!$D$52,'Lookup Tables Options'!Z92,IF($E$6='Lookup Tables Options'!$D$100,'Lookup Tables Options'!Z140,IF($E$6='Lookup Tables Options'!$D$148,'Lookup Tables Options'!Z188,IF($E$6='Lookup Tables Options'!$D$196,'Lookup Tables Options'!Z236,"")))))</f>
        <v/>
      </c>
      <c r="AA48" s="270" t="str">
        <f>IF($E$6='Lookup Tables Options'!$D$4,'Lookup Tables Options'!AA44,IF($E$6='Lookup Tables Options'!$D$52,'Lookup Tables Options'!AA92,IF($E$6='Lookup Tables Options'!$D$100,'Lookup Tables Options'!AA140,IF($E$6='Lookup Tables Options'!$D$148,'Lookup Tables Options'!AA188,IF($E$6='Lookup Tables Options'!$D$196,'Lookup Tables Options'!AA236,"")))))</f>
        <v/>
      </c>
      <c r="AB48" s="270" t="str">
        <f>IF($E$6='Lookup Tables Options'!$D$4,'Lookup Tables Options'!AB44,IF($E$6='Lookup Tables Options'!$D$52,'Lookup Tables Options'!AB92,IF($E$6='Lookup Tables Options'!$D$100,'Lookup Tables Options'!AB140,IF($E$6='Lookup Tables Options'!$D$148,'Lookup Tables Options'!AB188,IF($E$6='Lookup Tables Options'!$D$196,'Lookup Tables Options'!AB236,"")))))</f>
        <v/>
      </c>
      <c r="AC48" s="270" t="str">
        <f>IF($E$6='Lookup Tables Options'!$D$4,'Lookup Tables Options'!AC44,IF($E$6='Lookup Tables Options'!$D$52,'Lookup Tables Options'!AC92,IF($E$6='Lookup Tables Options'!$D$100,'Lookup Tables Options'!AC140,IF($E$6='Lookup Tables Options'!$D$148,'Lookup Tables Options'!AC188,IF($E$6='Lookup Tables Options'!$D$196,'Lookup Tables Options'!AC236,"")))))</f>
        <v/>
      </c>
      <c r="AD48" s="268" t="str">
        <f>IF($E$6='Lookup Tables Options'!$D$4,'Lookup Tables Options'!AD44,IF($E$6='Lookup Tables Options'!$D$52,'Lookup Tables Options'!AD92,IF($E$6='Lookup Tables Options'!$D$100,'Lookup Tables Options'!AD140,IF($E$6='Lookup Tables Options'!$D$148,'Lookup Tables Options'!AD188,IF($E$6='Lookup Tables Options'!$D$196,'Lookup Tables Options'!AD236,"")))))</f>
        <v/>
      </c>
      <c r="AE48" s="270" t="str">
        <f>IF($E$6='Lookup Tables Options'!$D$4,'Lookup Tables Options'!AE44,IF($E$6='Lookup Tables Options'!$D$52,'Lookup Tables Options'!AE92,IF($E$6='Lookup Tables Options'!$D$100,'Lookup Tables Options'!AE140,IF($E$6='Lookup Tables Options'!$D$148,'Lookup Tables Options'!AE188,IF($E$6='Lookup Tables Options'!$D$196,'Lookup Tables Options'!AE236,"")))))</f>
        <v/>
      </c>
      <c r="AF48" s="270" t="str">
        <f>IF($E$6='Lookup Tables Options'!$D$4,'Lookup Tables Options'!AF44,IF($E$6='Lookup Tables Options'!$D$52,'Lookup Tables Options'!AF92,IF($E$6='Lookup Tables Options'!$D$100,'Lookup Tables Options'!AF140,IF($E$6='Lookup Tables Options'!$D$148,'Lookup Tables Options'!AF188,IF($E$6='Lookup Tables Options'!$D$196,'Lookup Tables Options'!AF236,"")))))</f>
        <v/>
      </c>
      <c r="AG48" s="270" t="str">
        <f>IF($E$6='Lookup Tables Options'!$D$4,'Lookup Tables Options'!AG44,IF($E$6='Lookup Tables Options'!$D$52,'Lookup Tables Options'!AG92,IF($E$6='Lookup Tables Options'!$D$100,'Lookup Tables Options'!AG140,IF($E$6='Lookup Tables Options'!$D$148,'Lookup Tables Options'!AG188,IF($E$6='Lookup Tables Options'!$D$196,'Lookup Tables Options'!AG236,"")))))</f>
        <v/>
      </c>
      <c r="AH48" s="270" t="str">
        <f>IF($E$6='Lookup Tables Options'!$D$4,'Lookup Tables Options'!AH44,IF($E$6='Lookup Tables Options'!$D$52,'Lookup Tables Options'!AH92,IF($E$6='Lookup Tables Options'!$D$100,'Lookup Tables Options'!AH140,IF($E$6='Lookup Tables Options'!$D$148,'Lookup Tables Options'!AH188,IF($E$6='Lookup Tables Options'!$D$196,'Lookup Tables Options'!AH236,"")))))</f>
        <v/>
      </c>
      <c r="AI48" s="270" t="str">
        <f>IF($E$6='Lookup Tables Options'!$D$4,'Lookup Tables Options'!AI44,IF($E$6='Lookup Tables Options'!$D$52,'Lookup Tables Options'!AI92,IF($E$6='Lookup Tables Options'!$D$100,'Lookup Tables Options'!AI140,IF($E$6='Lookup Tables Options'!$D$148,'Lookup Tables Options'!AI188,IF($E$6='Lookup Tables Options'!$D$196,'Lookup Tables Options'!AI236,"")))))</f>
        <v/>
      </c>
      <c r="AJ48" s="270" t="str">
        <f>IF($E$6='Lookup Tables Options'!$D$4,'Lookup Tables Options'!AJ44,IF($E$6='Lookup Tables Options'!$D$52,'Lookup Tables Options'!AJ92,IF($E$6='Lookup Tables Options'!$D$100,'Lookup Tables Options'!AJ140,IF($E$6='Lookup Tables Options'!$D$148,'Lookup Tables Options'!AJ188,IF($E$6='Lookup Tables Options'!$D$196,'Lookup Tables Options'!AJ236,"")))))</f>
        <v/>
      </c>
      <c r="AK48" s="270" t="str">
        <f>IF($E$6='Lookup Tables Options'!$D$4,'Lookup Tables Options'!AK44,IF($E$6='Lookup Tables Options'!$D$52,'Lookup Tables Options'!AK92,IF($E$6='Lookup Tables Options'!$D$100,'Lookup Tables Options'!AK140,IF($E$6='Lookup Tables Options'!$D$148,'Lookup Tables Options'!AK188,IF($E$6='Lookup Tables Options'!$D$196,'Lookup Tables Options'!AK236,"")))))</f>
        <v/>
      </c>
      <c r="AL48" s="270" t="str">
        <f>IF($E$6='Lookup Tables Options'!$D$4,'Lookup Tables Options'!AL44,IF($E$6='Lookup Tables Options'!$D$52,'Lookup Tables Options'!AL92,IF($E$6='Lookup Tables Options'!$D$100,'Lookup Tables Options'!AL140,IF($E$6='Lookup Tables Options'!$D$148,'Lookup Tables Options'!AL188,IF($E$6='Lookup Tables Options'!$D$196,'Lookup Tables Options'!AL236,"")))))</f>
        <v/>
      </c>
      <c r="AM48" s="269" t="str">
        <f>IF($E$6='Lookup Tables Options'!$D$4,'Lookup Tables Options'!AM44,IF($E$6='Lookup Tables Options'!$D$52,'Lookup Tables Options'!AM92,IF($E$6='Lookup Tables Options'!$D$100,'Lookup Tables Options'!AM140,IF($E$6='Lookup Tables Options'!$D$148,'Lookup Tables Options'!AM188,IF($E$6='Lookup Tables Options'!$D$196,'Lookup Tables Options'!AM236,"")))))</f>
        <v/>
      </c>
    </row>
    <row r="49" spans="1:39" ht="15.6">
      <c r="D49" s="267">
        <v>36</v>
      </c>
      <c r="E49" s="268" t="str">
        <f>IF($E$6='Lookup Tables Options'!$D$4,'Lookup Tables Options'!E45,IF($E$6='Lookup Tables Options'!$D$52,'Lookup Tables Options'!E93,IF($E$6='Lookup Tables Options'!$D$100,'Lookup Tables Options'!E141,IF($E$6='Lookup Tables Options'!$D$148,'Lookup Tables Options'!E189,IF($E$6='Lookup Tables Options'!$D$196,'Lookup Tables Options'!E237,"")))))</f>
        <v/>
      </c>
      <c r="F49" s="269" t="str">
        <f>IF($E$6='Lookup Tables Options'!$D$4,'Lookup Tables Options'!F45,IF($E$6='Lookup Tables Options'!$D$52,'Lookup Tables Options'!F93,IF($E$6='Lookup Tables Options'!$D$100,'Lookup Tables Options'!F141,IF($E$6='Lookup Tables Options'!$D$148,'Lookup Tables Options'!F189,IF($E$6='Lookup Tables Options'!$D$196,'Lookup Tables Options'!F237,"")))))</f>
        <v/>
      </c>
      <c r="G49" s="268" t="str">
        <f>IF($E$6='Lookup Tables Options'!$D$4,'Lookup Tables Options'!G45,IF($E$6='Lookup Tables Options'!$D$52,'Lookup Tables Options'!G93,IF($E$6='Lookup Tables Options'!$D$100,'Lookup Tables Options'!G141,IF($E$6='Lookup Tables Options'!$D$148,'Lookup Tables Options'!G189,IF($E$6='Lookup Tables Options'!$D$196,'Lookup Tables Options'!G237,"")))))</f>
        <v/>
      </c>
      <c r="H49" s="270" t="str">
        <f>IF($E$6='Lookup Tables Options'!$D$4,'Lookup Tables Options'!H45,IF($E$6='Lookup Tables Options'!$D$52,'Lookup Tables Options'!H93,IF($E$6='Lookup Tables Options'!$D$100,'Lookup Tables Options'!H141,IF($E$6='Lookup Tables Options'!$D$148,'Lookup Tables Options'!H189,IF($E$6='Lookup Tables Options'!$D$196,'Lookup Tables Options'!H237,"")))))</f>
        <v/>
      </c>
      <c r="I49" s="270" t="str">
        <f>IF($E$6='Lookup Tables Options'!$D$4,'Lookup Tables Options'!I45,IF($E$6='Lookup Tables Options'!$D$52,'Lookup Tables Options'!I93,IF($E$6='Lookup Tables Options'!$D$100,'Lookup Tables Options'!I141,IF($E$6='Lookup Tables Options'!$D$148,'Lookup Tables Options'!I189,IF($E$6='Lookup Tables Options'!$D$196,'Lookup Tables Options'!I237,"")))))</f>
        <v/>
      </c>
      <c r="J49" s="268" t="str">
        <f>IF($E$6='Lookup Tables Options'!$D$4,'Lookup Tables Options'!J45,IF($E$6='Lookup Tables Options'!$D$52,'Lookup Tables Options'!J93,IF($E$6='Lookup Tables Options'!$D$100,'Lookup Tables Options'!J141,IF($E$6='Lookup Tables Options'!$D$148,'Lookup Tables Options'!J189,IF($E$6='Lookup Tables Options'!$D$196,'Lookup Tables Options'!J237,"")))))</f>
        <v/>
      </c>
      <c r="K49" s="270" t="str">
        <f>IF($E$6='Lookup Tables Options'!$D$4,'Lookup Tables Options'!K45,IF($E$6='Lookup Tables Options'!$D$52,'Lookup Tables Options'!K93,IF($E$6='Lookup Tables Options'!$D$100,'Lookup Tables Options'!K141,IF($E$6='Lookup Tables Options'!$D$148,'Lookup Tables Options'!K189,IF($E$6='Lookup Tables Options'!$D$196,'Lookup Tables Options'!K237,"")))))</f>
        <v/>
      </c>
      <c r="L49" s="270" t="str">
        <f>IF($E$6='Lookup Tables Options'!$D$4,'Lookup Tables Options'!L45,IF($E$6='Lookup Tables Options'!$D$52,'Lookup Tables Options'!L93,IF($E$6='Lookup Tables Options'!$D$100,'Lookup Tables Options'!L141,IF($E$6='Lookup Tables Options'!$D$148,'Lookup Tables Options'!L189,IF($E$6='Lookup Tables Options'!$D$196,'Lookup Tables Options'!L237,"")))))</f>
        <v/>
      </c>
      <c r="M49" s="270" t="str">
        <f>IF($E$6='Lookup Tables Options'!$D$4,'Lookup Tables Options'!M45,IF($E$6='Lookup Tables Options'!$D$52,'Lookup Tables Options'!M93,IF($E$6='Lookup Tables Options'!$D$100,'Lookup Tables Options'!M141,IF($E$6='Lookup Tables Options'!$D$148,'Lookup Tables Options'!M189,IF($E$6='Lookup Tables Options'!$D$196,'Lookup Tables Options'!M237,"")))))</f>
        <v/>
      </c>
      <c r="N49" s="270" t="str">
        <f>IF($E$6='Lookup Tables Options'!$D$4,'Lookup Tables Options'!N45,IF($E$6='Lookup Tables Options'!$D$52,'Lookup Tables Options'!N93,IF($E$6='Lookup Tables Options'!$D$100,'Lookup Tables Options'!N141,IF($E$6='Lookup Tables Options'!$D$148,'Lookup Tables Options'!N189,IF($E$6='Lookup Tables Options'!$D$196,'Lookup Tables Options'!N237,"")))))</f>
        <v/>
      </c>
      <c r="O49" s="270" t="str">
        <f>IF($E$6='Lookup Tables Options'!$D$4,'Lookup Tables Options'!O45,IF($E$6='Lookup Tables Options'!$D$52,'Lookup Tables Options'!O93,IF($E$6='Lookup Tables Options'!$D$100,'Lookup Tables Options'!O141,IF($E$6='Lookup Tables Options'!$D$148,'Lookup Tables Options'!O189,IF($E$6='Lookup Tables Options'!$D$196,'Lookup Tables Options'!O237,"")))))</f>
        <v/>
      </c>
      <c r="P49" s="270" t="str">
        <f>IF($E$6='Lookup Tables Options'!$D$4,'Lookup Tables Options'!P45,IF($E$6='Lookup Tables Options'!$D$52,'Lookup Tables Options'!P93,IF($E$6='Lookup Tables Options'!$D$100,'Lookup Tables Options'!P141,IF($E$6='Lookup Tables Options'!$D$148,'Lookup Tables Options'!P189,IF($E$6='Lookup Tables Options'!$D$196,'Lookup Tables Options'!P237,"")))))</f>
        <v/>
      </c>
      <c r="Q49" s="270" t="str">
        <f>IF($E$6='Lookup Tables Options'!$D$4,'Lookup Tables Options'!Q45,IF($E$6='Lookup Tables Options'!$D$52,'Lookup Tables Options'!Q93,IF($E$6='Lookup Tables Options'!$D$100,'Lookup Tables Options'!Q141,IF($E$6='Lookup Tables Options'!$D$148,'Lookup Tables Options'!Q189,IF($E$6='Lookup Tables Options'!$D$196,'Lookup Tables Options'!Q237,"")))))</f>
        <v/>
      </c>
      <c r="R49" s="270" t="str">
        <f>IF($E$6='Lookup Tables Options'!$D$4,'Lookup Tables Options'!R45,IF($E$6='Lookup Tables Options'!$D$52,'Lookup Tables Options'!R93,IF($E$6='Lookup Tables Options'!$D$100,'Lookup Tables Options'!R141,IF($E$6='Lookup Tables Options'!$D$148,'Lookup Tables Options'!R189,IF($E$6='Lookup Tables Options'!$D$196,'Lookup Tables Options'!R237,"")))))</f>
        <v/>
      </c>
      <c r="S49" s="269" t="str">
        <f>IF($E$6='Lookup Tables Options'!$D$4,'Lookup Tables Options'!S45,IF($E$6='Lookup Tables Options'!$D$52,'Lookup Tables Options'!S93,IF($E$6='Lookup Tables Options'!$D$100,'Lookup Tables Options'!S141,IF($E$6='Lookup Tables Options'!$D$148,'Lookup Tables Options'!S189,IF($E$6='Lookup Tables Options'!$D$196,'Lookup Tables Options'!S237,"")))))</f>
        <v/>
      </c>
      <c r="T49" s="268" t="str">
        <f>IF($E$6='Lookup Tables Options'!$D$4,'Lookup Tables Options'!T45,IF($E$6='Lookup Tables Options'!$D$52,'Lookup Tables Options'!T93,IF($E$6='Lookup Tables Options'!$D$100,'Lookup Tables Options'!T141,IF($E$6='Lookup Tables Options'!$D$148,'Lookup Tables Options'!T189,IF($E$6='Lookup Tables Options'!$D$196,'Lookup Tables Options'!T237,"")))))</f>
        <v/>
      </c>
      <c r="U49" s="270" t="str">
        <f>IF($E$6='Lookup Tables Options'!$D$4,'Lookup Tables Options'!U45,IF($E$6='Lookup Tables Options'!$D$52,'Lookup Tables Options'!U93,IF($E$6='Lookup Tables Options'!$D$100,'Lookup Tables Options'!U141,IF($E$6='Lookup Tables Options'!$D$148,'Lookup Tables Options'!U189,IF($E$6='Lookup Tables Options'!$D$196,'Lookup Tables Options'!U237,"")))))</f>
        <v/>
      </c>
      <c r="V49" s="270" t="str">
        <f>IF($E$6='Lookup Tables Options'!$D$4,'Lookup Tables Options'!V45,IF($E$6='Lookup Tables Options'!$D$52,'Lookup Tables Options'!V93,IF($E$6='Lookup Tables Options'!$D$100,'Lookup Tables Options'!V141,IF($E$6='Lookup Tables Options'!$D$148,'Lookup Tables Options'!V189,IF($E$6='Lookup Tables Options'!$D$196,'Lookup Tables Options'!V237,"")))))</f>
        <v/>
      </c>
      <c r="W49" s="270" t="str">
        <f>IF($E$6='Lookup Tables Options'!$D$4,'Lookup Tables Options'!W45,IF($E$6='Lookup Tables Options'!$D$52,'Lookup Tables Options'!W93,IF($E$6='Lookup Tables Options'!$D$100,'Lookup Tables Options'!W141,IF($E$6='Lookup Tables Options'!$D$148,'Lookup Tables Options'!W189,IF($E$6='Lookup Tables Options'!$D$196,'Lookup Tables Options'!W237,"")))))</f>
        <v/>
      </c>
      <c r="X49" s="270" t="str">
        <f>IF($E$6='Lookup Tables Options'!$D$4,'Lookup Tables Options'!X45,IF($E$6='Lookup Tables Options'!$D$52,'Lookup Tables Options'!X93,IF($E$6='Lookup Tables Options'!$D$100,'Lookup Tables Options'!X141,IF($E$6='Lookup Tables Options'!$D$148,'Lookup Tables Options'!X189,IF($E$6='Lookup Tables Options'!$D$196,'Lookup Tables Options'!X237,"")))))</f>
        <v/>
      </c>
      <c r="Y49" s="270" t="str">
        <f>IF($E$6='Lookup Tables Options'!$D$4,'Lookup Tables Options'!Y45,IF($E$6='Lookup Tables Options'!$D$52,'Lookup Tables Options'!Y93,IF($E$6='Lookup Tables Options'!$D$100,'Lookup Tables Options'!Y141,IF($E$6='Lookup Tables Options'!$D$148,'Lookup Tables Options'!Y189,IF($E$6='Lookup Tables Options'!$D$196,'Lookup Tables Options'!Y237,"")))))</f>
        <v/>
      </c>
      <c r="Z49" s="270" t="str">
        <f>IF($E$6='Lookup Tables Options'!$D$4,'Lookup Tables Options'!Z45,IF($E$6='Lookup Tables Options'!$D$52,'Lookup Tables Options'!Z93,IF($E$6='Lookup Tables Options'!$D$100,'Lookup Tables Options'!Z141,IF($E$6='Lookup Tables Options'!$D$148,'Lookup Tables Options'!Z189,IF($E$6='Lookup Tables Options'!$D$196,'Lookup Tables Options'!Z237,"")))))</f>
        <v/>
      </c>
      <c r="AA49" s="270" t="str">
        <f>IF($E$6='Lookup Tables Options'!$D$4,'Lookup Tables Options'!AA45,IF($E$6='Lookup Tables Options'!$D$52,'Lookup Tables Options'!AA93,IF($E$6='Lookup Tables Options'!$D$100,'Lookup Tables Options'!AA141,IF($E$6='Lookup Tables Options'!$D$148,'Lookup Tables Options'!AA189,IF($E$6='Lookup Tables Options'!$D$196,'Lookup Tables Options'!AA237,"")))))</f>
        <v/>
      </c>
      <c r="AB49" s="270" t="str">
        <f>IF($E$6='Lookup Tables Options'!$D$4,'Lookup Tables Options'!AB45,IF($E$6='Lookup Tables Options'!$D$52,'Lookup Tables Options'!AB93,IF($E$6='Lookup Tables Options'!$D$100,'Lookup Tables Options'!AB141,IF($E$6='Lookup Tables Options'!$D$148,'Lookup Tables Options'!AB189,IF($E$6='Lookup Tables Options'!$D$196,'Lookup Tables Options'!AB237,"")))))</f>
        <v/>
      </c>
      <c r="AC49" s="270" t="str">
        <f>IF($E$6='Lookup Tables Options'!$D$4,'Lookup Tables Options'!AC45,IF($E$6='Lookup Tables Options'!$D$52,'Lookup Tables Options'!AC93,IF($E$6='Lookup Tables Options'!$D$100,'Lookup Tables Options'!AC141,IF($E$6='Lookup Tables Options'!$D$148,'Lookup Tables Options'!AC189,IF($E$6='Lookup Tables Options'!$D$196,'Lookup Tables Options'!AC237,"")))))</f>
        <v/>
      </c>
      <c r="AD49" s="268" t="str">
        <f>IF($E$6='Lookup Tables Options'!$D$4,'Lookup Tables Options'!AD45,IF($E$6='Lookup Tables Options'!$D$52,'Lookup Tables Options'!AD93,IF($E$6='Lookup Tables Options'!$D$100,'Lookup Tables Options'!AD141,IF($E$6='Lookup Tables Options'!$D$148,'Lookup Tables Options'!AD189,IF($E$6='Lookup Tables Options'!$D$196,'Lookup Tables Options'!AD237,"")))))</f>
        <v/>
      </c>
      <c r="AE49" s="270" t="str">
        <f>IF($E$6='Lookup Tables Options'!$D$4,'Lookup Tables Options'!AE45,IF($E$6='Lookup Tables Options'!$D$52,'Lookup Tables Options'!AE93,IF($E$6='Lookup Tables Options'!$D$100,'Lookup Tables Options'!AE141,IF($E$6='Lookup Tables Options'!$D$148,'Lookup Tables Options'!AE189,IF($E$6='Lookup Tables Options'!$D$196,'Lookup Tables Options'!AE237,"")))))</f>
        <v/>
      </c>
      <c r="AF49" s="270" t="str">
        <f>IF($E$6='Lookup Tables Options'!$D$4,'Lookup Tables Options'!AF45,IF($E$6='Lookup Tables Options'!$D$52,'Lookup Tables Options'!AF93,IF($E$6='Lookup Tables Options'!$D$100,'Lookup Tables Options'!AF141,IF($E$6='Lookup Tables Options'!$D$148,'Lookup Tables Options'!AF189,IF($E$6='Lookup Tables Options'!$D$196,'Lookup Tables Options'!AF237,"")))))</f>
        <v/>
      </c>
      <c r="AG49" s="270" t="str">
        <f>IF($E$6='Lookup Tables Options'!$D$4,'Lookup Tables Options'!AG45,IF($E$6='Lookup Tables Options'!$D$52,'Lookup Tables Options'!AG93,IF($E$6='Lookup Tables Options'!$D$100,'Lookup Tables Options'!AG141,IF($E$6='Lookup Tables Options'!$D$148,'Lookup Tables Options'!AG189,IF($E$6='Lookup Tables Options'!$D$196,'Lookup Tables Options'!AG237,"")))))</f>
        <v/>
      </c>
      <c r="AH49" s="270" t="str">
        <f>IF($E$6='Lookup Tables Options'!$D$4,'Lookup Tables Options'!AH45,IF($E$6='Lookup Tables Options'!$D$52,'Lookup Tables Options'!AH93,IF($E$6='Lookup Tables Options'!$D$100,'Lookup Tables Options'!AH141,IF($E$6='Lookup Tables Options'!$D$148,'Lookup Tables Options'!AH189,IF($E$6='Lookup Tables Options'!$D$196,'Lookup Tables Options'!AH237,"")))))</f>
        <v/>
      </c>
      <c r="AI49" s="270" t="str">
        <f>IF($E$6='Lookup Tables Options'!$D$4,'Lookup Tables Options'!AI45,IF($E$6='Lookup Tables Options'!$D$52,'Lookup Tables Options'!AI93,IF($E$6='Lookup Tables Options'!$D$100,'Lookup Tables Options'!AI141,IF($E$6='Lookup Tables Options'!$D$148,'Lookup Tables Options'!AI189,IF($E$6='Lookup Tables Options'!$D$196,'Lookup Tables Options'!AI237,"")))))</f>
        <v/>
      </c>
      <c r="AJ49" s="270" t="str">
        <f>IF($E$6='Lookup Tables Options'!$D$4,'Lookup Tables Options'!AJ45,IF($E$6='Lookup Tables Options'!$D$52,'Lookup Tables Options'!AJ93,IF($E$6='Lookup Tables Options'!$D$100,'Lookup Tables Options'!AJ141,IF($E$6='Lookup Tables Options'!$D$148,'Lookup Tables Options'!AJ189,IF($E$6='Lookup Tables Options'!$D$196,'Lookup Tables Options'!AJ237,"")))))</f>
        <v/>
      </c>
      <c r="AK49" s="270" t="str">
        <f>IF($E$6='Lookup Tables Options'!$D$4,'Lookup Tables Options'!AK45,IF($E$6='Lookup Tables Options'!$D$52,'Lookup Tables Options'!AK93,IF($E$6='Lookup Tables Options'!$D$100,'Lookup Tables Options'!AK141,IF($E$6='Lookup Tables Options'!$D$148,'Lookup Tables Options'!AK189,IF($E$6='Lookup Tables Options'!$D$196,'Lookup Tables Options'!AK237,"")))))</f>
        <v/>
      </c>
      <c r="AL49" s="270" t="str">
        <f>IF($E$6='Lookup Tables Options'!$D$4,'Lookup Tables Options'!AL45,IF($E$6='Lookup Tables Options'!$D$52,'Lookup Tables Options'!AL93,IF($E$6='Lookup Tables Options'!$D$100,'Lookup Tables Options'!AL141,IF($E$6='Lookup Tables Options'!$D$148,'Lookup Tables Options'!AL189,IF($E$6='Lookup Tables Options'!$D$196,'Lookup Tables Options'!AL237,"")))))</f>
        <v/>
      </c>
      <c r="AM49" s="269" t="str">
        <f>IF($E$6='Lookup Tables Options'!$D$4,'Lookup Tables Options'!AM45,IF($E$6='Lookup Tables Options'!$D$52,'Lookup Tables Options'!AM93,IF($E$6='Lookup Tables Options'!$D$100,'Lookup Tables Options'!AM141,IF($E$6='Lookup Tables Options'!$D$148,'Lookup Tables Options'!AM189,IF($E$6='Lookup Tables Options'!$D$196,'Lookup Tables Options'!AM237,"")))))</f>
        <v/>
      </c>
    </row>
    <row r="50" spans="1:39" ht="15.6">
      <c r="D50" s="267">
        <v>37</v>
      </c>
      <c r="E50" s="268" t="str">
        <f>IF($E$6='Lookup Tables Options'!$D$4,'Lookup Tables Options'!E46,IF($E$6='Lookup Tables Options'!$D$52,'Lookup Tables Options'!E94,IF($E$6='Lookup Tables Options'!$D$100,'Lookup Tables Options'!E142,IF($E$6='Lookup Tables Options'!$D$148,'Lookup Tables Options'!E190,IF($E$6='Lookup Tables Options'!$D$196,'Lookup Tables Options'!E238,"")))))</f>
        <v/>
      </c>
      <c r="F50" s="269" t="str">
        <f>IF($E$6='Lookup Tables Options'!$D$4,'Lookup Tables Options'!F46,IF($E$6='Lookup Tables Options'!$D$52,'Lookup Tables Options'!F94,IF($E$6='Lookup Tables Options'!$D$100,'Lookup Tables Options'!F142,IF($E$6='Lookup Tables Options'!$D$148,'Lookup Tables Options'!F190,IF($E$6='Lookup Tables Options'!$D$196,'Lookup Tables Options'!F238,"")))))</f>
        <v/>
      </c>
      <c r="G50" s="268" t="str">
        <f>IF($E$6='Lookup Tables Options'!$D$4,'Lookup Tables Options'!G46,IF($E$6='Lookup Tables Options'!$D$52,'Lookup Tables Options'!G94,IF($E$6='Lookup Tables Options'!$D$100,'Lookup Tables Options'!G142,IF($E$6='Lookup Tables Options'!$D$148,'Lookup Tables Options'!G190,IF($E$6='Lookup Tables Options'!$D$196,'Lookup Tables Options'!G238,"")))))</f>
        <v/>
      </c>
      <c r="H50" s="270" t="str">
        <f>IF($E$6='Lookup Tables Options'!$D$4,'Lookup Tables Options'!H46,IF($E$6='Lookup Tables Options'!$D$52,'Lookup Tables Options'!H94,IF($E$6='Lookup Tables Options'!$D$100,'Lookup Tables Options'!H142,IF($E$6='Lookup Tables Options'!$D$148,'Lookup Tables Options'!H190,IF($E$6='Lookup Tables Options'!$D$196,'Lookup Tables Options'!H238,"")))))</f>
        <v/>
      </c>
      <c r="I50" s="270" t="str">
        <f>IF($E$6='Lookup Tables Options'!$D$4,'Lookup Tables Options'!I46,IF($E$6='Lookup Tables Options'!$D$52,'Lookup Tables Options'!I94,IF($E$6='Lookup Tables Options'!$D$100,'Lookup Tables Options'!I142,IF($E$6='Lookup Tables Options'!$D$148,'Lookup Tables Options'!I190,IF($E$6='Lookup Tables Options'!$D$196,'Lookup Tables Options'!I238,"")))))</f>
        <v/>
      </c>
      <c r="J50" s="268" t="str">
        <f>IF($E$6='Lookup Tables Options'!$D$4,'Lookup Tables Options'!J46,IF($E$6='Lookup Tables Options'!$D$52,'Lookup Tables Options'!J94,IF($E$6='Lookup Tables Options'!$D$100,'Lookup Tables Options'!J142,IF($E$6='Lookup Tables Options'!$D$148,'Lookup Tables Options'!J190,IF($E$6='Lookup Tables Options'!$D$196,'Lookup Tables Options'!J238,"")))))</f>
        <v/>
      </c>
      <c r="K50" s="270" t="str">
        <f>IF($E$6='Lookup Tables Options'!$D$4,'Lookup Tables Options'!K46,IF($E$6='Lookup Tables Options'!$D$52,'Lookup Tables Options'!K94,IF($E$6='Lookup Tables Options'!$D$100,'Lookup Tables Options'!K142,IF($E$6='Lookup Tables Options'!$D$148,'Lookup Tables Options'!K190,IF($E$6='Lookup Tables Options'!$D$196,'Lookup Tables Options'!K238,"")))))</f>
        <v/>
      </c>
      <c r="L50" s="270" t="str">
        <f>IF($E$6='Lookup Tables Options'!$D$4,'Lookup Tables Options'!L46,IF($E$6='Lookup Tables Options'!$D$52,'Lookup Tables Options'!L94,IF($E$6='Lookup Tables Options'!$D$100,'Lookup Tables Options'!L142,IF($E$6='Lookup Tables Options'!$D$148,'Lookup Tables Options'!L190,IF($E$6='Lookup Tables Options'!$D$196,'Lookup Tables Options'!L238,"")))))</f>
        <v/>
      </c>
      <c r="M50" s="270" t="str">
        <f>IF($E$6='Lookup Tables Options'!$D$4,'Lookup Tables Options'!M46,IF($E$6='Lookup Tables Options'!$D$52,'Lookup Tables Options'!M94,IF($E$6='Lookup Tables Options'!$D$100,'Lookup Tables Options'!M142,IF($E$6='Lookup Tables Options'!$D$148,'Lookup Tables Options'!M190,IF($E$6='Lookup Tables Options'!$D$196,'Lookup Tables Options'!M238,"")))))</f>
        <v/>
      </c>
      <c r="N50" s="270" t="str">
        <f>IF($E$6='Lookup Tables Options'!$D$4,'Lookup Tables Options'!N46,IF($E$6='Lookup Tables Options'!$D$52,'Lookup Tables Options'!N94,IF($E$6='Lookup Tables Options'!$D$100,'Lookup Tables Options'!N142,IF($E$6='Lookup Tables Options'!$D$148,'Lookup Tables Options'!N190,IF($E$6='Lookup Tables Options'!$D$196,'Lookup Tables Options'!N238,"")))))</f>
        <v/>
      </c>
      <c r="O50" s="270" t="str">
        <f>IF($E$6='Lookup Tables Options'!$D$4,'Lookup Tables Options'!O46,IF($E$6='Lookup Tables Options'!$D$52,'Lookup Tables Options'!O94,IF($E$6='Lookup Tables Options'!$D$100,'Lookup Tables Options'!O142,IF($E$6='Lookup Tables Options'!$D$148,'Lookup Tables Options'!O190,IF($E$6='Lookup Tables Options'!$D$196,'Lookup Tables Options'!O238,"")))))</f>
        <v/>
      </c>
      <c r="P50" s="270" t="str">
        <f>IF($E$6='Lookup Tables Options'!$D$4,'Lookup Tables Options'!P46,IF($E$6='Lookup Tables Options'!$D$52,'Lookup Tables Options'!P94,IF($E$6='Lookup Tables Options'!$D$100,'Lookup Tables Options'!P142,IF($E$6='Lookup Tables Options'!$D$148,'Lookup Tables Options'!P190,IF($E$6='Lookup Tables Options'!$D$196,'Lookup Tables Options'!P238,"")))))</f>
        <v/>
      </c>
      <c r="Q50" s="270" t="str">
        <f>IF($E$6='Lookup Tables Options'!$D$4,'Lookup Tables Options'!Q46,IF($E$6='Lookup Tables Options'!$D$52,'Lookup Tables Options'!Q94,IF($E$6='Lookup Tables Options'!$D$100,'Lookup Tables Options'!Q142,IF($E$6='Lookup Tables Options'!$D$148,'Lookup Tables Options'!Q190,IF($E$6='Lookup Tables Options'!$D$196,'Lookup Tables Options'!Q238,"")))))</f>
        <v/>
      </c>
      <c r="R50" s="270" t="str">
        <f>IF($E$6='Lookup Tables Options'!$D$4,'Lookup Tables Options'!R46,IF($E$6='Lookup Tables Options'!$D$52,'Lookup Tables Options'!R94,IF($E$6='Lookup Tables Options'!$D$100,'Lookup Tables Options'!R142,IF($E$6='Lookup Tables Options'!$D$148,'Lookup Tables Options'!R190,IF($E$6='Lookup Tables Options'!$D$196,'Lookup Tables Options'!R238,"")))))</f>
        <v/>
      </c>
      <c r="S50" s="269" t="str">
        <f>IF($E$6='Lookup Tables Options'!$D$4,'Lookup Tables Options'!S46,IF($E$6='Lookup Tables Options'!$D$52,'Lookup Tables Options'!S94,IF($E$6='Lookup Tables Options'!$D$100,'Lookup Tables Options'!S142,IF($E$6='Lookup Tables Options'!$D$148,'Lookup Tables Options'!S190,IF($E$6='Lookup Tables Options'!$D$196,'Lookup Tables Options'!S238,"")))))</f>
        <v/>
      </c>
      <c r="T50" s="268" t="str">
        <f>IF($E$6='Lookup Tables Options'!$D$4,'Lookup Tables Options'!T46,IF($E$6='Lookup Tables Options'!$D$52,'Lookup Tables Options'!T94,IF($E$6='Lookup Tables Options'!$D$100,'Lookup Tables Options'!T142,IF($E$6='Lookup Tables Options'!$D$148,'Lookup Tables Options'!T190,IF($E$6='Lookup Tables Options'!$D$196,'Lookup Tables Options'!T238,"")))))</f>
        <v/>
      </c>
      <c r="U50" s="270" t="str">
        <f>IF($E$6='Lookup Tables Options'!$D$4,'Lookup Tables Options'!U46,IF($E$6='Lookup Tables Options'!$D$52,'Lookup Tables Options'!U94,IF($E$6='Lookup Tables Options'!$D$100,'Lookup Tables Options'!U142,IF($E$6='Lookup Tables Options'!$D$148,'Lookup Tables Options'!U190,IF($E$6='Lookup Tables Options'!$D$196,'Lookup Tables Options'!U238,"")))))</f>
        <v/>
      </c>
      <c r="V50" s="270" t="str">
        <f>IF($E$6='Lookup Tables Options'!$D$4,'Lookup Tables Options'!V46,IF($E$6='Lookup Tables Options'!$D$52,'Lookup Tables Options'!V94,IF($E$6='Lookup Tables Options'!$D$100,'Lookup Tables Options'!V142,IF($E$6='Lookup Tables Options'!$D$148,'Lookup Tables Options'!V190,IF($E$6='Lookup Tables Options'!$D$196,'Lookup Tables Options'!V238,"")))))</f>
        <v/>
      </c>
      <c r="W50" s="270" t="str">
        <f>IF($E$6='Lookup Tables Options'!$D$4,'Lookup Tables Options'!W46,IF($E$6='Lookup Tables Options'!$D$52,'Lookup Tables Options'!W94,IF($E$6='Lookup Tables Options'!$D$100,'Lookup Tables Options'!W142,IF($E$6='Lookup Tables Options'!$D$148,'Lookup Tables Options'!W190,IF($E$6='Lookup Tables Options'!$D$196,'Lookup Tables Options'!W238,"")))))</f>
        <v/>
      </c>
      <c r="X50" s="270" t="str">
        <f>IF($E$6='Lookup Tables Options'!$D$4,'Lookup Tables Options'!X46,IF($E$6='Lookup Tables Options'!$D$52,'Lookup Tables Options'!X94,IF($E$6='Lookup Tables Options'!$D$100,'Lookup Tables Options'!X142,IF($E$6='Lookup Tables Options'!$D$148,'Lookup Tables Options'!X190,IF($E$6='Lookup Tables Options'!$D$196,'Lookup Tables Options'!X238,"")))))</f>
        <v/>
      </c>
      <c r="Y50" s="270" t="str">
        <f>IF($E$6='Lookup Tables Options'!$D$4,'Lookup Tables Options'!Y46,IF($E$6='Lookup Tables Options'!$D$52,'Lookup Tables Options'!Y94,IF($E$6='Lookup Tables Options'!$D$100,'Lookup Tables Options'!Y142,IF($E$6='Lookup Tables Options'!$D$148,'Lookup Tables Options'!Y190,IF($E$6='Lookup Tables Options'!$D$196,'Lookup Tables Options'!Y238,"")))))</f>
        <v/>
      </c>
      <c r="Z50" s="270" t="str">
        <f>IF($E$6='Lookup Tables Options'!$D$4,'Lookup Tables Options'!Z46,IF($E$6='Lookup Tables Options'!$D$52,'Lookup Tables Options'!Z94,IF($E$6='Lookup Tables Options'!$D$100,'Lookup Tables Options'!Z142,IF($E$6='Lookup Tables Options'!$D$148,'Lookup Tables Options'!Z190,IF($E$6='Lookup Tables Options'!$D$196,'Lookup Tables Options'!Z238,"")))))</f>
        <v/>
      </c>
      <c r="AA50" s="270" t="str">
        <f>IF($E$6='Lookup Tables Options'!$D$4,'Lookup Tables Options'!AA46,IF($E$6='Lookup Tables Options'!$D$52,'Lookup Tables Options'!AA94,IF($E$6='Lookup Tables Options'!$D$100,'Lookup Tables Options'!AA142,IF($E$6='Lookup Tables Options'!$D$148,'Lookup Tables Options'!AA190,IF($E$6='Lookup Tables Options'!$D$196,'Lookup Tables Options'!AA238,"")))))</f>
        <v/>
      </c>
      <c r="AB50" s="270" t="str">
        <f>IF($E$6='Lookup Tables Options'!$D$4,'Lookup Tables Options'!AB46,IF($E$6='Lookup Tables Options'!$D$52,'Lookup Tables Options'!AB94,IF($E$6='Lookup Tables Options'!$D$100,'Lookup Tables Options'!AB142,IF($E$6='Lookup Tables Options'!$D$148,'Lookup Tables Options'!AB190,IF($E$6='Lookup Tables Options'!$D$196,'Lookup Tables Options'!AB238,"")))))</f>
        <v/>
      </c>
      <c r="AC50" s="270" t="str">
        <f>IF($E$6='Lookup Tables Options'!$D$4,'Lookup Tables Options'!AC46,IF($E$6='Lookup Tables Options'!$D$52,'Lookup Tables Options'!AC94,IF($E$6='Lookup Tables Options'!$D$100,'Lookup Tables Options'!AC142,IF($E$6='Lookup Tables Options'!$D$148,'Lookup Tables Options'!AC190,IF($E$6='Lookup Tables Options'!$D$196,'Lookup Tables Options'!AC238,"")))))</f>
        <v/>
      </c>
      <c r="AD50" s="268" t="str">
        <f>IF($E$6='Lookup Tables Options'!$D$4,'Lookup Tables Options'!AD46,IF($E$6='Lookup Tables Options'!$D$52,'Lookup Tables Options'!AD94,IF($E$6='Lookup Tables Options'!$D$100,'Lookup Tables Options'!AD142,IF($E$6='Lookup Tables Options'!$D$148,'Lookup Tables Options'!AD190,IF($E$6='Lookup Tables Options'!$D$196,'Lookup Tables Options'!AD238,"")))))</f>
        <v/>
      </c>
      <c r="AE50" s="270" t="str">
        <f>IF($E$6='Lookup Tables Options'!$D$4,'Lookup Tables Options'!AE46,IF($E$6='Lookup Tables Options'!$D$52,'Lookup Tables Options'!AE94,IF($E$6='Lookup Tables Options'!$D$100,'Lookup Tables Options'!AE142,IF($E$6='Lookup Tables Options'!$D$148,'Lookup Tables Options'!AE190,IF($E$6='Lookup Tables Options'!$D$196,'Lookup Tables Options'!AE238,"")))))</f>
        <v/>
      </c>
      <c r="AF50" s="270" t="str">
        <f>IF($E$6='Lookup Tables Options'!$D$4,'Lookup Tables Options'!AF46,IF($E$6='Lookup Tables Options'!$D$52,'Lookup Tables Options'!AF94,IF($E$6='Lookup Tables Options'!$D$100,'Lookup Tables Options'!AF142,IF($E$6='Lookup Tables Options'!$D$148,'Lookup Tables Options'!AF190,IF($E$6='Lookup Tables Options'!$D$196,'Lookup Tables Options'!AF238,"")))))</f>
        <v/>
      </c>
      <c r="AG50" s="270" t="str">
        <f>IF($E$6='Lookup Tables Options'!$D$4,'Lookup Tables Options'!AG46,IF($E$6='Lookup Tables Options'!$D$52,'Lookup Tables Options'!AG94,IF($E$6='Lookup Tables Options'!$D$100,'Lookup Tables Options'!AG142,IF($E$6='Lookup Tables Options'!$D$148,'Lookup Tables Options'!AG190,IF($E$6='Lookup Tables Options'!$D$196,'Lookup Tables Options'!AG238,"")))))</f>
        <v/>
      </c>
      <c r="AH50" s="270" t="str">
        <f>IF($E$6='Lookup Tables Options'!$D$4,'Lookup Tables Options'!AH46,IF($E$6='Lookup Tables Options'!$D$52,'Lookup Tables Options'!AH94,IF($E$6='Lookup Tables Options'!$D$100,'Lookup Tables Options'!AH142,IF($E$6='Lookup Tables Options'!$D$148,'Lookup Tables Options'!AH190,IF($E$6='Lookup Tables Options'!$D$196,'Lookup Tables Options'!AH238,"")))))</f>
        <v/>
      </c>
      <c r="AI50" s="270" t="str">
        <f>IF($E$6='Lookup Tables Options'!$D$4,'Lookup Tables Options'!AI46,IF($E$6='Lookup Tables Options'!$D$52,'Lookup Tables Options'!AI94,IF($E$6='Lookup Tables Options'!$D$100,'Lookup Tables Options'!AI142,IF($E$6='Lookup Tables Options'!$D$148,'Lookup Tables Options'!AI190,IF($E$6='Lookup Tables Options'!$D$196,'Lookup Tables Options'!AI238,"")))))</f>
        <v/>
      </c>
      <c r="AJ50" s="270" t="str">
        <f>IF($E$6='Lookup Tables Options'!$D$4,'Lookup Tables Options'!AJ46,IF($E$6='Lookup Tables Options'!$D$52,'Lookup Tables Options'!AJ94,IF($E$6='Lookup Tables Options'!$D$100,'Lookup Tables Options'!AJ142,IF($E$6='Lookup Tables Options'!$D$148,'Lookup Tables Options'!AJ190,IF($E$6='Lookup Tables Options'!$D$196,'Lookup Tables Options'!AJ238,"")))))</f>
        <v/>
      </c>
      <c r="AK50" s="270" t="str">
        <f>IF($E$6='Lookup Tables Options'!$D$4,'Lookup Tables Options'!AK46,IF($E$6='Lookup Tables Options'!$D$52,'Lookup Tables Options'!AK94,IF($E$6='Lookup Tables Options'!$D$100,'Lookup Tables Options'!AK142,IF($E$6='Lookup Tables Options'!$D$148,'Lookup Tables Options'!AK190,IF($E$6='Lookup Tables Options'!$D$196,'Lookup Tables Options'!AK238,"")))))</f>
        <v/>
      </c>
      <c r="AL50" s="270" t="str">
        <f>IF($E$6='Lookup Tables Options'!$D$4,'Lookup Tables Options'!AL46,IF($E$6='Lookup Tables Options'!$D$52,'Lookup Tables Options'!AL94,IF($E$6='Lookup Tables Options'!$D$100,'Lookup Tables Options'!AL142,IF($E$6='Lookup Tables Options'!$D$148,'Lookup Tables Options'!AL190,IF($E$6='Lookup Tables Options'!$D$196,'Lookup Tables Options'!AL238,"")))))</f>
        <v/>
      </c>
      <c r="AM50" s="269" t="str">
        <f>IF($E$6='Lookup Tables Options'!$D$4,'Lookup Tables Options'!AM46,IF($E$6='Lookup Tables Options'!$D$52,'Lookup Tables Options'!AM94,IF($E$6='Lookup Tables Options'!$D$100,'Lookup Tables Options'!AM142,IF($E$6='Lookup Tables Options'!$D$148,'Lookup Tables Options'!AM190,IF($E$6='Lookup Tables Options'!$D$196,'Lookup Tables Options'!AM238,"")))))</f>
        <v/>
      </c>
    </row>
    <row r="51" spans="1:39" ht="15.6">
      <c r="D51" s="267">
        <v>38</v>
      </c>
      <c r="E51" s="268" t="str">
        <f>IF($E$6='Lookup Tables Options'!$D$4,'Lookup Tables Options'!E47,IF($E$6='Lookup Tables Options'!$D$52,'Lookup Tables Options'!E95,IF($E$6='Lookup Tables Options'!$D$100,'Lookup Tables Options'!E143,IF($E$6='Lookup Tables Options'!$D$148,'Lookup Tables Options'!E191,IF($E$6='Lookup Tables Options'!$D$196,'Lookup Tables Options'!E239,"")))))</f>
        <v/>
      </c>
      <c r="F51" s="269" t="str">
        <f>IF($E$6='Lookup Tables Options'!$D$4,'Lookup Tables Options'!F47,IF($E$6='Lookup Tables Options'!$D$52,'Lookup Tables Options'!F95,IF($E$6='Lookup Tables Options'!$D$100,'Lookup Tables Options'!F143,IF($E$6='Lookup Tables Options'!$D$148,'Lookup Tables Options'!F191,IF($E$6='Lookup Tables Options'!$D$196,'Lookup Tables Options'!F239,"")))))</f>
        <v/>
      </c>
      <c r="G51" s="268" t="str">
        <f>IF($E$6='Lookup Tables Options'!$D$4,'Lookup Tables Options'!G47,IF($E$6='Lookup Tables Options'!$D$52,'Lookup Tables Options'!G95,IF($E$6='Lookup Tables Options'!$D$100,'Lookup Tables Options'!G143,IF($E$6='Lookup Tables Options'!$D$148,'Lookup Tables Options'!G191,IF($E$6='Lookup Tables Options'!$D$196,'Lookup Tables Options'!G239,"")))))</f>
        <v/>
      </c>
      <c r="H51" s="270" t="str">
        <f>IF($E$6='Lookup Tables Options'!$D$4,'Lookup Tables Options'!H47,IF($E$6='Lookup Tables Options'!$D$52,'Lookup Tables Options'!H95,IF($E$6='Lookup Tables Options'!$D$100,'Lookup Tables Options'!H143,IF($E$6='Lookup Tables Options'!$D$148,'Lookup Tables Options'!H191,IF($E$6='Lookup Tables Options'!$D$196,'Lookup Tables Options'!H239,"")))))</f>
        <v/>
      </c>
      <c r="I51" s="270" t="str">
        <f>IF($E$6='Lookup Tables Options'!$D$4,'Lookup Tables Options'!I47,IF($E$6='Lookup Tables Options'!$D$52,'Lookup Tables Options'!I95,IF($E$6='Lookup Tables Options'!$D$100,'Lookup Tables Options'!I143,IF($E$6='Lookup Tables Options'!$D$148,'Lookup Tables Options'!I191,IF($E$6='Lookup Tables Options'!$D$196,'Lookup Tables Options'!I239,"")))))</f>
        <v/>
      </c>
      <c r="J51" s="268" t="str">
        <f>IF($E$6='Lookup Tables Options'!$D$4,'Lookup Tables Options'!J47,IF($E$6='Lookup Tables Options'!$D$52,'Lookup Tables Options'!J95,IF($E$6='Lookup Tables Options'!$D$100,'Lookup Tables Options'!J143,IF($E$6='Lookup Tables Options'!$D$148,'Lookup Tables Options'!J191,IF($E$6='Lookup Tables Options'!$D$196,'Lookup Tables Options'!J239,"")))))</f>
        <v/>
      </c>
      <c r="K51" s="270" t="str">
        <f>IF($E$6='Lookup Tables Options'!$D$4,'Lookup Tables Options'!K47,IF($E$6='Lookup Tables Options'!$D$52,'Lookup Tables Options'!K95,IF($E$6='Lookup Tables Options'!$D$100,'Lookup Tables Options'!K143,IF($E$6='Lookup Tables Options'!$D$148,'Lookup Tables Options'!K191,IF($E$6='Lookup Tables Options'!$D$196,'Lookup Tables Options'!K239,"")))))</f>
        <v/>
      </c>
      <c r="L51" s="270" t="str">
        <f>IF($E$6='Lookup Tables Options'!$D$4,'Lookup Tables Options'!L47,IF($E$6='Lookup Tables Options'!$D$52,'Lookup Tables Options'!L95,IF($E$6='Lookup Tables Options'!$D$100,'Lookup Tables Options'!L143,IF($E$6='Lookup Tables Options'!$D$148,'Lookup Tables Options'!L191,IF($E$6='Lookup Tables Options'!$D$196,'Lookup Tables Options'!L239,"")))))</f>
        <v/>
      </c>
      <c r="M51" s="270" t="str">
        <f>IF($E$6='Lookup Tables Options'!$D$4,'Lookup Tables Options'!M47,IF($E$6='Lookup Tables Options'!$D$52,'Lookup Tables Options'!M95,IF($E$6='Lookup Tables Options'!$D$100,'Lookup Tables Options'!M143,IF($E$6='Lookup Tables Options'!$D$148,'Lookup Tables Options'!M191,IF($E$6='Lookup Tables Options'!$D$196,'Lookup Tables Options'!M239,"")))))</f>
        <v/>
      </c>
      <c r="N51" s="270" t="str">
        <f>IF($E$6='Lookup Tables Options'!$D$4,'Lookup Tables Options'!N47,IF($E$6='Lookup Tables Options'!$D$52,'Lookup Tables Options'!N95,IF($E$6='Lookup Tables Options'!$D$100,'Lookup Tables Options'!N143,IF($E$6='Lookup Tables Options'!$D$148,'Lookup Tables Options'!N191,IF($E$6='Lookup Tables Options'!$D$196,'Lookup Tables Options'!N239,"")))))</f>
        <v/>
      </c>
      <c r="O51" s="270" t="str">
        <f>IF($E$6='Lookup Tables Options'!$D$4,'Lookup Tables Options'!O47,IF($E$6='Lookup Tables Options'!$D$52,'Lookup Tables Options'!O95,IF($E$6='Lookup Tables Options'!$D$100,'Lookup Tables Options'!O143,IF($E$6='Lookup Tables Options'!$D$148,'Lookup Tables Options'!O191,IF($E$6='Lookup Tables Options'!$D$196,'Lookup Tables Options'!O239,"")))))</f>
        <v/>
      </c>
      <c r="P51" s="270" t="str">
        <f>IF($E$6='Lookup Tables Options'!$D$4,'Lookup Tables Options'!P47,IF($E$6='Lookup Tables Options'!$D$52,'Lookup Tables Options'!P95,IF($E$6='Lookup Tables Options'!$D$100,'Lookup Tables Options'!P143,IF($E$6='Lookup Tables Options'!$D$148,'Lookup Tables Options'!P191,IF($E$6='Lookup Tables Options'!$D$196,'Lookup Tables Options'!P239,"")))))</f>
        <v/>
      </c>
      <c r="Q51" s="270" t="str">
        <f>IF($E$6='Lookup Tables Options'!$D$4,'Lookup Tables Options'!Q47,IF($E$6='Lookup Tables Options'!$D$52,'Lookup Tables Options'!Q95,IF($E$6='Lookup Tables Options'!$D$100,'Lookup Tables Options'!Q143,IF($E$6='Lookup Tables Options'!$D$148,'Lookup Tables Options'!Q191,IF($E$6='Lookup Tables Options'!$D$196,'Lookup Tables Options'!Q239,"")))))</f>
        <v/>
      </c>
      <c r="R51" s="270" t="str">
        <f>IF($E$6='Lookup Tables Options'!$D$4,'Lookup Tables Options'!R47,IF($E$6='Lookup Tables Options'!$D$52,'Lookup Tables Options'!R95,IF($E$6='Lookup Tables Options'!$D$100,'Lookup Tables Options'!R143,IF($E$6='Lookup Tables Options'!$D$148,'Lookup Tables Options'!R191,IF($E$6='Lookup Tables Options'!$D$196,'Lookup Tables Options'!R239,"")))))</f>
        <v/>
      </c>
      <c r="S51" s="269" t="str">
        <f>IF($E$6='Lookup Tables Options'!$D$4,'Lookup Tables Options'!S47,IF($E$6='Lookup Tables Options'!$D$52,'Lookup Tables Options'!S95,IF($E$6='Lookup Tables Options'!$D$100,'Lookup Tables Options'!S143,IF($E$6='Lookup Tables Options'!$D$148,'Lookup Tables Options'!S191,IF($E$6='Lookup Tables Options'!$D$196,'Lookup Tables Options'!S239,"")))))</f>
        <v/>
      </c>
      <c r="T51" s="268" t="str">
        <f>IF($E$6='Lookup Tables Options'!$D$4,'Lookup Tables Options'!T47,IF($E$6='Lookup Tables Options'!$D$52,'Lookup Tables Options'!T95,IF($E$6='Lookup Tables Options'!$D$100,'Lookup Tables Options'!T143,IF($E$6='Lookup Tables Options'!$D$148,'Lookup Tables Options'!T191,IF($E$6='Lookup Tables Options'!$D$196,'Lookup Tables Options'!T239,"")))))</f>
        <v/>
      </c>
      <c r="U51" s="270" t="str">
        <f>IF($E$6='Lookup Tables Options'!$D$4,'Lookup Tables Options'!U47,IF($E$6='Lookup Tables Options'!$D$52,'Lookup Tables Options'!U95,IF($E$6='Lookup Tables Options'!$D$100,'Lookup Tables Options'!U143,IF($E$6='Lookup Tables Options'!$D$148,'Lookup Tables Options'!U191,IF($E$6='Lookup Tables Options'!$D$196,'Lookup Tables Options'!U239,"")))))</f>
        <v/>
      </c>
      <c r="V51" s="270" t="str">
        <f>IF($E$6='Lookup Tables Options'!$D$4,'Lookup Tables Options'!V47,IF($E$6='Lookup Tables Options'!$D$52,'Lookup Tables Options'!V95,IF($E$6='Lookup Tables Options'!$D$100,'Lookup Tables Options'!V143,IF($E$6='Lookup Tables Options'!$D$148,'Lookup Tables Options'!V191,IF($E$6='Lookup Tables Options'!$D$196,'Lookup Tables Options'!V239,"")))))</f>
        <v/>
      </c>
      <c r="W51" s="270" t="str">
        <f>IF($E$6='Lookup Tables Options'!$D$4,'Lookup Tables Options'!W47,IF($E$6='Lookup Tables Options'!$D$52,'Lookup Tables Options'!W95,IF($E$6='Lookup Tables Options'!$D$100,'Lookup Tables Options'!W143,IF($E$6='Lookup Tables Options'!$D$148,'Lookup Tables Options'!W191,IF($E$6='Lookup Tables Options'!$D$196,'Lookup Tables Options'!W239,"")))))</f>
        <v/>
      </c>
      <c r="X51" s="270" t="str">
        <f>IF($E$6='Lookup Tables Options'!$D$4,'Lookup Tables Options'!X47,IF($E$6='Lookup Tables Options'!$D$52,'Lookup Tables Options'!X95,IF($E$6='Lookup Tables Options'!$D$100,'Lookup Tables Options'!X143,IF($E$6='Lookup Tables Options'!$D$148,'Lookup Tables Options'!X191,IF($E$6='Lookup Tables Options'!$D$196,'Lookup Tables Options'!X239,"")))))</f>
        <v/>
      </c>
      <c r="Y51" s="270" t="str">
        <f>IF($E$6='Lookup Tables Options'!$D$4,'Lookup Tables Options'!Y47,IF($E$6='Lookup Tables Options'!$D$52,'Lookup Tables Options'!Y95,IF($E$6='Lookup Tables Options'!$D$100,'Lookup Tables Options'!Y143,IF($E$6='Lookup Tables Options'!$D$148,'Lookup Tables Options'!Y191,IF($E$6='Lookup Tables Options'!$D$196,'Lookup Tables Options'!Y239,"")))))</f>
        <v/>
      </c>
      <c r="Z51" s="270" t="str">
        <f>IF($E$6='Lookup Tables Options'!$D$4,'Lookup Tables Options'!Z47,IF($E$6='Lookup Tables Options'!$D$52,'Lookup Tables Options'!Z95,IF($E$6='Lookup Tables Options'!$D$100,'Lookup Tables Options'!Z143,IF($E$6='Lookup Tables Options'!$D$148,'Lookup Tables Options'!Z191,IF($E$6='Lookup Tables Options'!$D$196,'Lookup Tables Options'!Z239,"")))))</f>
        <v/>
      </c>
      <c r="AA51" s="270" t="str">
        <f>IF($E$6='Lookup Tables Options'!$D$4,'Lookup Tables Options'!AA47,IF($E$6='Lookup Tables Options'!$D$52,'Lookup Tables Options'!AA95,IF($E$6='Lookup Tables Options'!$D$100,'Lookup Tables Options'!AA143,IF($E$6='Lookup Tables Options'!$D$148,'Lookup Tables Options'!AA191,IF($E$6='Lookup Tables Options'!$D$196,'Lookup Tables Options'!AA239,"")))))</f>
        <v/>
      </c>
      <c r="AB51" s="270" t="str">
        <f>IF($E$6='Lookup Tables Options'!$D$4,'Lookup Tables Options'!AB47,IF($E$6='Lookup Tables Options'!$D$52,'Lookup Tables Options'!AB95,IF($E$6='Lookup Tables Options'!$D$100,'Lookup Tables Options'!AB143,IF($E$6='Lookup Tables Options'!$D$148,'Lookup Tables Options'!AB191,IF($E$6='Lookup Tables Options'!$D$196,'Lookup Tables Options'!AB239,"")))))</f>
        <v/>
      </c>
      <c r="AC51" s="270" t="str">
        <f>IF($E$6='Lookup Tables Options'!$D$4,'Lookup Tables Options'!AC47,IF($E$6='Lookup Tables Options'!$D$52,'Lookup Tables Options'!AC95,IF($E$6='Lookup Tables Options'!$D$100,'Lookup Tables Options'!AC143,IF($E$6='Lookup Tables Options'!$D$148,'Lookup Tables Options'!AC191,IF($E$6='Lookup Tables Options'!$D$196,'Lookup Tables Options'!AC239,"")))))</f>
        <v/>
      </c>
      <c r="AD51" s="268" t="str">
        <f>IF($E$6='Lookup Tables Options'!$D$4,'Lookup Tables Options'!AD47,IF($E$6='Lookup Tables Options'!$D$52,'Lookup Tables Options'!AD95,IF($E$6='Lookup Tables Options'!$D$100,'Lookup Tables Options'!AD143,IF($E$6='Lookup Tables Options'!$D$148,'Lookup Tables Options'!AD191,IF($E$6='Lookup Tables Options'!$D$196,'Lookup Tables Options'!AD239,"")))))</f>
        <v/>
      </c>
      <c r="AE51" s="270" t="str">
        <f>IF($E$6='Lookup Tables Options'!$D$4,'Lookup Tables Options'!AE47,IF($E$6='Lookup Tables Options'!$D$52,'Lookup Tables Options'!AE95,IF($E$6='Lookup Tables Options'!$D$100,'Lookup Tables Options'!AE143,IF($E$6='Lookup Tables Options'!$D$148,'Lookup Tables Options'!AE191,IF($E$6='Lookup Tables Options'!$D$196,'Lookup Tables Options'!AE239,"")))))</f>
        <v/>
      </c>
      <c r="AF51" s="270" t="str">
        <f>IF($E$6='Lookup Tables Options'!$D$4,'Lookup Tables Options'!AF47,IF($E$6='Lookup Tables Options'!$D$52,'Lookup Tables Options'!AF95,IF($E$6='Lookup Tables Options'!$D$100,'Lookup Tables Options'!AF143,IF($E$6='Lookup Tables Options'!$D$148,'Lookup Tables Options'!AF191,IF($E$6='Lookup Tables Options'!$D$196,'Lookup Tables Options'!AF239,"")))))</f>
        <v/>
      </c>
      <c r="AG51" s="270" t="str">
        <f>IF($E$6='Lookup Tables Options'!$D$4,'Lookup Tables Options'!AG47,IF($E$6='Lookup Tables Options'!$D$52,'Lookup Tables Options'!AG95,IF($E$6='Lookup Tables Options'!$D$100,'Lookup Tables Options'!AG143,IF($E$6='Lookup Tables Options'!$D$148,'Lookup Tables Options'!AG191,IF($E$6='Lookup Tables Options'!$D$196,'Lookup Tables Options'!AG239,"")))))</f>
        <v/>
      </c>
      <c r="AH51" s="270" t="str">
        <f>IF($E$6='Lookup Tables Options'!$D$4,'Lookup Tables Options'!AH47,IF($E$6='Lookup Tables Options'!$D$52,'Lookup Tables Options'!AH95,IF($E$6='Lookup Tables Options'!$D$100,'Lookup Tables Options'!AH143,IF($E$6='Lookup Tables Options'!$D$148,'Lookup Tables Options'!AH191,IF($E$6='Lookup Tables Options'!$D$196,'Lookup Tables Options'!AH239,"")))))</f>
        <v/>
      </c>
      <c r="AI51" s="270" t="str">
        <f>IF($E$6='Lookup Tables Options'!$D$4,'Lookup Tables Options'!AI47,IF($E$6='Lookup Tables Options'!$D$52,'Lookup Tables Options'!AI95,IF($E$6='Lookup Tables Options'!$D$100,'Lookup Tables Options'!AI143,IF($E$6='Lookup Tables Options'!$D$148,'Lookup Tables Options'!AI191,IF($E$6='Lookup Tables Options'!$D$196,'Lookup Tables Options'!AI239,"")))))</f>
        <v/>
      </c>
      <c r="AJ51" s="270" t="str">
        <f>IF($E$6='Lookup Tables Options'!$D$4,'Lookup Tables Options'!AJ47,IF($E$6='Lookup Tables Options'!$D$52,'Lookup Tables Options'!AJ95,IF($E$6='Lookup Tables Options'!$D$100,'Lookup Tables Options'!AJ143,IF($E$6='Lookup Tables Options'!$D$148,'Lookup Tables Options'!AJ191,IF($E$6='Lookup Tables Options'!$D$196,'Lookup Tables Options'!AJ239,"")))))</f>
        <v/>
      </c>
      <c r="AK51" s="270" t="str">
        <f>IF($E$6='Lookup Tables Options'!$D$4,'Lookup Tables Options'!AK47,IF($E$6='Lookup Tables Options'!$D$52,'Lookup Tables Options'!AK95,IF($E$6='Lookup Tables Options'!$D$100,'Lookup Tables Options'!AK143,IF($E$6='Lookup Tables Options'!$D$148,'Lookup Tables Options'!AK191,IF($E$6='Lookup Tables Options'!$D$196,'Lookup Tables Options'!AK239,"")))))</f>
        <v/>
      </c>
      <c r="AL51" s="270" t="str">
        <f>IF($E$6='Lookup Tables Options'!$D$4,'Lookup Tables Options'!AL47,IF($E$6='Lookup Tables Options'!$D$52,'Lookup Tables Options'!AL95,IF($E$6='Lookup Tables Options'!$D$100,'Lookup Tables Options'!AL143,IF($E$6='Lookup Tables Options'!$D$148,'Lookup Tables Options'!AL191,IF($E$6='Lookup Tables Options'!$D$196,'Lookup Tables Options'!AL239,"")))))</f>
        <v/>
      </c>
      <c r="AM51" s="269" t="str">
        <f>IF($E$6='Lookup Tables Options'!$D$4,'Lookup Tables Options'!AM47,IF($E$6='Lookup Tables Options'!$D$52,'Lookup Tables Options'!AM95,IF($E$6='Lookup Tables Options'!$D$100,'Lookup Tables Options'!AM143,IF($E$6='Lookup Tables Options'!$D$148,'Lookup Tables Options'!AM191,IF($E$6='Lookup Tables Options'!$D$196,'Lookup Tables Options'!AM239,"")))))</f>
        <v/>
      </c>
    </row>
    <row r="52" spans="1:39" ht="15.6">
      <c r="D52" s="267">
        <v>39</v>
      </c>
      <c r="E52" s="268" t="str">
        <f>IF($E$6='Lookup Tables Options'!$D$4,'Lookup Tables Options'!E48,IF($E$6='Lookup Tables Options'!$D$52,'Lookup Tables Options'!E96,IF($E$6='Lookup Tables Options'!$D$100,'Lookup Tables Options'!E144,IF($E$6='Lookup Tables Options'!$D$148,'Lookup Tables Options'!E192,IF($E$6='Lookup Tables Options'!$D$196,'Lookup Tables Options'!E240,"")))))</f>
        <v/>
      </c>
      <c r="F52" s="269" t="str">
        <f>IF($E$6='Lookup Tables Options'!$D$4,'Lookup Tables Options'!F48,IF($E$6='Lookup Tables Options'!$D$52,'Lookup Tables Options'!F96,IF($E$6='Lookup Tables Options'!$D$100,'Lookup Tables Options'!F144,IF($E$6='Lookup Tables Options'!$D$148,'Lookup Tables Options'!F192,IF($E$6='Lookup Tables Options'!$D$196,'Lookup Tables Options'!F240,"")))))</f>
        <v/>
      </c>
      <c r="G52" s="268" t="str">
        <f>IF($E$6='Lookup Tables Options'!$D$4,'Lookup Tables Options'!G48,IF($E$6='Lookup Tables Options'!$D$52,'Lookup Tables Options'!G96,IF($E$6='Lookup Tables Options'!$D$100,'Lookup Tables Options'!G144,IF($E$6='Lookup Tables Options'!$D$148,'Lookup Tables Options'!G192,IF($E$6='Lookup Tables Options'!$D$196,'Lookup Tables Options'!G240,"")))))</f>
        <v/>
      </c>
      <c r="H52" s="270" t="str">
        <f>IF($E$6='Lookup Tables Options'!$D$4,'Lookup Tables Options'!H48,IF($E$6='Lookup Tables Options'!$D$52,'Lookup Tables Options'!H96,IF($E$6='Lookup Tables Options'!$D$100,'Lookup Tables Options'!H144,IF($E$6='Lookup Tables Options'!$D$148,'Lookup Tables Options'!H192,IF($E$6='Lookup Tables Options'!$D$196,'Lookup Tables Options'!H240,"")))))</f>
        <v/>
      </c>
      <c r="I52" s="270" t="str">
        <f>IF($E$6='Lookup Tables Options'!$D$4,'Lookup Tables Options'!I48,IF($E$6='Lookup Tables Options'!$D$52,'Lookup Tables Options'!I96,IF($E$6='Lookup Tables Options'!$D$100,'Lookup Tables Options'!I144,IF($E$6='Lookup Tables Options'!$D$148,'Lookup Tables Options'!I192,IF($E$6='Lookup Tables Options'!$D$196,'Lookup Tables Options'!I240,"")))))</f>
        <v/>
      </c>
      <c r="J52" s="268" t="str">
        <f>IF($E$6='Lookup Tables Options'!$D$4,'Lookup Tables Options'!J48,IF($E$6='Lookup Tables Options'!$D$52,'Lookup Tables Options'!J96,IF($E$6='Lookup Tables Options'!$D$100,'Lookup Tables Options'!J144,IF($E$6='Lookup Tables Options'!$D$148,'Lookup Tables Options'!J192,IF($E$6='Lookup Tables Options'!$D$196,'Lookup Tables Options'!J240,"")))))</f>
        <v/>
      </c>
      <c r="K52" s="270" t="str">
        <f>IF($E$6='Lookup Tables Options'!$D$4,'Lookup Tables Options'!K48,IF($E$6='Lookup Tables Options'!$D$52,'Lookup Tables Options'!K96,IF($E$6='Lookup Tables Options'!$D$100,'Lookup Tables Options'!K144,IF($E$6='Lookup Tables Options'!$D$148,'Lookup Tables Options'!K192,IF($E$6='Lookup Tables Options'!$D$196,'Lookup Tables Options'!K240,"")))))</f>
        <v/>
      </c>
      <c r="L52" s="270" t="str">
        <f>IF($E$6='Lookup Tables Options'!$D$4,'Lookup Tables Options'!L48,IF($E$6='Lookup Tables Options'!$D$52,'Lookup Tables Options'!L96,IF($E$6='Lookup Tables Options'!$D$100,'Lookup Tables Options'!L144,IF($E$6='Lookup Tables Options'!$D$148,'Lookup Tables Options'!L192,IF($E$6='Lookup Tables Options'!$D$196,'Lookup Tables Options'!L240,"")))))</f>
        <v/>
      </c>
      <c r="M52" s="270" t="str">
        <f>IF($E$6='Lookup Tables Options'!$D$4,'Lookup Tables Options'!M48,IF($E$6='Lookup Tables Options'!$D$52,'Lookup Tables Options'!M96,IF($E$6='Lookup Tables Options'!$D$100,'Lookup Tables Options'!M144,IF($E$6='Lookup Tables Options'!$D$148,'Lookup Tables Options'!M192,IF($E$6='Lookup Tables Options'!$D$196,'Lookup Tables Options'!M240,"")))))</f>
        <v/>
      </c>
      <c r="N52" s="270" t="str">
        <f>IF($E$6='Lookup Tables Options'!$D$4,'Lookup Tables Options'!N48,IF($E$6='Lookup Tables Options'!$D$52,'Lookup Tables Options'!N96,IF($E$6='Lookup Tables Options'!$D$100,'Lookup Tables Options'!N144,IF($E$6='Lookup Tables Options'!$D$148,'Lookup Tables Options'!N192,IF($E$6='Lookup Tables Options'!$D$196,'Lookup Tables Options'!N240,"")))))</f>
        <v/>
      </c>
      <c r="O52" s="270" t="str">
        <f>IF($E$6='Lookup Tables Options'!$D$4,'Lookup Tables Options'!O48,IF($E$6='Lookup Tables Options'!$D$52,'Lookup Tables Options'!O96,IF($E$6='Lookup Tables Options'!$D$100,'Lookup Tables Options'!O144,IF($E$6='Lookup Tables Options'!$D$148,'Lookup Tables Options'!O192,IF($E$6='Lookup Tables Options'!$D$196,'Lookup Tables Options'!O240,"")))))</f>
        <v/>
      </c>
      <c r="P52" s="270" t="str">
        <f>IF($E$6='Lookup Tables Options'!$D$4,'Lookup Tables Options'!P48,IF($E$6='Lookup Tables Options'!$D$52,'Lookup Tables Options'!P96,IF($E$6='Lookup Tables Options'!$D$100,'Lookup Tables Options'!P144,IF($E$6='Lookup Tables Options'!$D$148,'Lookup Tables Options'!P192,IF($E$6='Lookup Tables Options'!$D$196,'Lookup Tables Options'!P240,"")))))</f>
        <v/>
      </c>
      <c r="Q52" s="270" t="str">
        <f>IF($E$6='Lookup Tables Options'!$D$4,'Lookup Tables Options'!Q48,IF($E$6='Lookup Tables Options'!$D$52,'Lookup Tables Options'!Q96,IF($E$6='Lookup Tables Options'!$D$100,'Lookup Tables Options'!Q144,IF($E$6='Lookup Tables Options'!$D$148,'Lookup Tables Options'!Q192,IF($E$6='Lookup Tables Options'!$D$196,'Lookup Tables Options'!Q240,"")))))</f>
        <v/>
      </c>
      <c r="R52" s="270" t="str">
        <f>IF($E$6='Lookup Tables Options'!$D$4,'Lookup Tables Options'!R48,IF($E$6='Lookup Tables Options'!$D$52,'Lookup Tables Options'!R96,IF($E$6='Lookup Tables Options'!$D$100,'Lookup Tables Options'!R144,IF($E$6='Lookup Tables Options'!$D$148,'Lookup Tables Options'!R192,IF($E$6='Lookup Tables Options'!$D$196,'Lookup Tables Options'!R240,"")))))</f>
        <v/>
      </c>
      <c r="S52" s="269" t="str">
        <f>IF($E$6='Lookup Tables Options'!$D$4,'Lookup Tables Options'!S48,IF($E$6='Lookup Tables Options'!$D$52,'Lookup Tables Options'!S96,IF($E$6='Lookup Tables Options'!$D$100,'Lookup Tables Options'!S144,IF($E$6='Lookup Tables Options'!$D$148,'Lookup Tables Options'!S192,IF($E$6='Lookup Tables Options'!$D$196,'Lookup Tables Options'!S240,"")))))</f>
        <v/>
      </c>
      <c r="T52" s="268" t="str">
        <f>IF($E$6='Lookup Tables Options'!$D$4,'Lookup Tables Options'!T48,IF($E$6='Lookup Tables Options'!$D$52,'Lookup Tables Options'!T96,IF($E$6='Lookup Tables Options'!$D$100,'Lookup Tables Options'!T144,IF($E$6='Lookup Tables Options'!$D$148,'Lookup Tables Options'!T192,IF($E$6='Lookup Tables Options'!$D$196,'Lookup Tables Options'!T240,"")))))</f>
        <v/>
      </c>
      <c r="U52" s="270" t="str">
        <f>IF($E$6='Lookup Tables Options'!$D$4,'Lookup Tables Options'!U48,IF($E$6='Lookup Tables Options'!$D$52,'Lookup Tables Options'!U96,IF($E$6='Lookup Tables Options'!$D$100,'Lookup Tables Options'!U144,IF($E$6='Lookup Tables Options'!$D$148,'Lookup Tables Options'!U192,IF($E$6='Lookup Tables Options'!$D$196,'Lookup Tables Options'!U240,"")))))</f>
        <v/>
      </c>
      <c r="V52" s="270" t="str">
        <f>IF($E$6='Lookup Tables Options'!$D$4,'Lookup Tables Options'!V48,IF($E$6='Lookup Tables Options'!$D$52,'Lookup Tables Options'!V96,IF($E$6='Lookup Tables Options'!$D$100,'Lookup Tables Options'!V144,IF($E$6='Lookup Tables Options'!$D$148,'Lookup Tables Options'!V192,IF($E$6='Lookup Tables Options'!$D$196,'Lookup Tables Options'!V240,"")))))</f>
        <v/>
      </c>
      <c r="W52" s="270" t="str">
        <f>IF($E$6='Lookup Tables Options'!$D$4,'Lookup Tables Options'!W48,IF($E$6='Lookup Tables Options'!$D$52,'Lookup Tables Options'!W96,IF($E$6='Lookup Tables Options'!$D$100,'Lookup Tables Options'!W144,IF($E$6='Lookup Tables Options'!$D$148,'Lookup Tables Options'!W192,IF($E$6='Lookup Tables Options'!$D$196,'Lookup Tables Options'!W240,"")))))</f>
        <v/>
      </c>
      <c r="X52" s="270" t="str">
        <f>IF($E$6='Lookup Tables Options'!$D$4,'Lookup Tables Options'!X48,IF($E$6='Lookup Tables Options'!$D$52,'Lookup Tables Options'!X96,IF($E$6='Lookup Tables Options'!$D$100,'Lookup Tables Options'!X144,IF($E$6='Lookup Tables Options'!$D$148,'Lookup Tables Options'!X192,IF($E$6='Lookup Tables Options'!$D$196,'Lookup Tables Options'!X240,"")))))</f>
        <v/>
      </c>
      <c r="Y52" s="270" t="str">
        <f>IF($E$6='Lookup Tables Options'!$D$4,'Lookup Tables Options'!Y48,IF($E$6='Lookup Tables Options'!$D$52,'Lookup Tables Options'!Y96,IF($E$6='Lookup Tables Options'!$D$100,'Lookup Tables Options'!Y144,IF($E$6='Lookup Tables Options'!$D$148,'Lookup Tables Options'!Y192,IF($E$6='Lookup Tables Options'!$D$196,'Lookup Tables Options'!Y240,"")))))</f>
        <v/>
      </c>
      <c r="Z52" s="270" t="str">
        <f>IF($E$6='Lookup Tables Options'!$D$4,'Lookup Tables Options'!Z48,IF($E$6='Lookup Tables Options'!$D$52,'Lookup Tables Options'!Z96,IF($E$6='Lookup Tables Options'!$D$100,'Lookup Tables Options'!Z144,IF($E$6='Lookup Tables Options'!$D$148,'Lookup Tables Options'!Z192,IF($E$6='Lookup Tables Options'!$D$196,'Lookup Tables Options'!Z240,"")))))</f>
        <v/>
      </c>
      <c r="AA52" s="270" t="str">
        <f>IF($E$6='Lookup Tables Options'!$D$4,'Lookup Tables Options'!AA48,IF($E$6='Lookup Tables Options'!$D$52,'Lookup Tables Options'!AA96,IF($E$6='Lookup Tables Options'!$D$100,'Lookup Tables Options'!AA144,IF($E$6='Lookup Tables Options'!$D$148,'Lookup Tables Options'!AA192,IF($E$6='Lookup Tables Options'!$D$196,'Lookup Tables Options'!AA240,"")))))</f>
        <v/>
      </c>
      <c r="AB52" s="270" t="str">
        <f>IF($E$6='Lookup Tables Options'!$D$4,'Lookup Tables Options'!AB48,IF($E$6='Lookup Tables Options'!$D$52,'Lookup Tables Options'!AB96,IF($E$6='Lookup Tables Options'!$D$100,'Lookup Tables Options'!AB144,IF($E$6='Lookup Tables Options'!$D$148,'Lookup Tables Options'!AB192,IF($E$6='Lookup Tables Options'!$D$196,'Lookup Tables Options'!AB240,"")))))</f>
        <v/>
      </c>
      <c r="AC52" s="270" t="str">
        <f>IF($E$6='Lookup Tables Options'!$D$4,'Lookup Tables Options'!AC48,IF($E$6='Lookup Tables Options'!$D$52,'Lookup Tables Options'!AC96,IF($E$6='Lookup Tables Options'!$D$100,'Lookup Tables Options'!AC144,IF($E$6='Lookup Tables Options'!$D$148,'Lookup Tables Options'!AC192,IF($E$6='Lookup Tables Options'!$D$196,'Lookup Tables Options'!AC240,"")))))</f>
        <v/>
      </c>
      <c r="AD52" s="268" t="str">
        <f>IF($E$6='Lookup Tables Options'!$D$4,'Lookup Tables Options'!AD48,IF($E$6='Lookup Tables Options'!$D$52,'Lookup Tables Options'!AD96,IF($E$6='Lookup Tables Options'!$D$100,'Lookup Tables Options'!AD144,IF($E$6='Lookup Tables Options'!$D$148,'Lookup Tables Options'!AD192,IF($E$6='Lookup Tables Options'!$D$196,'Lookup Tables Options'!AD240,"")))))</f>
        <v/>
      </c>
      <c r="AE52" s="270" t="str">
        <f>IF($E$6='Lookup Tables Options'!$D$4,'Lookup Tables Options'!AE48,IF($E$6='Lookup Tables Options'!$D$52,'Lookup Tables Options'!AE96,IF($E$6='Lookup Tables Options'!$D$100,'Lookup Tables Options'!AE144,IF($E$6='Lookup Tables Options'!$D$148,'Lookup Tables Options'!AE192,IF($E$6='Lookup Tables Options'!$D$196,'Lookup Tables Options'!AE240,"")))))</f>
        <v/>
      </c>
      <c r="AF52" s="270" t="str">
        <f>IF($E$6='Lookup Tables Options'!$D$4,'Lookup Tables Options'!AF48,IF($E$6='Lookup Tables Options'!$D$52,'Lookup Tables Options'!AF96,IF($E$6='Lookup Tables Options'!$D$100,'Lookup Tables Options'!AF144,IF($E$6='Lookup Tables Options'!$D$148,'Lookup Tables Options'!AF192,IF($E$6='Lookup Tables Options'!$D$196,'Lookup Tables Options'!AF240,"")))))</f>
        <v/>
      </c>
      <c r="AG52" s="270" t="str">
        <f>IF($E$6='Lookup Tables Options'!$D$4,'Lookup Tables Options'!AG48,IF($E$6='Lookup Tables Options'!$D$52,'Lookup Tables Options'!AG96,IF($E$6='Lookup Tables Options'!$D$100,'Lookup Tables Options'!AG144,IF($E$6='Lookup Tables Options'!$D$148,'Lookup Tables Options'!AG192,IF($E$6='Lookup Tables Options'!$D$196,'Lookup Tables Options'!AG240,"")))))</f>
        <v/>
      </c>
      <c r="AH52" s="270" t="str">
        <f>IF($E$6='Lookup Tables Options'!$D$4,'Lookup Tables Options'!AH48,IF($E$6='Lookup Tables Options'!$D$52,'Lookup Tables Options'!AH96,IF($E$6='Lookup Tables Options'!$D$100,'Lookup Tables Options'!AH144,IF($E$6='Lookup Tables Options'!$D$148,'Lookup Tables Options'!AH192,IF($E$6='Lookup Tables Options'!$D$196,'Lookup Tables Options'!AH240,"")))))</f>
        <v/>
      </c>
      <c r="AI52" s="270" t="str">
        <f>IF($E$6='Lookup Tables Options'!$D$4,'Lookup Tables Options'!AI48,IF($E$6='Lookup Tables Options'!$D$52,'Lookup Tables Options'!AI96,IF($E$6='Lookup Tables Options'!$D$100,'Lookup Tables Options'!AI144,IF($E$6='Lookup Tables Options'!$D$148,'Lookup Tables Options'!AI192,IF($E$6='Lookup Tables Options'!$D$196,'Lookup Tables Options'!AI240,"")))))</f>
        <v/>
      </c>
      <c r="AJ52" s="270" t="str">
        <f>IF($E$6='Lookup Tables Options'!$D$4,'Lookup Tables Options'!AJ48,IF($E$6='Lookup Tables Options'!$D$52,'Lookup Tables Options'!AJ96,IF($E$6='Lookup Tables Options'!$D$100,'Lookup Tables Options'!AJ144,IF($E$6='Lookup Tables Options'!$D$148,'Lookup Tables Options'!AJ192,IF($E$6='Lookup Tables Options'!$D$196,'Lookup Tables Options'!AJ240,"")))))</f>
        <v/>
      </c>
      <c r="AK52" s="270" t="str">
        <f>IF($E$6='Lookup Tables Options'!$D$4,'Lookup Tables Options'!AK48,IF($E$6='Lookup Tables Options'!$D$52,'Lookup Tables Options'!AK96,IF($E$6='Lookup Tables Options'!$D$100,'Lookup Tables Options'!AK144,IF($E$6='Lookup Tables Options'!$D$148,'Lookup Tables Options'!AK192,IF($E$6='Lookup Tables Options'!$D$196,'Lookup Tables Options'!AK240,"")))))</f>
        <v/>
      </c>
      <c r="AL52" s="270" t="str">
        <f>IF($E$6='Lookup Tables Options'!$D$4,'Lookup Tables Options'!AL48,IF($E$6='Lookup Tables Options'!$D$52,'Lookup Tables Options'!AL96,IF($E$6='Lookup Tables Options'!$D$100,'Lookup Tables Options'!AL144,IF($E$6='Lookup Tables Options'!$D$148,'Lookup Tables Options'!AL192,IF($E$6='Lookup Tables Options'!$D$196,'Lookup Tables Options'!AL240,"")))))</f>
        <v/>
      </c>
      <c r="AM52" s="269" t="str">
        <f>IF($E$6='Lookup Tables Options'!$D$4,'Lookup Tables Options'!AM48,IF($E$6='Lookup Tables Options'!$D$52,'Lookup Tables Options'!AM96,IF($E$6='Lookup Tables Options'!$D$100,'Lookup Tables Options'!AM144,IF($E$6='Lookup Tables Options'!$D$148,'Lookup Tables Options'!AM192,IF($E$6='Lookup Tables Options'!$D$196,'Lookup Tables Options'!AM240,"")))))</f>
        <v/>
      </c>
    </row>
    <row r="53" spans="1:39" ht="15.6">
      <c r="D53" s="274">
        <v>40</v>
      </c>
      <c r="E53" s="264" t="str">
        <f>IF($E$6='Lookup Tables Options'!$D$4,'Lookup Tables Options'!E49,IF($E$6='Lookup Tables Options'!$D$52,'Lookup Tables Options'!E97,IF($E$6='Lookup Tables Options'!$D$100,'Lookup Tables Options'!E145,IF($E$6='Lookup Tables Options'!$D$148,'Lookup Tables Options'!E193,IF($E$6='Lookup Tables Options'!$D$196,'Lookup Tables Options'!E241,"")))))</f>
        <v/>
      </c>
      <c r="F53" s="266" t="str">
        <f>IF($E$6='Lookup Tables Options'!$D$4,'Lookup Tables Options'!F49,IF($E$6='Lookup Tables Options'!$D$52,'Lookup Tables Options'!F97,IF($E$6='Lookup Tables Options'!$D$100,'Lookup Tables Options'!F145,IF($E$6='Lookup Tables Options'!$D$148,'Lookup Tables Options'!F193,IF($E$6='Lookup Tables Options'!$D$196,'Lookup Tables Options'!F241,"")))))</f>
        <v/>
      </c>
      <c r="G53" s="264" t="str">
        <f>IF($E$6='Lookup Tables Options'!$D$4,'Lookup Tables Options'!G49,IF($E$6='Lookup Tables Options'!$D$52,'Lookup Tables Options'!G97,IF($E$6='Lookup Tables Options'!$D$100,'Lookup Tables Options'!G145,IF($E$6='Lookup Tables Options'!$D$148,'Lookup Tables Options'!G193,IF($E$6='Lookup Tables Options'!$D$196,'Lookup Tables Options'!G241,"")))))</f>
        <v/>
      </c>
      <c r="H53" s="265" t="str">
        <f>IF($E$6='Lookup Tables Options'!$D$4,'Lookup Tables Options'!H49,IF($E$6='Lookup Tables Options'!$D$52,'Lookup Tables Options'!H97,IF($E$6='Lookup Tables Options'!$D$100,'Lookup Tables Options'!H145,IF($E$6='Lookup Tables Options'!$D$148,'Lookup Tables Options'!H193,IF($E$6='Lookup Tables Options'!$D$196,'Lookup Tables Options'!H241,"")))))</f>
        <v/>
      </c>
      <c r="I53" s="265" t="str">
        <f>IF($E$6='Lookup Tables Options'!$D$4,'Lookup Tables Options'!I49,IF($E$6='Lookup Tables Options'!$D$52,'Lookup Tables Options'!I97,IF($E$6='Lookup Tables Options'!$D$100,'Lookup Tables Options'!I145,IF($E$6='Lookup Tables Options'!$D$148,'Lookup Tables Options'!I193,IF($E$6='Lookup Tables Options'!$D$196,'Lookup Tables Options'!I241,"")))))</f>
        <v/>
      </c>
      <c r="J53" s="264" t="str">
        <f>IF($E$6='Lookup Tables Options'!$D$4,'Lookup Tables Options'!J49,IF($E$6='Lookup Tables Options'!$D$52,'Lookup Tables Options'!J97,IF($E$6='Lookup Tables Options'!$D$100,'Lookup Tables Options'!J145,IF($E$6='Lookup Tables Options'!$D$148,'Lookup Tables Options'!J193,IF($E$6='Lookup Tables Options'!$D$196,'Lookup Tables Options'!J241,"")))))</f>
        <v/>
      </c>
      <c r="K53" s="265" t="str">
        <f>IF($E$6='Lookup Tables Options'!$D$4,'Lookup Tables Options'!K49,IF($E$6='Lookup Tables Options'!$D$52,'Lookup Tables Options'!K97,IF($E$6='Lookup Tables Options'!$D$100,'Lookup Tables Options'!K145,IF($E$6='Lookup Tables Options'!$D$148,'Lookup Tables Options'!K193,IF($E$6='Lookup Tables Options'!$D$196,'Lookup Tables Options'!K241,"")))))</f>
        <v/>
      </c>
      <c r="L53" s="265" t="str">
        <f>IF($E$6='Lookup Tables Options'!$D$4,'Lookup Tables Options'!L49,IF($E$6='Lookup Tables Options'!$D$52,'Lookup Tables Options'!L97,IF($E$6='Lookup Tables Options'!$D$100,'Lookup Tables Options'!L145,IF($E$6='Lookup Tables Options'!$D$148,'Lookup Tables Options'!L193,IF($E$6='Lookup Tables Options'!$D$196,'Lookup Tables Options'!L241,"")))))</f>
        <v/>
      </c>
      <c r="M53" s="265" t="str">
        <f>IF($E$6='Lookup Tables Options'!$D$4,'Lookup Tables Options'!M49,IF($E$6='Lookup Tables Options'!$D$52,'Lookup Tables Options'!M97,IF($E$6='Lookup Tables Options'!$D$100,'Lookup Tables Options'!M145,IF($E$6='Lookup Tables Options'!$D$148,'Lookup Tables Options'!M193,IF($E$6='Lookup Tables Options'!$D$196,'Lookup Tables Options'!M241,"")))))</f>
        <v/>
      </c>
      <c r="N53" s="265" t="str">
        <f>IF($E$6='Lookup Tables Options'!$D$4,'Lookup Tables Options'!N49,IF($E$6='Lookup Tables Options'!$D$52,'Lookup Tables Options'!N97,IF($E$6='Lookup Tables Options'!$D$100,'Lookup Tables Options'!N145,IF($E$6='Lookup Tables Options'!$D$148,'Lookup Tables Options'!N193,IF($E$6='Lookup Tables Options'!$D$196,'Lookup Tables Options'!N241,"")))))</f>
        <v/>
      </c>
      <c r="O53" s="265" t="str">
        <f>IF($E$6='Lookup Tables Options'!$D$4,'Lookup Tables Options'!O49,IF($E$6='Lookup Tables Options'!$D$52,'Lookup Tables Options'!O97,IF($E$6='Lookup Tables Options'!$D$100,'Lookup Tables Options'!O145,IF($E$6='Lookup Tables Options'!$D$148,'Lookup Tables Options'!O193,IF($E$6='Lookup Tables Options'!$D$196,'Lookup Tables Options'!O241,"")))))</f>
        <v/>
      </c>
      <c r="P53" s="265" t="str">
        <f>IF($E$6='Lookup Tables Options'!$D$4,'Lookup Tables Options'!P49,IF($E$6='Lookup Tables Options'!$D$52,'Lookup Tables Options'!P97,IF($E$6='Lookup Tables Options'!$D$100,'Lookup Tables Options'!P145,IF($E$6='Lookup Tables Options'!$D$148,'Lookup Tables Options'!P193,IF($E$6='Lookup Tables Options'!$D$196,'Lookup Tables Options'!P241,"")))))</f>
        <v/>
      </c>
      <c r="Q53" s="265" t="str">
        <f>IF($E$6='Lookup Tables Options'!$D$4,'Lookup Tables Options'!Q49,IF($E$6='Lookup Tables Options'!$D$52,'Lookup Tables Options'!Q97,IF($E$6='Lookup Tables Options'!$D$100,'Lookup Tables Options'!Q145,IF($E$6='Lookup Tables Options'!$D$148,'Lookup Tables Options'!Q193,IF($E$6='Lookup Tables Options'!$D$196,'Lookup Tables Options'!Q241,"")))))</f>
        <v/>
      </c>
      <c r="R53" s="265" t="str">
        <f>IF($E$6='Lookup Tables Options'!$D$4,'Lookup Tables Options'!R49,IF($E$6='Lookup Tables Options'!$D$52,'Lookup Tables Options'!R97,IF($E$6='Lookup Tables Options'!$D$100,'Lookup Tables Options'!R145,IF($E$6='Lookup Tables Options'!$D$148,'Lookup Tables Options'!R193,IF($E$6='Lookup Tables Options'!$D$196,'Lookup Tables Options'!R241,"")))))</f>
        <v/>
      </c>
      <c r="S53" s="266" t="str">
        <f>IF($E$6='Lookup Tables Options'!$D$4,'Lookup Tables Options'!S49,IF($E$6='Lookup Tables Options'!$D$52,'Lookup Tables Options'!S97,IF($E$6='Lookup Tables Options'!$D$100,'Lookup Tables Options'!S145,IF($E$6='Lookup Tables Options'!$D$148,'Lookup Tables Options'!S193,IF($E$6='Lookup Tables Options'!$D$196,'Lookup Tables Options'!S241,"")))))</f>
        <v/>
      </c>
      <c r="T53" s="264" t="str">
        <f>IF($E$6='Lookup Tables Options'!$D$4,'Lookup Tables Options'!T49,IF($E$6='Lookup Tables Options'!$D$52,'Lookup Tables Options'!T97,IF($E$6='Lookup Tables Options'!$D$100,'Lookup Tables Options'!T145,IF($E$6='Lookup Tables Options'!$D$148,'Lookup Tables Options'!T193,IF($E$6='Lookup Tables Options'!$D$196,'Lookup Tables Options'!T241,"")))))</f>
        <v/>
      </c>
      <c r="U53" s="265" t="str">
        <f>IF($E$6='Lookup Tables Options'!$D$4,'Lookup Tables Options'!U49,IF($E$6='Lookup Tables Options'!$D$52,'Lookup Tables Options'!U97,IF($E$6='Lookup Tables Options'!$D$100,'Lookup Tables Options'!U145,IF($E$6='Lookup Tables Options'!$D$148,'Lookup Tables Options'!U193,IF($E$6='Lookup Tables Options'!$D$196,'Lookup Tables Options'!U241,"")))))</f>
        <v/>
      </c>
      <c r="V53" s="265" t="str">
        <f>IF($E$6='Lookup Tables Options'!$D$4,'Lookup Tables Options'!V49,IF($E$6='Lookup Tables Options'!$D$52,'Lookup Tables Options'!V97,IF($E$6='Lookup Tables Options'!$D$100,'Lookup Tables Options'!V145,IF($E$6='Lookup Tables Options'!$D$148,'Lookup Tables Options'!V193,IF($E$6='Lookup Tables Options'!$D$196,'Lookup Tables Options'!V241,"")))))</f>
        <v/>
      </c>
      <c r="W53" s="265" t="str">
        <f>IF($E$6='Lookup Tables Options'!$D$4,'Lookup Tables Options'!W49,IF($E$6='Lookup Tables Options'!$D$52,'Lookup Tables Options'!W97,IF($E$6='Lookup Tables Options'!$D$100,'Lookup Tables Options'!W145,IF($E$6='Lookup Tables Options'!$D$148,'Lookup Tables Options'!W193,IF($E$6='Lookup Tables Options'!$D$196,'Lookup Tables Options'!W241,"")))))</f>
        <v/>
      </c>
      <c r="X53" s="265" t="str">
        <f>IF($E$6='Lookup Tables Options'!$D$4,'Lookup Tables Options'!X49,IF($E$6='Lookup Tables Options'!$D$52,'Lookup Tables Options'!X97,IF($E$6='Lookup Tables Options'!$D$100,'Lookup Tables Options'!X145,IF($E$6='Lookup Tables Options'!$D$148,'Lookup Tables Options'!X193,IF($E$6='Lookup Tables Options'!$D$196,'Lookup Tables Options'!X241,"")))))</f>
        <v/>
      </c>
      <c r="Y53" s="265" t="str">
        <f>IF($E$6='Lookup Tables Options'!$D$4,'Lookup Tables Options'!Y49,IF($E$6='Lookup Tables Options'!$D$52,'Lookup Tables Options'!Y97,IF($E$6='Lookup Tables Options'!$D$100,'Lookup Tables Options'!Y145,IF($E$6='Lookup Tables Options'!$D$148,'Lookup Tables Options'!Y193,IF($E$6='Lookup Tables Options'!$D$196,'Lookup Tables Options'!Y241,"")))))</f>
        <v/>
      </c>
      <c r="Z53" s="265" t="str">
        <f>IF($E$6='Lookup Tables Options'!$D$4,'Lookup Tables Options'!Z49,IF($E$6='Lookup Tables Options'!$D$52,'Lookup Tables Options'!Z97,IF($E$6='Lookup Tables Options'!$D$100,'Lookup Tables Options'!Z145,IF($E$6='Lookup Tables Options'!$D$148,'Lookup Tables Options'!Z193,IF($E$6='Lookup Tables Options'!$D$196,'Lookup Tables Options'!Z241,"")))))</f>
        <v/>
      </c>
      <c r="AA53" s="265" t="str">
        <f>IF($E$6='Lookup Tables Options'!$D$4,'Lookup Tables Options'!AA49,IF($E$6='Lookup Tables Options'!$D$52,'Lookup Tables Options'!AA97,IF($E$6='Lookup Tables Options'!$D$100,'Lookup Tables Options'!AA145,IF($E$6='Lookup Tables Options'!$D$148,'Lookup Tables Options'!AA193,IF($E$6='Lookup Tables Options'!$D$196,'Lookup Tables Options'!AA241,"")))))</f>
        <v/>
      </c>
      <c r="AB53" s="265" t="str">
        <f>IF($E$6='Lookup Tables Options'!$D$4,'Lookup Tables Options'!AB49,IF($E$6='Lookup Tables Options'!$D$52,'Lookup Tables Options'!AB97,IF($E$6='Lookup Tables Options'!$D$100,'Lookup Tables Options'!AB145,IF($E$6='Lookup Tables Options'!$D$148,'Lookup Tables Options'!AB193,IF($E$6='Lookup Tables Options'!$D$196,'Lookup Tables Options'!AB241,"")))))</f>
        <v/>
      </c>
      <c r="AC53" s="265" t="str">
        <f>IF($E$6='Lookup Tables Options'!$D$4,'Lookup Tables Options'!AC49,IF($E$6='Lookup Tables Options'!$D$52,'Lookup Tables Options'!AC97,IF($E$6='Lookup Tables Options'!$D$100,'Lookup Tables Options'!AC145,IF($E$6='Lookup Tables Options'!$D$148,'Lookup Tables Options'!AC193,IF($E$6='Lookup Tables Options'!$D$196,'Lookup Tables Options'!AC241,"")))))</f>
        <v/>
      </c>
      <c r="AD53" s="264" t="str">
        <f>IF($E$6='Lookup Tables Options'!$D$4,'Lookup Tables Options'!AD49,IF($E$6='Lookup Tables Options'!$D$52,'Lookup Tables Options'!AD97,IF($E$6='Lookup Tables Options'!$D$100,'Lookup Tables Options'!AD145,IF($E$6='Lookup Tables Options'!$D$148,'Lookup Tables Options'!AD193,IF($E$6='Lookup Tables Options'!$D$196,'Lookup Tables Options'!AD241,"")))))</f>
        <v/>
      </c>
      <c r="AE53" s="265" t="str">
        <f>IF($E$6='Lookup Tables Options'!$D$4,'Lookup Tables Options'!AE49,IF($E$6='Lookup Tables Options'!$D$52,'Lookup Tables Options'!AE97,IF($E$6='Lookup Tables Options'!$D$100,'Lookup Tables Options'!AE145,IF($E$6='Lookup Tables Options'!$D$148,'Lookup Tables Options'!AE193,IF($E$6='Lookup Tables Options'!$D$196,'Lookup Tables Options'!AE241,"")))))</f>
        <v/>
      </c>
      <c r="AF53" s="265" t="str">
        <f>IF($E$6='Lookup Tables Options'!$D$4,'Lookup Tables Options'!AF49,IF($E$6='Lookup Tables Options'!$D$52,'Lookup Tables Options'!AF97,IF($E$6='Lookup Tables Options'!$D$100,'Lookup Tables Options'!AF145,IF($E$6='Lookup Tables Options'!$D$148,'Lookup Tables Options'!AF193,IF($E$6='Lookup Tables Options'!$D$196,'Lookup Tables Options'!AF241,"")))))</f>
        <v/>
      </c>
      <c r="AG53" s="265" t="str">
        <f>IF($E$6='Lookup Tables Options'!$D$4,'Lookup Tables Options'!AG49,IF($E$6='Lookup Tables Options'!$D$52,'Lookup Tables Options'!AG97,IF($E$6='Lookup Tables Options'!$D$100,'Lookup Tables Options'!AG145,IF($E$6='Lookup Tables Options'!$D$148,'Lookup Tables Options'!AG193,IF($E$6='Lookup Tables Options'!$D$196,'Lookup Tables Options'!AG241,"")))))</f>
        <v/>
      </c>
      <c r="AH53" s="265" t="str">
        <f>IF($E$6='Lookup Tables Options'!$D$4,'Lookup Tables Options'!AH49,IF($E$6='Lookup Tables Options'!$D$52,'Lookup Tables Options'!AH97,IF($E$6='Lookup Tables Options'!$D$100,'Lookup Tables Options'!AH145,IF($E$6='Lookup Tables Options'!$D$148,'Lookup Tables Options'!AH193,IF($E$6='Lookup Tables Options'!$D$196,'Lookup Tables Options'!AH241,"")))))</f>
        <v/>
      </c>
      <c r="AI53" s="265" t="str">
        <f>IF($E$6='Lookup Tables Options'!$D$4,'Lookup Tables Options'!AI49,IF($E$6='Lookup Tables Options'!$D$52,'Lookup Tables Options'!AI97,IF($E$6='Lookup Tables Options'!$D$100,'Lookup Tables Options'!AI145,IF($E$6='Lookup Tables Options'!$D$148,'Lookup Tables Options'!AI193,IF($E$6='Lookup Tables Options'!$D$196,'Lookup Tables Options'!AI241,"")))))</f>
        <v/>
      </c>
      <c r="AJ53" s="265" t="str">
        <f>IF($E$6='Lookup Tables Options'!$D$4,'Lookup Tables Options'!AJ49,IF($E$6='Lookup Tables Options'!$D$52,'Lookup Tables Options'!AJ97,IF($E$6='Lookup Tables Options'!$D$100,'Lookup Tables Options'!AJ145,IF($E$6='Lookup Tables Options'!$D$148,'Lookup Tables Options'!AJ193,IF($E$6='Lookup Tables Options'!$D$196,'Lookup Tables Options'!AJ241,"")))))</f>
        <v/>
      </c>
      <c r="AK53" s="265" t="str">
        <f>IF($E$6='Lookup Tables Options'!$D$4,'Lookup Tables Options'!AK49,IF($E$6='Lookup Tables Options'!$D$52,'Lookup Tables Options'!AK97,IF($E$6='Lookup Tables Options'!$D$100,'Lookup Tables Options'!AK145,IF($E$6='Lookup Tables Options'!$D$148,'Lookup Tables Options'!AK193,IF($E$6='Lookup Tables Options'!$D$196,'Lookup Tables Options'!AK241,"")))))</f>
        <v/>
      </c>
      <c r="AL53" s="265" t="str">
        <f>IF($E$6='Lookup Tables Options'!$D$4,'Lookup Tables Options'!AL49,IF($E$6='Lookup Tables Options'!$D$52,'Lookup Tables Options'!AL97,IF($E$6='Lookup Tables Options'!$D$100,'Lookup Tables Options'!AL145,IF($E$6='Lookup Tables Options'!$D$148,'Lookup Tables Options'!AL193,IF($E$6='Lookup Tables Options'!$D$196,'Lookup Tables Options'!AL241,"")))))</f>
        <v/>
      </c>
      <c r="AM53" s="266" t="str">
        <f>IF($E$6='Lookup Tables Options'!$D$4,'Lookup Tables Options'!AM49,IF($E$6='Lookup Tables Options'!$D$52,'Lookup Tables Options'!AM97,IF($E$6='Lookup Tables Options'!$D$100,'Lookup Tables Options'!AM145,IF($E$6='Lookup Tables Options'!$D$148,'Lookup Tables Options'!AM193,IF($E$6='Lookup Tables Options'!$D$196,'Lookup Tables Options'!AM241,"")))))</f>
        <v/>
      </c>
    </row>
    <row r="54" spans="1:39" ht="15.6">
      <c r="D54" s="274" t="s">
        <v>303</v>
      </c>
      <c r="E54" s="264" t="str">
        <f>IF($E$6='Lookup Tables Options'!$D$4,'Lookup Tables Options'!E50,IF($E$6='Lookup Tables Options'!$D$52,'Lookup Tables Options'!E98,IF($E$6='Lookup Tables Options'!$D$100,'Lookup Tables Options'!E146,IF($E$6='Lookup Tables Options'!$D$148,'Lookup Tables Options'!E194,IF($E$6='Lookup Tables Options'!$D$196,'Lookup Tables Options'!E242,"")))))</f>
        <v/>
      </c>
      <c r="F54" s="266" t="str">
        <f>IF($E$6='Lookup Tables Options'!$D$4,'Lookup Tables Options'!F50,IF($E$6='Lookup Tables Options'!$D$52,'Lookup Tables Options'!F98,IF($E$6='Lookup Tables Options'!$D$100,'Lookup Tables Options'!F146,IF($E$6='Lookup Tables Options'!$D$148,'Lookup Tables Options'!F194,IF($E$6='Lookup Tables Options'!$D$196,'Lookup Tables Options'!F242,"")))))</f>
        <v/>
      </c>
      <c r="G54" s="264" t="str">
        <f>IF($E$6='Lookup Tables Options'!$D$4,'Lookup Tables Options'!G50,IF($E$6='Lookup Tables Options'!$D$52,'Lookup Tables Options'!G98,IF($E$6='Lookup Tables Options'!$D$100,'Lookup Tables Options'!G146,IF($E$6='Lookup Tables Options'!$D$148,'Lookup Tables Options'!G194,IF($E$6='Lookup Tables Options'!$D$196,'Lookup Tables Options'!G242,"")))))</f>
        <v/>
      </c>
      <c r="H54" s="265" t="str">
        <f>IF($E$6='Lookup Tables Options'!$D$4,'Lookup Tables Options'!H50,IF($E$6='Lookup Tables Options'!$D$52,'Lookup Tables Options'!H98,IF($E$6='Lookup Tables Options'!$D$100,'Lookup Tables Options'!H146,IF($E$6='Lookup Tables Options'!$D$148,'Lookup Tables Options'!H194,IF($E$6='Lookup Tables Options'!$D$196,'Lookup Tables Options'!H242,"")))))</f>
        <v/>
      </c>
      <c r="I54" s="265" t="str">
        <f>IF($E$6='Lookup Tables Options'!$D$4,'Lookup Tables Options'!I50,IF($E$6='Lookup Tables Options'!$D$52,'Lookup Tables Options'!I98,IF($E$6='Lookup Tables Options'!$D$100,'Lookup Tables Options'!I146,IF($E$6='Lookup Tables Options'!$D$148,'Lookup Tables Options'!I194,IF($E$6='Lookup Tables Options'!$D$196,'Lookup Tables Options'!I242,"")))))</f>
        <v/>
      </c>
      <c r="J54" s="264" t="str">
        <f>IF($E$6='Lookup Tables Options'!$D$4,'Lookup Tables Options'!J50,IF($E$6='Lookup Tables Options'!$D$52,'Lookup Tables Options'!J98,IF($E$6='Lookup Tables Options'!$D$100,'Lookup Tables Options'!J146,IF($E$6='Lookup Tables Options'!$D$148,'Lookup Tables Options'!J194,IF($E$6='Lookup Tables Options'!$D$196,'Lookup Tables Options'!J242,"")))))</f>
        <v/>
      </c>
      <c r="K54" s="265" t="str">
        <f>IF($E$6='Lookup Tables Options'!$D$4,'Lookup Tables Options'!K50,IF($E$6='Lookup Tables Options'!$D$52,'Lookup Tables Options'!K98,IF($E$6='Lookup Tables Options'!$D$100,'Lookup Tables Options'!K146,IF($E$6='Lookup Tables Options'!$D$148,'Lookup Tables Options'!K194,IF($E$6='Lookup Tables Options'!$D$196,'Lookup Tables Options'!K242,"")))))</f>
        <v/>
      </c>
      <c r="L54" s="265" t="str">
        <f>IF($E$6='Lookup Tables Options'!$D$4,'Lookup Tables Options'!L50,IF($E$6='Lookup Tables Options'!$D$52,'Lookup Tables Options'!L98,IF($E$6='Lookup Tables Options'!$D$100,'Lookup Tables Options'!L146,IF($E$6='Lookup Tables Options'!$D$148,'Lookup Tables Options'!L194,IF($E$6='Lookup Tables Options'!$D$196,'Lookup Tables Options'!L242,"")))))</f>
        <v/>
      </c>
      <c r="M54" s="265" t="str">
        <f>IF($E$6='Lookup Tables Options'!$D$4,'Lookup Tables Options'!M50,IF($E$6='Lookup Tables Options'!$D$52,'Lookup Tables Options'!M98,IF($E$6='Lookup Tables Options'!$D$100,'Lookup Tables Options'!M146,IF($E$6='Lookup Tables Options'!$D$148,'Lookup Tables Options'!M194,IF($E$6='Lookup Tables Options'!$D$196,'Lookup Tables Options'!M242,"")))))</f>
        <v/>
      </c>
      <c r="N54" s="265" t="str">
        <f>IF($E$6='Lookup Tables Options'!$D$4,'Lookup Tables Options'!N50,IF($E$6='Lookup Tables Options'!$D$52,'Lookup Tables Options'!N98,IF($E$6='Lookup Tables Options'!$D$100,'Lookup Tables Options'!N146,IF($E$6='Lookup Tables Options'!$D$148,'Lookup Tables Options'!N194,IF($E$6='Lookup Tables Options'!$D$196,'Lookup Tables Options'!N242,"")))))</f>
        <v/>
      </c>
      <c r="O54" s="265" t="str">
        <f>IF($E$6='Lookup Tables Options'!$D$4,'Lookup Tables Options'!O50,IF($E$6='Lookup Tables Options'!$D$52,'Lookup Tables Options'!O98,IF($E$6='Lookup Tables Options'!$D$100,'Lookup Tables Options'!O146,IF($E$6='Lookup Tables Options'!$D$148,'Lookup Tables Options'!O194,IF($E$6='Lookup Tables Options'!$D$196,'Lookup Tables Options'!O242,"")))))</f>
        <v/>
      </c>
      <c r="P54" s="265" t="str">
        <f>IF($E$6='Lookup Tables Options'!$D$4,'Lookup Tables Options'!P50,IF($E$6='Lookup Tables Options'!$D$52,'Lookup Tables Options'!P98,IF($E$6='Lookup Tables Options'!$D$100,'Lookup Tables Options'!P146,IF($E$6='Lookup Tables Options'!$D$148,'Lookup Tables Options'!P194,IF($E$6='Lookup Tables Options'!$D$196,'Lookup Tables Options'!P242,"")))))</f>
        <v/>
      </c>
      <c r="Q54" s="265" t="str">
        <f>IF($E$6='Lookup Tables Options'!$D$4,'Lookup Tables Options'!Q50,IF($E$6='Lookup Tables Options'!$D$52,'Lookup Tables Options'!Q98,IF($E$6='Lookup Tables Options'!$D$100,'Lookup Tables Options'!Q146,IF($E$6='Lookup Tables Options'!$D$148,'Lookup Tables Options'!Q194,IF($E$6='Lookup Tables Options'!$D$196,'Lookup Tables Options'!Q242,"")))))</f>
        <v/>
      </c>
      <c r="R54" s="265" t="str">
        <f>IF($E$6='Lookup Tables Options'!$D$4,'Lookup Tables Options'!R50,IF($E$6='Lookup Tables Options'!$D$52,'Lookup Tables Options'!R98,IF($E$6='Lookup Tables Options'!$D$100,'Lookup Tables Options'!R146,IF($E$6='Lookup Tables Options'!$D$148,'Lookup Tables Options'!R194,IF($E$6='Lookup Tables Options'!$D$196,'Lookup Tables Options'!R242,"")))))</f>
        <v/>
      </c>
      <c r="S54" s="266" t="str">
        <f>IF($E$6='Lookup Tables Options'!$D$4,'Lookup Tables Options'!S50,IF($E$6='Lookup Tables Options'!$D$52,'Lookup Tables Options'!S98,IF($E$6='Lookup Tables Options'!$D$100,'Lookup Tables Options'!S146,IF($E$6='Lookup Tables Options'!$D$148,'Lookup Tables Options'!S194,IF($E$6='Lookup Tables Options'!$D$196,'Lookup Tables Options'!S242,"")))))</f>
        <v/>
      </c>
      <c r="T54" s="264" t="str">
        <f>IF($E$6='Lookup Tables Options'!$D$4,'Lookup Tables Options'!T50,IF($E$6='Lookup Tables Options'!$D$52,'Lookup Tables Options'!T98,IF($E$6='Lookup Tables Options'!$D$100,'Lookup Tables Options'!T146,IF($E$6='Lookup Tables Options'!$D$148,'Lookup Tables Options'!T194,IF($E$6='Lookup Tables Options'!$D$196,'Lookup Tables Options'!T242,"")))))</f>
        <v/>
      </c>
      <c r="U54" s="265" t="str">
        <f>IF($E$6='Lookup Tables Options'!$D$4,'Lookup Tables Options'!U50,IF($E$6='Lookup Tables Options'!$D$52,'Lookup Tables Options'!U98,IF($E$6='Lookup Tables Options'!$D$100,'Lookup Tables Options'!U146,IF($E$6='Lookup Tables Options'!$D$148,'Lookup Tables Options'!U194,IF($E$6='Lookup Tables Options'!$D$196,'Lookup Tables Options'!U242,"")))))</f>
        <v/>
      </c>
      <c r="V54" s="265" t="str">
        <f>IF($E$6='Lookup Tables Options'!$D$4,'Lookup Tables Options'!V50,IF($E$6='Lookup Tables Options'!$D$52,'Lookup Tables Options'!V98,IF($E$6='Lookup Tables Options'!$D$100,'Lookup Tables Options'!V146,IF($E$6='Lookup Tables Options'!$D$148,'Lookup Tables Options'!V194,IF($E$6='Lookup Tables Options'!$D$196,'Lookup Tables Options'!V242,"")))))</f>
        <v/>
      </c>
      <c r="W54" s="265" t="str">
        <f>IF($E$6='Lookup Tables Options'!$D$4,'Lookup Tables Options'!W50,IF($E$6='Lookup Tables Options'!$D$52,'Lookup Tables Options'!W98,IF($E$6='Lookup Tables Options'!$D$100,'Lookup Tables Options'!W146,IF($E$6='Lookup Tables Options'!$D$148,'Lookup Tables Options'!W194,IF($E$6='Lookup Tables Options'!$D$196,'Lookup Tables Options'!W242,"")))))</f>
        <v/>
      </c>
      <c r="X54" s="265" t="str">
        <f>IF($E$6='Lookup Tables Options'!$D$4,'Lookup Tables Options'!X50,IF($E$6='Lookup Tables Options'!$D$52,'Lookup Tables Options'!X98,IF($E$6='Lookup Tables Options'!$D$100,'Lookup Tables Options'!X146,IF($E$6='Lookup Tables Options'!$D$148,'Lookup Tables Options'!X194,IF($E$6='Lookup Tables Options'!$D$196,'Lookup Tables Options'!X242,"")))))</f>
        <v/>
      </c>
      <c r="Y54" s="265" t="str">
        <f>IF($E$6='Lookup Tables Options'!$D$4,'Lookup Tables Options'!Y50,IF($E$6='Lookup Tables Options'!$D$52,'Lookup Tables Options'!Y98,IF($E$6='Lookup Tables Options'!$D$100,'Lookup Tables Options'!Y146,IF($E$6='Lookup Tables Options'!$D$148,'Lookup Tables Options'!Y194,IF($E$6='Lookup Tables Options'!$D$196,'Lookup Tables Options'!Y242,"")))))</f>
        <v/>
      </c>
      <c r="Z54" s="265" t="str">
        <f>IF($E$6='Lookup Tables Options'!$D$4,'Lookup Tables Options'!Z50,IF($E$6='Lookup Tables Options'!$D$52,'Lookup Tables Options'!Z98,IF($E$6='Lookup Tables Options'!$D$100,'Lookup Tables Options'!Z146,IF($E$6='Lookup Tables Options'!$D$148,'Lookup Tables Options'!Z194,IF($E$6='Lookup Tables Options'!$D$196,'Lookup Tables Options'!Z242,"")))))</f>
        <v/>
      </c>
      <c r="AA54" s="265" t="str">
        <f>IF($E$6='Lookup Tables Options'!$D$4,'Lookup Tables Options'!AA50,IF($E$6='Lookup Tables Options'!$D$52,'Lookup Tables Options'!AA98,IF($E$6='Lookup Tables Options'!$D$100,'Lookup Tables Options'!AA146,IF($E$6='Lookup Tables Options'!$D$148,'Lookup Tables Options'!AA194,IF($E$6='Lookup Tables Options'!$D$196,'Lookup Tables Options'!AA242,"")))))</f>
        <v/>
      </c>
      <c r="AB54" s="265" t="str">
        <f>IF($E$6='Lookup Tables Options'!$D$4,'Lookup Tables Options'!AB50,IF($E$6='Lookup Tables Options'!$D$52,'Lookup Tables Options'!AB98,IF($E$6='Lookup Tables Options'!$D$100,'Lookup Tables Options'!AB146,IF($E$6='Lookup Tables Options'!$D$148,'Lookup Tables Options'!AB194,IF($E$6='Lookup Tables Options'!$D$196,'Lookup Tables Options'!AB242,"")))))</f>
        <v/>
      </c>
      <c r="AC54" s="265" t="str">
        <f>IF($E$6='Lookup Tables Options'!$D$4,'Lookup Tables Options'!AC50,IF($E$6='Lookup Tables Options'!$D$52,'Lookup Tables Options'!AC98,IF($E$6='Lookup Tables Options'!$D$100,'Lookup Tables Options'!AC146,IF($E$6='Lookup Tables Options'!$D$148,'Lookup Tables Options'!AC194,IF($E$6='Lookup Tables Options'!$D$196,'Lookup Tables Options'!AC242,"")))))</f>
        <v/>
      </c>
      <c r="AD54" s="261" t="str">
        <f>IF($E$6='Lookup Tables Options'!$D$4,'Lookup Tables Options'!AD50,IF($E$6='Lookup Tables Options'!$D$52,'Lookup Tables Options'!AD98,IF($E$6='Lookup Tables Options'!$D$100,'Lookup Tables Options'!AD146,IF($E$6='Lookup Tables Options'!$D$148,'Lookup Tables Options'!AD194,IF($E$6='Lookup Tables Options'!$D$196,'Lookup Tables Options'!AD242,"")))))</f>
        <v/>
      </c>
      <c r="AE54" s="263" t="str">
        <f>IF($E$6='Lookup Tables Options'!$D$4,'Lookup Tables Options'!AE50,IF($E$6='Lookup Tables Options'!$D$52,'Lookup Tables Options'!AE98,IF($E$6='Lookup Tables Options'!$D$100,'Lookup Tables Options'!AE146,IF($E$6='Lookup Tables Options'!$D$148,'Lookup Tables Options'!AE194,IF($E$6='Lookup Tables Options'!$D$196,'Lookup Tables Options'!AE242,"")))))</f>
        <v/>
      </c>
      <c r="AF54" s="263" t="str">
        <f>IF($E$6='Lookup Tables Options'!$D$4,'Lookup Tables Options'!AF50,IF($E$6='Lookup Tables Options'!$D$52,'Lookup Tables Options'!AF98,IF($E$6='Lookup Tables Options'!$D$100,'Lookup Tables Options'!AF146,IF($E$6='Lookup Tables Options'!$D$148,'Lookup Tables Options'!AF194,IF($E$6='Lookup Tables Options'!$D$196,'Lookup Tables Options'!AF242,"")))))</f>
        <v/>
      </c>
      <c r="AG54" s="263" t="str">
        <f>IF($E$6='Lookup Tables Options'!$D$4,'Lookup Tables Options'!AG50,IF($E$6='Lookup Tables Options'!$D$52,'Lookup Tables Options'!AG98,IF($E$6='Lookup Tables Options'!$D$100,'Lookup Tables Options'!AG146,IF($E$6='Lookup Tables Options'!$D$148,'Lookup Tables Options'!AG194,IF($E$6='Lookup Tables Options'!$D$196,'Lookup Tables Options'!AG242,"")))))</f>
        <v/>
      </c>
      <c r="AH54" s="263" t="str">
        <f>IF($E$6='Lookup Tables Options'!$D$4,'Lookup Tables Options'!AH50,IF($E$6='Lookup Tables Options'!$D$52,'Lookup Tables Options'!AH98,IF($E$6='Lookup Tables Options'!$D$100,'Lookup Tables Options'!AH146,IF($E$6='Lookup Tables Options'!$D$148,'Lookup Tables Options'!AH194,IF($E$6='Lookup Tables Options'!$D$196,'Lookup Tables Options'!AH242,"")))))</f>
        <v/>
      </c>
      <c r="AI54" s="263" t="str">
        <f>IF($E$6='Lookup Tables Options'!$D$4,'Lookup Tables Options'!AI50,IF($E$6='Lookup Tables Options'!$D$52,'Lookup Tables Options'!AI98,IF($E$6='Lookup Tables Options'!$D$100,'Lookup Tables Options'!AI146,IF($E$6='Lookup Tables Options'!$D$148,'Lookup Tables Options'!AI194,IF($E$6='Lookup Tables Options'!$D$196,'Lookup Tables Options'!AI242,"")))))</f>
        <v/>
      </c>
      <c r="AJ54" s="263" t="str">
        <f>IF($E$6='Lookup Tables Options'!$D$4,'Lookup Tables Options'!AJ50,IF($E$6='Lookup Tables Options'!$D$52,'Lookup Tables Options'!AJ98,IF($E$6='Lookup Tables Options'!$D$100,'Lookup Tables Options'!AJ146,IF($E$6='Lookup Tables Options'!$D$148,'Lookup Tables Options'!AJ194,IF($E$6='Lookup Tables Options'!$D$196,'Lookup Tables Options'!AJ242,"")))))</f>
        <v/>
      </c>
      <c r="AK54" s="263" t="str">
        <f>IF($E$6='Lookup Tables Options'!$D$4,'Lookup Tables Options'!AK50,IF($E$6='Lookup Tables Options'!$D$52,'Lookup Tables Options'!AK98,IF($E$6='Lookup Tables Options'!$D$100,'Lookup Tables Options'!AK146,IF($E$6='Lookup Tables Options'!$D$148,'Lookup Tables Options'!AK194,IF($E$6='Lookup Tables Options'!$D$196,'Lookup Tables Options'!AK242,"")))))</f>
        <v/>
      </c>
      <c r="AL54" s="263" t="str">
        <f>IF($E$6='Lookup Tables Options'!$D$4,'Lookup Tables Options'!AL50,IF($E$6='Lookup Tables Options'!$D$52,'Lookup Tables Options'!AL98,IF($E$6='Lookup Tables Options'!$D$100,'Lookup Tables Options'!AL146,IF($E$6='Lookup Tables Options'!$D$148,'Lookup Tables Options'!AL194,IF($E$6='Lookup Tables Options'!$D$196,'Lookup Tables Options'!AL242,"")))))</f>
        <v/>
      </c>
      <c r="AM54" s="262" t="str">
        <f>IF($E$6='Lookup Tables Options'!$D$4,'Lookup Tables Options'!AM50,IF($E$6='Lookup Tables Options'!$D$52,'Lookup Tables Options'!AM98,IF($E$6='Lookup Tables Options'!$D$100,'Lookup Tables Options'!AM146,IF($E$6='Lookup Tables Options'!$D$148,'Lookup Tables Options'!AM194,IF($E$6='Lookup Tables Options'!$D$196,'Lookup Tables Options'!AM242,"")))))</f>
        <v/>
      </c>
    </row>
    <row r="56" spans="1:39">
      <c r="A56" s="52"/>
      <c r="B56" s="52"/>
      <c r="C56" s="52"/>
      <c r="D56" s="53" t="s">
        <v>23</v>
      </c>
      <c r="E56" s="54"/>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row>
  </sheetData>
  <sheetProtection sheet="1" objects="1" scenarios="1"/>
  <mergeCells count="7">
    <mergeCell ref="J10:AM10"/>
    <mergeCell ref="J11:S11"/>
    <mergeCell ref="T11:AC11"/>
    <mergeCell ref="AD11:AM11"/>
    <mergeCell ref="D10:D12"/>
    <mergeCell ref="E10:F11"/>
    <mergeCell ref="G10:I11"/>
  </mergeCells>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4296E-454A-40C1-B6C6-26BF461733A8}">
  <sheetPr codeName="Sheet3">
    <tabColor theme="0"/>
  </sheetPr>
  <dimension ref="A1:U39"/>
  <sheetViews>
    <sheetView showGridLines="0" workbookViewId="0"/>
  </sheetViews>
  <sheetFormatPr defaultRowHeight="15.6"/>
  <cols>
    <col min="2" max="2" width="2.28515625" customWidth="1"/>
    <col min="3" max="3" width="3.140625" customWidth="1"/>
    <col min="4" max="4" width="59.140625" style="10" customWidth="1"/>
    <col min="5" max="5" width="3.5703125" customWidth="1"/>
    <col min="6" max="6" width="54.5703125" customWidth="1"/>
    <col min="7" max="7" width="3.42578125" customWidth="1"/>
    <col min="8" max="8" width="16.28515625" customWidth="1"/>
    <col min="9" max="9" width="3.140625" customWidth="1"/>
    <col min="10" max="10" width="11" customWidth="1"/>
    <col min="11" max="11" width="2.5703125" customWidth="1"/>
    <col min="12" max="12" width="57.5703125" bestFit="1" customWidth="1"/>
    <col min="13" max="13" width="50.85546875" customWidth="1"/>
  </cols>
  <sheetData>
    <row r="1" spans="1:21" s="10" customFormat="1" ht="26.1">
      <c r="A1" s="34" t="s">
        <v>185</v>
      </c>
      <c r="B1" s="35"/>
      <c r="C1" s="35"/>
      <c r="D1" s="36"/>
      <c r="F1" s="9"/>
      <c r="U1" s="7"/>
    </row>
    <row r="2" spans="1:21" s="10" customFormat="1" ht="18.95" customHeight="1">
      <c r="A2" s="37" t="s">
        <v>186</v>
      </c>
      <c r="B2" s="35"/>
      <c r="C2" s="35"/>
      <c r="D2" s="36"/>
      <c r="F2" s="9"/>
      <c r="U2" s="7"/>
    </row>
    <row r="3" spans="1:21" s="10" customFormat="1">
      <c r="A3" s="6"/>
      <c r="B3" s="7"/>
      <c r="C3" s="7"/>
      <c r="D3" s="8"/>
      <c r="F3" s="9"/>
      <c r="U3" s="7"/>
    </row>
    <row r="4" spans="1:21" s="10" customFormat="1">
      <c r="A4" s="49"/>
      <c r="B4" s="50"/>
      <c r="C4" s="50"/>
      <c r="D4" s="46" t="s">
        <v>187</v>
      </c>
      <c r="E4" s="51"/>
      <c r="F4" s="45"/>
      <c r="G4" s="51"/>
      <c r="H4" s="51"/>
      <c r="I4" s="51"/>
      <c r="J4" s="51"/>
      <c r="K4" s="51"/>
      <c r="L4" s="51"/>
      <c r="M4" s="51"/>
      <c r="N4" s="51"/>
      <c r="O4" s="51"/>
      <c r="P4" s="51"/>
      <c r="Q4" s="51"/>
      <c r="R4" s="51"/>
      <c r="S4" s="51"/>
      <c r="T4" s="51"/>
      <c r="U4" s="7"/>
    </row>
    <row r="6" spans="1:21">
      <c r="D6" s="201" t="s">
        <v>188</v>
      </c>
    </row>
    <row r="7" spans="1:21" ht="30" customHeight="1">
      <c r="C7" s="3"/>
      <c r="D7" s="78" t="s">
        <v>189</v>
      </c>
      <c r="E7" s="3"/>
      <c r="G7" s="5"/>
    </row>
    <row r="8" spans="1:21">
      <c r="C8" s="3"/>
      <c r="D8" s="78" t="s">
        <v>190</v>
      </c>
      <c r="E8" s="3"/>
      <c r="G8" s="3"/>
    </row>
    <row r="9" spans="1:21">
      <c r="C9" s="3"/>
      <c r="D9" s="78" t="s">
        <v>191</v>
      </c>
      <c r="E9" s="3"/>
    </row>
    <row r="10" spans="1:21">
      <c r="C10" s="3"/>
      <c r="D10" s="78" t="s">
        <v>192</v>
      </c>
      <c r="E10" s="3"/>
    </row>
    <row r="12" spans="1:21">
      <c r="D12" s="201" t="s">
        <v>193</v>
      </c>
    </row>
    <row r="13" spans="1:21">
      <c r="D13" s="78" t="s">
        <v>194</v>
      </c>
    </row>
    <row r="14" spans="1:21">
      <c r="D14" s="78" t="s">
        <v>195</v>
      </c>
    </row>
    <row r="16" spans="1:21">
      <c r="D16" s="201" t="s">
        <v>196</v>
      </c>
    </row>
    <row r="17" spans="4:4" ht="30.95">
      <c r="D17" s="153" t="s">
        <v>197</v>
      </c>
    </row>
    <row r="18" spans="4:4">
      <c r="D18" s="202" t="s">
        <v>198</v>
      </c>
    </row>
    <row r="19" spans="4:4" ht="14.45">
      <c r="D19"/>
    </row>
    <row r="20" spans="4:4">
      <c r="D20" s="201" t="s">
        <v>199</v>
      </c>
    </row>
    <row r="21" spans="4:4">
      <c r="D21" s="153" t="s">
        <v>200</v>
      </c>
    </row>
    <row r="22" spans="4:4">
      <c r="D22" s="78" t="s">
        <v>201</v>
      </c>
    </row>
    <row r="24" spans="4:4">
      <c r="D24" s="201" t="s">
        <v>202</v>
      </c>
    </row>
    <row r="25" spans="4:4">
      <c r="D25" s="153" t="s">
        <v>203</v>
      </c>
    </row>
    <row r="26" spans="4:4">
      <c r="D26" s="78" t="s">
        <v>204</v>
      </c>
    </row>
    <row r="28" spans="4:4">
      <c r="D28" s="201" t="s">
        <v>205</v>
      </c>
    </row>
    <row r="29" spans="4:4">
      <c r="D29" s="78" t="s">
        <v>206</v>
      </c>
    </row>
    <row r="30" spans="4:4">
      <c r="D30" s="78" t="s">
        <v>207</v>
      </c>
    </row>
    <row r="31" spans="4:4">
      <c r="D31" s="78" t="s">
        <v>208</v>
      </c>
    </row>
    <row r="32" spans="4:4">
      <c r="D32" s="78" t="s">
        <v>63</v>
      </c>
    </row>
    <row r="34" spans="4:4">
      <c r="D34" s="201" t="s">
        <v>209</v>
      </c>
    </row>
    <row r="35" spans="4:4">
      <c r="D35" s="78" t="s">
        <v>210</v>
      </c>
    </row>
    <row r="36" spans="4:4">
      <c r="D36" s="78" t="s">
        <v>211</v>
      </c>
    </row>
    <row r="37" spans="4:4">
      <c r="D37" s="78" t="s">
        <v>212</v>
      </c>
    </row>
    <row r="38" spans="4:4">
      <c r="D38" s="202" t="s">
        <v>213</v>
      </c>
    </row>
    <row r="39" spans="4:4">
      <c r="D39" s="202" t="s">
        <v>214</v>
      </c>
    </row>
  </sheetData>
  <sheetProtection sheet="1" objects="1" scenarios="1"/>
  <pageMargins left="0.7" right="0.7" top="0.75" bottom="0.75" header="0.3" footer="0.3"/>
  <pageSetup paperSize="9" orientation="portrait" horizontalDpi="300" verticalDpi="300" r:id="rId1"/>
  <headerFooter>
    <oddHeader>&amp;C&amp;"Calibri"&amp;10&amp;K000000 OFFICIAL&amp;1#_x000D_</oddHeader>
    <oddFooter>&amp;C_x000D_&amp;1#&amp;"Calibri"&amp;10&amp;K000000 OFFICIAL</oddFooter>
  </headerFooter>
  <drawing r:id="rId2"/>
  <tableParts count="7">
    <tablePart r:id="rId3"/>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7F518-7A7A-4F86-92F7-DEE7B5EEB982}">
  <sheetPr codeName="Sheet4">
    <tabColor theme="5" tint="-0.249977111117893"/>
  </sheetPr>
  <dimension ref="A1"/>
  <sheetViews>
    <sheetView showGridLines="0"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C29E7-0FB8-4342-8E8B-C03A501521CB}">
  <sheetPr codeName="Sheet5">
    <tabColor theme="5" tint="0.79998168889431442"/>
  </sheetPr>
  <dimension ref="A1:U48"/>
  <sheetViews>
    <sheetView showGridLines="0" workbookViewId="0">
      <selection activeCell="H9" sqref="H9"/>
    </sheetView>
  </sheetViews>
  <sheetFormatPr defaultColWidth="8.7109375" defaultRowHeight="15.6"/>
  <cols>
    <col min="1" max="1" width="6.85546875" style="6" customWidth="1"/>
    <col min="2" max="2" width="1.5703125" style="7" customWidth="1"/>
    <col min="3" max="3" width="1.28515625" style="7" customWidth="1"/>
    <col min="4" max="4" width="42.7109375" style="8" customWidth="1"/>
    <col min="5" max="5" width="2.28515625" style="10" customWidth="1"/>
    <col min="6" max="6" width="44.85546875" style="9" customWidth="1"/>
    <col min="7" max="7" width="8.7109375" style="10"/>
    <col min="8" max="8" width="9.42578125" style="10" bestFit="1" customWidth="1"/>
    <col min="9" max="20" width="8.7109375" style="10"/>
    <col min="21" max="21" width="9" style="7" customWidth="1"/>
    <col min="22" max="16384" width="8.7109375" style="10"/>
  </cols>
  <sheetData>
    <row r="1" spans="1:21" ht="26.1">
      <c r="A1" s="34" t="s">
        <v>34</v>
      </c>
      <c r="B1" s="35"/>
      <c r="C1" s="35"/>
      <c r="D1" s="36"/>
      <c r="E1" s="39"/>
      <c r="F1" s="38"/>
    </row>
    <row r="2" spans="1:21" ht="18.95" customHeight="1">
      <c r="A2" s="37" t="s">
        <v>215</v>
      </c>
      <c r="B2" s="35"/>
      <c r="C2" s="35"/>
      <c r="D2" s="36"/>
      <c r="E2" s="39"/>
      <c r="F2" s="38"/>
    </row>
    <row r="4" spans="1:21">
      <c r="A4" s="49"/>
      <c r="B4" s="50"/>
      <c r="C4" s="50"/>
      <c r="D4" s="46" t="s">
        <v>34</v>
      </c>
      <c r="E4" s="51"/>
      <c r="F4" s="45"/>
      <c r="G4" s="51"/>
      <c r="H4" s="51"/>
      <c r="I4" s="51"/>
      <c r="J4" s="51"/>
      <c r="K4" s="51"/>
      <c r="L4" s="51"/>
      <c r="M4" s="51"/>
      <c r="N4" s="51"/>
      <c r="O4" s="51"/>
      <c r="P4" s="51"/>
      <c r="Q4" s="51"/>
      <c r="R4" s="51"/>
      <c r="S4" s="51"/>
      <c r="T4" s="51"/>
    </row>
    <row r="5" spans="1:21">
      <c r="A5" s="12"/>
      <c r="B5" s="13"/>
      <c r="C5" s="13"/>
      <c r="D5" s="14"/>
      <c r="U5" s="13"/>
    </row>
    <row r="6" spans="1:21">
      <c r="A6" s="314" t="s">
        <v>35</v>
      </c>
      <c r="D6" s="60" t="s">
        <v>193</v>
      </c>
      <c r="F6" s="59"/>
    </row>
    <row r="7" spans="1:21">
      <c r="A7" s="314"/>
      <c r="D7" s="63"/>
      <c r="F7"/>
    </row>
    <row r="8" spans="1:21">
      <c r="A8" s="314" t="s">
        <v>37</v>
      </c>
      <c r="D8" s="60" t="s">
        <v>188</v>
      </c>
      <c r="F8" s="59" t="s">
        <v>192</v>
      </c>
    </row>
    <row r="9" spans="1:21">
      <c r="A9" s="314"/>
      <c r="D9" s="9"/>
    </row>
    <row r="10" spans="1:21">
      <c r="A10" s="314" t="s">
        <v>39</v>
      </c>
      <c r="D10" s="60" t="s">
        <v>216</v>
      </c>
      <c r="F10" s="58"/>
    </row>
    <row r="11" spans="1:21">
      <c r="A11" s="12"/>
    </row>
    <row r="12" spans="1:21">
      <c r="A12" s="49"/>
      <c r="B12" s="50"/>
      <c r="C12" s="50"/>
      <c r="D12" s="46" t="s">
        <v>217</v>
      </c>
      <c r="E12" s="51"/>
      <c r="F12" s="45"/>
      <c r="G12" s="51"/>
      <c r="H12" s="51"/>
      <c r="I12" s="51"/>
      <c r="J12" s="51"/>
      <c r="K12" s="51"/>
      <c r="L12" s="51"/>
      <c r="M12" s="51"/>
      <c r="N12" s="51"/>
      <c r="O12" s="51"/>
      <c r="P12" s="51"/>
      <c r="Q12" s="51"/>
      <c r="R12" s="51"/>
      <c r="S12" s="51"/>
      <c r="T12" s="51"/>
    </row>
    <row r="13" spans="1:21">
      <c r="B13" s="13"/>
    </row>
    <row r="14" spans="1:21" ht="35.450000000000003" customHeight="1">
      <c r="A14" s="314" t="s">
        <v>41</v>
      </c>
      <c r="D14" s="60" t="s">
        <v>218</v>
      </c>
      <c r="F14" s="61"/>
      <c r="H14" s="15" t="str" cm="1">
        <f t="array" aca="1" ref="H14" ca="1">IF($F$14="Enter average fare forgone directly","",IF($F$14="Discount Factor Method (enter average ticket prices directly)",HYPERLINK("#"&amp;CELL("address",DFM_Direct),"Go to Discount Factor Method (enter average ticket prices directly)"),IF($F$14="Discount Factor Method (use template to calculate fares changes)",HYPERLINK("#"&amp;CELL("address",DFM_Template),"Go to Discount Factor Method (use template to calculate fares changes)"),HYPERLINK("#"&amp;CELL("address",BoF),"Go to Basket of Fares Method"))))</f>
        <v>Go to Basket of Fares Method</v>
      </c>
    </row>
    <row r="15" spans="1:21">
      <c r="A15" s="314"/>
    </row>
    <row r="16" spans="1:21">
      <c r="A16" s="314" t="s">
        <v>43</v>
      </c>
      <c r="D16" s="60" t="str">
        <f>IF(F14="Enter average fare forgone directly", "Enter Value", "")</f>
        <v/>
      </c>
      <c r="F16" s="62"/>
    </row>
    <row r="17" spans="1:20">
      <c r="A17" s="314"/>
    </row>
    <row r="18" spans="1:20">
      <c r="A18" s="49"/>
      <c r="B18" s="50"/>
      <c r="C18" s="50"/>
      <c r="D18" s="46" t="s">
        <v>219</v>
      </c>
      <c r="E18" s="51"/>
      <c r="F18" s="45"/>
      <c r="G18" s="51"/>
      <c r="H18" s="51"/>
      <c r="I18" s="51"/>
      <c r="J18" s="51"/>
      <c r="K18" s="51"/>
      <c r="L18" s="51"/>
      <c r="M18" s="51"/>
      <c r="N18" s="51"/>
      <c r="O18" s="51"/>
      <c r="P18" s="51"/>
      <c r="Q18" s="51"/>
      <c r="R18" s="51"/>
      <c r="S18" s="51"/>
      <c r="T18" s="51"/>
    </row>
    <row r="20" spans="1:20">
      <c r="A20" s="314" t="s">
        <v>45</v>
      </c>
      <c r="D20" s="60" t="s">
        <v>218</v>
      </c>
      <c r="F20" s="61"/>
    </row>
    <row r="21" spans="1:20">
      <c r="A21" s="314"/>
    </row>
    <row r="22" spans="1:20" ht="30.95">
      <c r="A22" s="314" t="s">
        <v>47</v>
      </c>
      <c r="D22" s="64" t="str">
        <f>IF(F20=Lists!D17,"Enter Value (%)","Input TCA-wide % change in nominal fare between 2019/20 and current period")</f>
        <v>Input TCA-wide % change in nominal fare between 2019/20 and current period</v>
      </c>
      <c r="F22" s="65"/>
    </row>
    <row r="24" spans="1:20">
      <c r="A24" s="49"/>
      <c r="B24" s="50"/>
      <c r="C24" s="50"/>
      <c r="D24" s="46" t="s">
        <v>220</v>
      </c>
      <c r="E24" s="51"/>
      <c r="F24" s="45"/>
      <c r="G24" s="51"/>
      <c r="H24" s="51"/>
      <c r="I24" s="51"/>
      <c r="J24" s="51"/>
      <c r="K24" s="51"/>
      <c r="L24" s="51"/>
      <c r="M24" s="51"/>
      <c r="N24" s="51"/>
      <c r="O24" s="51"/>
      <c r="P24" s="51"/>
      <c r="Q24" s="51"/>
      <c r="R24" s="51"/>
      <c r="S24" s="51"/>
      <c r="T24" s="51"/>
    </row>
    <row r="25" spans="1:20">
      <c r="A25" s="314"/>
    </row>
    <row r="26" spans="1:20">
      <c r="A26" s="314" t="s">
        <v>49</v>
      </c>
      <c r="D26" s="60" t="s">
        <v>221</v>
      </c>
      <c r="F26" s="61"/>
    </row>
    <row r="27" spans="1:20">
      <c r="A27" s="314"/>
    </row>
    <row r="28" spans="1:20">
      <c r="A28" s="314" t="s">
        <v>51</v>
      </c>
      <c r="D28" s="60" t="str">
        <f>IF($F$26="Default", "", "Please Input Mean Journey Length in Miles")</f>
        <v>Please Input Mean Journey Length in Miles</v>
      </c>
      <c r="F28" s="66"/>
    </row>
    <row r="29" spans="1:20">
      <c r="A29" s="314"/>
    </row>
    <row r="30" spans="1:20">
      <c r="A30" s="49"/>
      <c r="B30" s="50"/>
      <c r="C30" s="50"/>
      <c r="D30" s="46" t="s">
        <v>222</v>
      </c>
      <c r="E30" s="51"/>
      <c r="F30" s="45"/>
      <c r="G30" s="51"/>
      <c r="H30" s="51"/>
      <c r="I30" s="51"/>
      <c r="J30" s="51"/>
      <c r="K30" s="51"/>
      <c r="L30" s="51"/>
      <c r="M30" s="51"/>
      <c r="N30" s="51"/>
      <c r="O30" s="51"/>
      <c r="P30" s="51"/>
      <c r="Q30" s="51"/>
      <c r="R30" s="51"/>
      <c r="S30" s="51"/>
      <c r="T30" s="51"/>
    </row>
    <row r="32" spans="1:20">
      <c r="A32" s="314" t="s">
        <v>53</v>
      </c>
      <c r="D32" s="60" t="s">
        <v>223</v>
      </c>
      <c r="F32" s="61"/>
      <c r="H32" s="15" t="str" cm="1">
        <f t="array" aca="1" ref="H32" ca="1">IF($F$32="No","",HYPERLINK("#"&amp;CELL("address",MCC_Input),"Go to Marginal Capacity Costs Inputs"))</f>
        <v>Go to Marginal Capacity Costs Inputs</v>
      </c>
    </row>
    <row r="33" spans="1:20">
      <c r="A33" s="314"/>
    </row>
    <row r="34" spans="1:20">
      <c r="A34" s="49"/>
      <c r="B34" s="50"/>
      <c r="C34" s="50"/>
      <c r="D34" s="46" t="s">
        <v>224</v>
      </c>
      <c r="E34" s="51"/>
      <c r="F34" s="45"/>
      <c r="G34" s="51"/>
      <c r="H34" s="51"/>
      <c r="I34" s="51"/>
      <c r="J34" s="51"/>
      <c r="K34" s="51"/>
      <c r="L34" s="51"/>
      <c r="M34" s="51"/>
      <c r="N34" s="51"/>
      <c r="O34" s="51"/>
      <c r="P34" s="51"/>
      <c r="Q34" s="51"/>
      <c r="R34" s="51"/>
      <c r="S34" s="51"/>
      <c r="T34" s="51"/>
    </row>
    <row r="36" spans="1:20">
      <c r="A36" s="314" t="s">
        <v>55</v>
      </c>
      <c r="D36" s="60" t="s">
        <v>225</v>
      </c>
      <c r="F36" s="62"/>
    </row>
    <row r="37" spans="1:20">
      <c r="A37" s="314"/>
    </row>
    <row r="38" spans="1:20" ht="30.95">
      <c r="A38" s="314" t="s">
        <v>57</v>
      </c>
      <c r="D38" s="64" t="s">
        <v>226</v>
      </c>
      <c r="F38" s="62"/>
    </row>
    <row r="40" spans="1:20">
      <c r="A40" s="49"/>
      <c r="B40" s="50"/>
      <c r="C40" s="50"/>
      <c r="D40" s="46" t="s">
        <v>227</v>
      </c>
      <c r="E40" s="51"/>
      <c r="F40" s="45"/>
      <c r="G40" s="51"/>
      <c r="H40" s="51"/>
      <c r="I40" s="51"/>
      <c r="J40" s="51"/>
      <c r="K40" s="51"/>
      <c r="L40" s="51"/>
      <c r="M40" s="51"/>
      <c r="N40" s="51"/>
      <c r="O40" s="51"/>
      <c r="P40" s="51"/>
      <c r="Q40" s="51"/>
      <c r="R40" s="51"/>
      <c r="S40" s="51"/>
      <c r="T40" s="51"/>
    </row>
    <row r="41" spans="1:20">
      <c r="D41" s="328"/>
    </row>
    <row r="42" spans="1:20">
      <c r="D42" s="326" t="str" cm="1">
        <f t="array" aca="1" ref="D42" ca="1">HYPERLINK("#"&amp;CELL("address",Instructions),"Instructions")</f>
        <v>Instructions</v>
      </c>
    </row>
    <row r="43" spans="1:20">
      <c r="D43" s="327" t="str" cm="1">
        <f t="array" aca="1" ref="D43"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44" spans="1:20">
      <c r="D44" s="327" t="str" cm="1">
        <f t="array" aca="1" ref="D44" ca="1">IF(MCC_Choice="No","",HYPERLINK("#"&amp;CELL("address",MCC_Input),"Marginal Capacity Costs Inputs"))</f>
        <v>Marginal Capacity Costs Inputs</v>
      </c>
    </row>
    <row r="45" spans="1:20">
      <c r="D45" s="326" t="str" cm="1">
        <f t="array" aca="1" ref="D45" ca="1">HYPERLINK("#"&amp;CELL("address",Outputs),"Outputs")</f>
        <v>Outputs</v>
      </c>
    </row>
    <row r="46" spans="1:20">
      <c r="D46" s="327" t="str" cm="1">
        <f t="array" aca="1" ref="D46" ca="1">IF(MCC_Choice="No","",HYPERLINK("#"&amp;CELL("address",MCC_Outputs),"Marginal Capacity Costs Outputs"))</f>
        <v>Marginal Capacity Costs Outputs</v>
      </c>
    </row>
    <row r="47" spans="1:20">
      <c r="D47" s="328"/>
    </row>
    <row r="48" spans="1:20">
      <c r="A48" s="49"/>
      <c r="B48" s="50"/>
      <c r="C48" s="50"/>
      <c r="D48" s="46" t="s">
        <v>23</v>
      </c>
      <c r="E48" s="51"/>
      <c r="F48" s="45"/>
      <c r="G48" s="51"/>
      <c r="H48" s="51"/>
      <c r="I48" s="51"/>
      <c r="J48" s="51"/>
      <c r="K48" s="51"/>
      <c r="L48" s="51"/>
      <c r="M48" s="51"/>
      <c r="N48" s="51"/>
      <c r="O48" s="51"/>
      <c r="P48" s="51"/>
      <c r="Q48" s="51"/>
      <c r="R48" s="51"/>
      <c r="S48" s="51"/>
      <c r="T48" s="51"/>
    </row>
  </sheetData>
  <conditionalFormatting sqref="D16 F16">
    <cfRule type="expression" dxfId="44" priority="3">
      <formula>$F$14&lt;&gt;"Enter average fare forgone directly"</formula>
    </cfRule>
  </conditionalFormatting>
  <conditionalFormatting sqref="D28 F28">
    <cfRule type="expression" dxfId="43" priority="2">
      <formula>$F$26="Default"</formula>
    </cfRule>
  </conditionalFormatting>
  <dataValidations count="8">
    <dataValidation type="list" allowBlank="1" showInputMessage="1" showErrorMessage="1" sqref="F14" xr:uid="{A077C7CC-02C5-445D-980A-42EA1BF5AD11}">
      <formula1>INDIRECT("AFF_Method")</formula1>
    </dataValidation>
    <dataValidation type="list" allowBlank="1" showInputMessage="1" showErrorMessage="1" sqref="F32" xr:uid="{542366B0-C452-471B-9927-44317990B886}">
      <formula1>INDIRECT("Yes_No")</formula1>
    </dataValidation>
    <dataValidation type="list" allowBlank="1" showInputMessage="1" showErrorMessage="1" sqref="F26:F27" xr:uid="{16AEB6BC-AD9E-4506-BDCE-97E91A7CDEBA}">
      <formula1>INDIRECT("Default_Local")</formula1>
    </dataValidation>
    <dataValidation type="list" allowBlank="1" showInputMessage="1" showErrorMessage="1" sqref="F8" xr:uid="{89913AE4-AE1F-40EE-A120-C3BA50CEAD52}">
      <formula1>INDIRECT("Year")</formula1>
    </dataValidation>
    <dataValidation type="list" allowBlank="1" showInputMessage="1" showErrorMessage="1" sqref="F6" xr:uid="{F96CE6A7-AF40-45FA-A17E-CF337DE7AE5D}">
      <formula1>INDIRECT("Area_Type")</formula1>
    </dataValidation>
    <dataValidation type="list" allowBlank="1" showInputMessage="1" showErrorMessage="1" sqref="F20" xr:uid="{5D483D32-214B-41A5-B6F2-3A0F806ED52D}">
      <formula1>INDIRECT("RF_Method")</formula1>
    </dataValidation>
    <dataValidation type="decimal" errorStyle="warning" operator="greaterThanOrEqual" allowBlank="1" showErrorMessage="1" errorTitle="Please enter numerical value" sqref="F10 F16 F38 F28 F36" xr:uid="{52DDA1DD-8F05-40F0-89F2-28EA4C8A1D70}">
      <formula1>0</formula1>
    </dataValidation>
    <dataValidation type="decimal" errorStyle="warning" allowBlank="1" showErrorMessage="1" errorTitle="Please enter numerical value" sqref="F22" xr:uid="{B534C09E-8375-412C-A55A-9532DF01AE15}">
      <formula1>-1</formula1>
      <formula2>1</formula2>
    </dataValidation>
  </dataValidations>
  <hyperlinks>
    <hyperlink ref="A6" location="Instructions!B10" display="1a" xr:uid="{02C29F8B-2DA7-4F05-8717-288FCE0D902A}"/>
    <hyperlink ref="A8" location="Instructions!B11" display="1b" xr:uid="{7A5E03F8-718F-48EB-981A-4DBF1FDB27CA}"/>
    <hyperlink ref="A10" location="Instructions!B12" display="1c" xr:uid="{ACA2EDA8-C534-46F1-BE4D-D1E2F291AF6E}"/>
    <hyperlink ref="A14" location="Instructions!B13" display="1d" xr:uid="{65C3D528-C8CF-4A40-9A95-B415C5B7D219}"/>
    <hyperlink ref="A16" location="Instructions!B14" display="1e" xr:uid="{52F0446B-6CBB-48B0-9D12-8FBC97EDB8A3}"/>
    <hyperlink ref="A20" location="Instructions!B15" display="1f" xr:uid="{45377FDA-13A2-4462-903F-6DC380331C62}"/>
    <hyperlink ref="A22" location="Instructions!B16" display="1g" xr:uid="{C580D67E-310F-46B4-9B35-32D78F35068F}"/>
    <hyperlink ref="A26" location="Instructions!B17" display="1h" xr:uid="{56F1AA27-7D6A-4663-928F-3F34A6F96436}"/>
    <hyperlink ref="A28" location="Instructions!B18" display="1i" xr:uid="{E820B959-81DB-44AF-8461-6A1A30CDC404}"/>
    <hyperlink ref="A32" location="Instructions!B19" display="1j" xr:uid="{D10F2935-D92F-4AF1-9ECE-466AB1F159C7}"/>
    <hyperlink ref="A36" location="Instructions!B20" display="1k" xr:uid="{5920D213-EC1B-4E30-950C-B3818A04E363}"/>
    <hyperlink ref="A38" location="Instructions!B21" display="1l" xr:uid="{35DC536B-A493-430C-BC5E-D4FDE619F4BE}"/>
  </hyperlinks>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46CE5-F7B6-4C03-B06C-D4F241DD2F98}">
  <sheetPr codeName="Sheet6">
    <tabColor theme="5" tint="0.79998168889431442"/>
  </sheetPr>
  <dimension ref="A1:T31"/>
  <sheetViews>
    <sheetView showGridLines="0" workbookViewId="0">
      <selection activeCell="F8" sqref="F8"/>
    </sheetView>
  </sheetViews>
  <sheetFormatPr defaultColWidth="8.7109375" defaultRowHeight="15.6"/>
  <cols>
    <col min="1" max="1" width="6.85546875" style="6" customWidth="1"/>
    <col min="2" max="2" width="1.5703125" style="7" customWidth="1"/>
    <col min="3" max="3" width="1.28515625" style="7" customWidth="1"/>
    <col min="4" max="4" width="51.140625" style="8" customWidth="1"/>
    <col min="5" max="5" width="30.140625" style="9" customWidth="1"/>
    <col min="6" max="6" width="25.5703125" style="10" customWidth="1"/>
    <col min="7" max="7" width="20.5703125" style="10" customWidth="1"/>
    <col min="8" max="8" width="26.140625" style="10" bestFit="1" customWidth="1"/>
    <col min="9" max="9" width="19.85546875" style="10" customWidth="1"/>
    <col min="10" max="19" width="8.7109375" style="10"/>
    <col min="20" max="20" width="0.5703125" style="7" customWidth="1"/>
    <col min="21" max="16384" width="8.7109375" style="10"/>
  </cols>
  <sheetData>
    <row r="1" spans="1:20" ht="26.1">
      <c r="A1" s="34" t="s">
        <v>228</v>
      </c>
      <c r="B1" s="35"/>
      <c r="C1" s="35"/>
      <c r="D1" s="36"/>
      <c r="E1" s="38"/>
    </row>
    <row r="2" spans="1:20" ht="18.95" customHeight="1">
      <c r="A2" s="37" t="s">
        <v>229</v>
      </c>
      <c r="B2" s="35"/>
      <c r="C2" s="35"/>
      <c r="D2" s="36"/>
      <c r="E2" s="38"/>
    </row>
    <row r="4" spans="1:20">
      <c r="A4" s="43"/>
      <c r="B4" s="31"/>
      <c r="C4" s="31"/>
      <c r="D4" s="44" t="s">
        <v>227</v>
      </c>
      <c r="E4" s="38"/>
      <c r="F4" s="39"/>
      <c r="G4" s="39"/>
      <c r="H4" s="39"/>
      <c r="I4" s="39"/>
      <c r="J4" s="39"/>
      <c r="K4" s="39"/>
      <c r="L4" s="39"/>
      <c r="M4" s="39"/>
      <c r="N4" s="39"/>
      <c r="O4" s="39"/>
      <c r="P4" s="39"/>
      <c r="Q4" s="39"/>
      <c r="R4" s="39"/>
      <c r="S4" s="39"/>
      <c r="T4" s="11"/>
    </row>
    <row r="5" spans="1:20">
      <c r="D5" s="328"/>
    </row>
    <row r="6" spans="1:20">
      <c r="D6" s="326" t="str" cm="1">
        <f t="array" aca="1" ref="D6" ca="1">HYPERLINK("#"&amp;CELL("address",Instructions),"Instructions")</f>
        <v>Instructions</v>
      </c>
    </row>
    <row r="7" spans="1:20">
      <c r="D7" s="327" t="str" cm="1">
        <f t="array" aca="1" ref="D7" ca="1">HYPERLINK("#"&amp;CELL("address",Gen_Input),"General Inputs")</f>
        <v>General Inputs</v>
      </c>
    </row>
    <row r="8" spans="1:20">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0">
      <c r="D9" s="327" t="str" cm="1">
        <f t="array" aca="1" ref="D9" ca="1">IF(MCC_Choice="No","",HYPERLINK("#"&amp;CELL("address",MCC_Input),"Marginal Capacity Costs Inputs"))</f>
        <v>Marginal Capacity Costs Inputs</v>
      </c>
    </row>
    <row r="10" spans="1:20">
      <c r="D10" s="326" t="str" cm="1">
        <f t="array" aca="1" ref="D10" ca="1">HYPERLINK("#"&amp;CELL("address",Outputs),"Outputs")</f>
        <v>Outputs</v>
      </c>
    </row>
    <row r="11" spans="1:20">
      <c r="D11" s="326" t="str" cm="1">
        <f t="array" aca="1" ref="D11" ca="1">IF(MCC_Choice="No","",HYPERLINK("#"&amp;CELL("address",MCC_Outputs),"Marginal Capacity Costs Outputs"))</f>
        <v>Marginal Capacity Costs Outputs</v>
      </c>
    </row>
    <row r="12" spans="1:20">
      <c r="D12" s="328"/>
    </row>
    <row r="13" spans="1:20">
      <c r="A13" s="43"/>
      <c r="B13" s="31"/>
      <c r="C13" s="31"/>
      <c r="D13" s="44" t="s">
        <v>230</v>
      </c>
      <c r="E13" s="38"/>
      <c r="F13" s="39"/>
      <c r="G13" s="39"/>
      <c r="H13" s="39"/>
      <c r="I13" s="39"/>
      <c r="J13" s="39"/>
      <c r="K13" s="39"/>
      <c r="L13" s="39"/>
      <c r="M13" s="39"/>
      <c r="N13" s="39"/>
      <c r="O13" s="39"/>
      <c r="P13" s="39"/>
      <c r="Q13" s="39"/>
      <c r="R13" s="39"/>
      <c r="S13" s="39"/>
      <c r="T13" s="11"/>
    </row>
    <row r="15" spans="1:20">
      <c r="D15" s="193" t="str">
        <f>IF(AF_Method&lt;&gt;"Basket of Fares Method", "Method not in use","")</f>
        <v>Method not in use</v>
      </c>
    </row>
    <row r="17" spans="1:20" s="20" customFormat="1" ht="30.95">
      <c r="A17" s="314" t="s">
        <v>62</v>
      </c>
      <c r="D17" s="64" t="s">
        <v>231</v>
      </c>
      <c r="E17" s="64" t="s">
        <v>232</v>
      </c>
      <c r="F17" s="64" t="s">
        <v>233</v>
      </c>
      <c r="G17" s="64" t="s">
        <v>234</v>
      </c>
      <c r="H17" s="10"/>
      <c r="I17" s="10"/>
    </row>
    <row r="18" spans="1:20">
      <c r="A18" s="12"/>
      <c r="D18" s="68"/>
      <c r="E18" s="67"/>
      <c r="F18" s="68"/>
      <c r="G18" s="69"/>
      <c r="S18" s="7"/>
      <c r="T18" s="10"/>
    </row>
    <row r="19" spans="1:20">
      <c r="A19" s="12"/>
      <c r="D19" s="68"/>
      <c r="E19" s="67"/>
      <c r="F19" s="68"/>
      <c r="G19" s="69"/>
      <c r="S19" s="7"/>
      <c r="T19" s="10"/>
    </row>
    <row r="20" spans="1:20">
      <c r="A20" s="12"/>
      <c r="D20" s="68"/>
      <c r="E20" s="67"/>
      <c r="F20" s="68"/>
      <c r="G20" s="69"/>
      <c r="S20" s="7"/>
      <c r="T20" s="10"/>
    </row>
    <row r="21" spans="1:20">
      <c r="A21" s="12"/>
      <c r="D21" s="68"/>
      <c r="E21" s="67"/>
      <c r="F21" s="68"/>
      <c r="G21" s="69"/>
      <c r="S21" s="7"/>
      <c r="T21" s="10"/>
    </row>
    <row r="22" spans="1:20">
      <c r="A22" s="12"/>
      <c r="D22" s="68"/>
      <c r="E22" s="67"/>
      <c r="F22" s="68"/>
      <c r="G22" s="69"/>
      <c r="S22" s="7"/>
      <c r="T22" s="10"/>
    </row>
    <row r="23" spans="1:20">
      <c r="A23" s="12"/>
      <c r="D23" s="68"/>
      <c r="E23" s="67"/>
      <c r="F23" s="68"/>
      <c r="G23" s="69"/>
      <c r="S23" s="7"/>
      <c r="T23" s="10"/>
    </row>
    <row r="24" spans="1:20">
      <c r="A24" s="12"/>
      <c r="D24" s="68"/>
      <c r="E24" s="67"/>
      <c r="F24" s="68"/>
      <c r="G24" s="69"/>
      <c r="S24" s="7"/>
      <c r="T24" s="10"/>
    </row>
    <row r="25" spans="1:20">
      <c r="A25" s="12"/>
      <c r="D25" s="68"/>
      <c r="E25" s="67"/>
      <c r="F25" s="68"/>
      <c r="G25" s="69"/>
      <c r="S25" s="7"/>
      <c r="T25" s="10"/>
    </row>
    <row r="26" spans="1:20">
      <c r="A26" s="12"/>
      <c r="D26" s="68"/>
      <c r="E26" s="67"/>
      <c r="F26" s="68"/>
      <c r="G26" s="69"/>
      <c r="S26" s="7"/>
      <c r="T26" s="10"/>
    </row>
    <row r="27" spans="1:20">
      <c r="A27" s="12"/>
      <c r="D27" s="68"/>
      <c r="E27" s="67"/>
      <c r="F27" s="68"/>
      <c r="G27" s="69"/>
      <c r="S27" s="7"/>
      <c r="T27" s="10"/>
    </row>
    <row r="28" spans="1:20">
      <c r="A28" s="12"/>
      <c r="D28" s="68"/>
      <c r="E28" s="67"/>
      <c r="F28" s="68"/>
      <c r="G28" s="69"/>
      <c r="S28" s="7"/>
      <c r="T28" s="10"/>
    </row>
    <row r="29" spans="1:20">
      <c r="A29" s="12"/>
      <c r="D29" s="10"/>
      <c r="E29" s="10"/>
      <c r="G29" s="223" t="str">
        <f>IF(AND(D15="",SUM(G18:G28)&lt;&gt;1),"Total journeys do not add up to 100%","")</f>
        <v/>
      </c>
    </row>
    <row r="30" spans="1:20">
      <c r="A30" s="12"/>
      <c r="D30" s="10"/>
      <c r="E30" s="10"/>
    </row>
    <row r="31" spans="1:20">
      <c r="A31" s="43"/>
      <c r="B31" s="31"/>
      <c r="C31" s="31"/>
      <c r="D31" s="44" t="s">
        <v>23</v>
      </c>
      <c r="E31" s="38"/>
      <c r="F31" s="39"/>
      <c r="G31" s="39"/>
      <c r="H31" s="39"/>
      <c r="I31" s="39"/>
      <c r="J31" s="39"/>
      <c r="K31" s="39"/>
      <c r="L31" s="39"/>
      <c r="M31" s="39"/>
      <c r="N31" s="39"/>
      <c r="O31" s="39"/>
      <c r="P31" s="39"/>
      <c r="Q31" s="39"/>
      <c r="R31" s="39"/>
      <c r="S31" s="39"/>
      <c r="T31" s="11"/>
    </row>
  </sheetData>
  <conditionalFormatting sqref="D18:G28">
    <cfRule type="expression" dxfId="42" priority="2">
      <formula>$D$15="Method not in use"</formula>
    </cfRule>
  </conditionalFormatting>
  <dataValidations count="1">
    <dataValidation type="decimal" errorStyle="warning" operator="greaterThanOrEqual" allowBlank="1" showInputMessage="1" showErrorMessage="1" errorTitle="Please enter numerical value" sqref="E18:G28" xr:uid="{18142850-EA2C-4C76-8B0E-D6CE8ED41256}">
      <formula1>0</formula1>
    </dataValidation>
  </dataValidations>
  <hyperlinks>
    <hyperlink ref="A17" location="Instructions!B28" display="2a" xr:uid="{0959D191-A5DC-42A1-B156-2700C6BDC4FD}"/>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94DBD-4617-4BA1-AF6D-420252D0DC4D}">
  <sheetPr codeName="Sheet7">
    <tabColor theme="5" tint="0.79998168889431442"/>
  </sheetPr>
  <dimension ref="A1:T80"/>
  <sheetViews>
    <sheetView showGridLines="0" topLeftCell="A3" workbookViewId="0">
      <selection activeCell="I50" sqref="I50"/>
    </sheetView>
  </sheetViews>
  <sheetFormatPr defaultColWidth="8.7109375" defaultRowHeight="15.6"/>
  <cols>
    <col min="1" max="1" width="6.85546875" style="6" customWidth="1"/>
    <col min="2" max="2" width="1.5703125" style="7" customWidth="1"/>
    <col min="3" max="3" width="1.28515625" style="7" customWidth="1"/>
    <col min="4" max="4" width="49.85546875" style="8" customWidth="1"/>
    <col min="5" max="5" width="28.5703125" style="9" customWidth="1"/>
    <col min="6" max="6" width="27.42578125" style="10" customWidth="1"/>
    <col min="7" max="7" width="24" style="10" customWidth="1"/>
    <col min="8" max="8" width="26.140625" style="10" bestFit="1" customWidth="1"/>
    <col min="9" max="9" width="19.85546875" style="10" customWidth="1"/>
    <col min="10" max="19" width="8.7109375" style="10"/>
    <col min="20" max="20" width="0.5703125" style="7" customWidth="1"/>
    <col min="21" max="16384" width="8.7109375" style="10"/>
  </cols>
  <sheetData>
    <row r="1" spans="1:20" ht="26.1">
      <c r="A1" s="34" t="s">
        <v>235</v>
      </c>
      <c r="B1" s="35"/>
      <c r="C1" s="35"/>
      <c r="D1" s="36"/>
      <c r="E1" s="38"/>
      <c r="F1" s="39"/>
    </row>
    <row r="2" spans="1:20" ht="18.95" customHeight="1">
      <c r="A2" s="37" t="s">
        <v>236</v>
      </c>
      <c r="B2" s="35"/>
      <c r="C2" s="35"/>
      <c r="D2" s="36"/>
      <c r="E2" s="38"/>
      <c r="F2" s="39"/>
    </row>
    <row r="4" spans="1:20">
      <c r="A4" s="43"/>
      <c r="B4" s="31"/>
      <c r="C4" s="31"/>
      <c r="D4" s="44" t="s">
        <v>227</v>
      </c>
      <c r="E4" s="38"/>
      <c r="F4" s="39"/>
      <c r="G4" s="39"/>
      <c r="H4" s="39"/>
      <c r="I4" s="39"/>
      <c r="J4" s="39"/>
      <c r="K4" s="39"/>
      <c r="L4" s="39"/>
      <c r="M4" s="39"/>
      <c r="N4" s="39"/>
      <c r="O4" s="39"/>
      <c r="P4" s="39"/>
      <c r="Q4" s="39"/>
      <c r="R4" s="39"/>
      <c r="S4" s="39"/>
      <c r="T4" s="31"/>
    </row>
    <row r="5" spans="1:20">
      <c r="D5" s="328"/>
    </row>
    <row r="6" spans="1:20">
      <c r="D6" s="326" t="str" cm="1">
        <f t="array" aca="1" ref="D6" ca="1">HYPERLINK("#"&amp;CELL("address",Instructions),"Instructions")</f>
        <v>Instructions</v>
      </c>
    </row>
    <row r="7" spans="1:20">
      <c r="D7" s="327" t="str" cm="1">
        <f t="array" aca="1" ref="D7" ca="1">HYPERLINK("#"&amp;CELL("address",Gen_Input),"General Inputs")</f>
        <v>General Inputs</v>
      </c>
    </row>
    <row r="8" spans="1:20">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0">
      <c r="D9" s="327" t="str" cm="1">
        <f t="array" aca="1" ref="D9" ca="1">IF(MCC_Choice="No","",HYPERLINK("#"&amp;CELL("address",MCC_Input),"Marginal Capacity Costs Inputs"))</f>
        <v>Marginal Capacity Costs Inputs</v>
      </c>
    </row>
    <row r="10" spans="1:20">
      <c r="D10" s="326" t="str" cm="1">
        <f t="array" aca="1" ref="D10" ca="1">HYPERLINK("#"&amp;CELL("address",Outputs),"Outputs")</f>
        <v>Outputs</v>
      </c>
    </row>
    <row r="11" spans="1:20">
      <c r="D11" s="326" t="str" cm="1">
        <f t="array" aca="1" ref="D11" ca="1">IF(MCC_Choice="No","",HYPERLINK("#"&amp;CELL("address",MCC_Outputs),"Marginal Capacity Costs Outputs"))</f>
        <v>Marginal Capacity Costs Outputs</v>
      </c>
    </row>
    <row r="12" spans="1:20">
      <c r="D12" s="328"/>
    </row>
    <row r="13" spans="1:20">
      <c r="A13" s="313" t="s">
        <v>75</v>
      </c>
      <c r="B13" s="31"/>
      <c r="C13" s="31"/>
      <c r="D13" s="44" t="s">
        <v>76</v>
      </c>
      <c r="E13" s="38"/>
      <c r="F13" s="39"/>
      <c r="G13" s="39"/>
      <c r="H13" s="39"/>
      <c r="I13" s="39"/>
      <c r="J13" s="39"/>
      <c r="K13" s="39"/>
      <c r="L13" s="39"/>
      <c r="M13" s="39"/>
      <c r="N13" s="39"/>
      <c r="O13" s="39"/>
      <c r="P13" s="39"/>
      <c r="Q13" s="39"/>
      <c r="R13" s="39"/>
      <c r="S13" s="39"/>
      <c r="T13" s="31"/>
    </row>
    <row r="14" spans="1:20" customFormat="1" ht="14.45"/>
    <row r="15" spans="1:20" customFormat="1">
      <c r="D15" s="193" t="str">
        <f>IF(AF_Method&lt;&gt;"Discount Factor Method (enter average ticket prices directly)", "Method not in use","")</f>
        <v>Method not in use</v>
      </c>
    </row>
    <row r="16" spans="1:20">
      <c r="A16" s="314"/>
    </row>
    <row r="17" spans="1:20">
      <c r="A17" s="314" t="s">
        <v>77</v>
      </c>
      <c r="D17" s="57" t="s">
        <v>237</v>
      </c>
      <c r="E17" s="203" t="s">
        <v>214</v>
      </c>
      <c r="F17" s="326" t="str" cm="1">
        <f t="array" aca="1" ref="F17" ca="1">IF(AND(AF_Method="Discount Factor Method (enter average ticket prices directly)",E17="Custom"),HYPERLINK("#"&amp;CELL("address",Custom),"Enter Custom Lookup Table"),"")</f>
        <v/>
      </c>
    </row>
    <row r="18" spans="1:20">
      <c r="A18" s="314"/>
    </row>
    <row r="19" spans="1:20">
      <c r="A19" s="314" t="s">
        <v>81</v>
      </c>
      <c r="D19" s="57" t="s">
        <v>238</v>
      </c>
      <c r="E19" s="70"/>
      <c r="F19" s="193" t="str">
        <f>IF(AND(AF_Method=Lists!$D$30,$E$19=0),"Average cash fare must be input for this method to be used","")</f>
        <v/>
      </c>
    </row>
    <row r="20" spans="1:20">
      <c r="A20" s="314" t="s">
        <v>83</v>
      </c>
      <c r="D20" s="57" t="s">
        <v>239</v>
      </c>
      <c r="E20" s="70"/>
      <c r="F20" s="193" t="str">
        <f>IF(AF_Method=Lists!$D$30, IF(SUM(E19:E21)=0,"", IF('Discount Factor - Calculations'!$E$56&gt;10,"Warning: Ratio of daily to cash fares not in Lookup - use Basket of Fares", IF('Discount Factor - Calculations'!$E$88&gt;10,"Warning: Ratio of daily to cash fares not in Lookup - use Basket of Fares",""))),"")</f>
        <v/>
      </c>
    </row>
    <row r="21" spans="1:20">
      <c r="A21" s="314" t="s">
        <v>85</v>
      </c>
      <c r="D21" s="57" t="s">
        <v>240</v>
      </c>
      <c r="E21" s="70"/>
    </row>
    <row r="22" spans="1:20">
      <c r="A22" s="10"/>
      <c r="D22" s="16"/>
      <c r="E22" s="10"/>
    </row>
    <row r="23" spans="1:20">
      <c r="A23" s="10"/>
      <c r="C23" s="10"/>
      <c r="D23" s="10"/>
      <c r="E23" s="10"/>
      <c r="T23" s="10"/>
    </row>
    <row r="24" spans="1:20">
      <c r="A24" s="313" t="s">
        <v>87</v>
      </c>
      <c r="B24" s="31"/>
      <c r="C24" s="31"/>
      <c r="D24" s="44" t="s">
        <v>230</v>
      </c>
      <c r="E24" s="38"/>
      <c r="F24" s="39"/>
      <c r="G24" s="39"/>
      <c r="H24" s="39"/>
      <c r="I24" s="39"/>
      <c r="J24" s="39"/>
      <c r="K24" s="39"/>
      <c r="L24" s="39"/>
      <c r="M24" s="39"/>
      <c r="N24" s="39"/>
      <c r="O24" s="39"/>
      <c r="P24" s="39"/>
      <c r="Q24" s="39"/>
      <c r="R24" s="39"/>
      <c r="S24" s="39"/>
      <c r="T24" s="31"/>
    </row>
    <row r="25" spans="1:20">
      <c r="A25" s="12"/>
      <c r="D25" s="16"/>
      <c r="E25" s="10"/>
    </row>
    <row r="26" spans="1:20">
      <c r="A26" s="12"/>
      <c r="D26" s="193" t="str">
        <f>IF(AF_Method&lt;&gt;"Discount Factor Method (use template to calculate fares changes)", "Method not in use","")</f>
        <v>Method not in use</v>
      </c>
      <c r="E26" s="10"/>
    </row>
    <row r="27" spans="1:20">
      <c r="A27" s="12"/>
      <c r="D27" s="193"/>
      <c r="E27" s="10"/>
    </row>
    <row r="28" spans="1:20">
      <c r="A28" s="314" t="s">
        <v>89</v>
      </c>
      <c r="D28" s="57" t="s">
        <v>237</v>
      </c>
      <c r="E28" s="204" t="s">
        <v>210</v>
      </c>
      <c r="F28" s="326" t="str" cm="1">
        <f t="array" aca="1" ref="F28" ca="1">IF(AND(AF_Method="Discount Factor Method (use template to calculate fares changes)",E28="Custom"),HYPERLINK("#"&amp;CELL("address",Custom),"Enter Custom Lookup Table"),"")</f>
        <v/>
      </c>
    </row>
    <row r="29" spans="1:20">
      <c r="A29" s="314"/>
      <c r="D29" s="193"/>
      <c r="E29" s="10"/>
      <c r="F29" s="193" t="str">
        <f>IFERROR(IF(AF_Method=Lists!$D$31, IF(SUM(G32:G39,F43:F50,F54:F61)=0,"",IF('Discount Factor - Calculations'!$E$56&gt;10,"Warning: Ratio of daily to cash fares not in Lookup - use Basket of Fares", IF('Discount Factor - Calculations'!$E$88&gt;10,"Warning: Ratio of daily to cash fares not in Lookup - use Basket of Fares",""))),""),"")</f>
        <v/>
      </c>
    </row>
    <row r="30" spans="1:20">
      <c r="A30" s="314"/>
      <c r="D30" s="17" t="s">
        <v>241</v>
      </c>
      <c r="E30" s="10"/>
    </row>
    <row r="31" spans="1:20">
      <c r="A31" s="314" t="s">
        <v>91</v>
      </c>
      <c r="D31" s="64" t="s">
        <v>242</v>
      </c>
      <c r="E31" s="64" t="s">
        <v>243</v>
      </c>
      <c r="F31" s="64" t="s">
        <v>244</v>
      </c>
      <c r="G31" s="64" t="s">
        <v>245</v>
      </c>
    </row>
    <row r="32" spans="1:20">
      <c r="A32" s="314"/>
      <c r="D32" s="68"/>
      <c r="E32" s="68"/>
      <c r="F32" s="68"/>
      <c r="G32" s="325"/>
      <c r="H32" s="193" t="str">
        <f>IF(AND(AF_Method=Lists!$D$31,SUM(G32:G39)=0),"Average cash fare must be input for this method to be used","")</f>
        <v/>
      </c>
    </row>
    <row r="33" spans="1:20">
      <c r="A33" s="314"/>
      <c r="D33" s="68"/>
      <c r="E33" s="68"/>
      <c r="F33" s="68"/>
      <c r="G33" s="325"/>
    </row>
    <row r="34" spans="1:20">
      <c r="A34" s="314"/>
      <c r="D34" s="68"/>
      <c r="E34" s="68"/>
      <c r="F34" s="68"/>
      <c r="G34" s="325"/>
    </row>
    <row r="35" spans="1:20">
      <c r="A35" s="314"/>
      <c r="D35" s="68"/>
      <c r="E35" s="68"/>
      <c r="F35" s="68"/>
      <c r="G35" s="325"/>
    </row>
    <row r="36" spans="1:20">
      <c r="A36" s="314"/>
      <c r="D36" s="68"/>
      <c r="E36" s="68"/>
      <c r="F36" s="68"/>
      <c r="G36" s="325"/>
    </row>
    <row r="37" spans="1:20">
      <c r="A37" s="314"/>
      <c r="D37" s="68"/>
      <c r="E37" s="68"/>
      <c r="F37" s="68"/>
      <c r="G37" s="325"/>
    </row>
    <row r="38" spans="1:20">
      <c r="A38" s="314"/>
      <c r="D38" s="68"/>
      <c r="E38" s="68"/>
      <c r="F38" s="68"/>
      <c r="G38" s="325"/>
    </row>
    <row r="39" spans="1:20">
      <c r="A39" s="314"/>
      <c r="D39" s="68"/>
      <c r="E39" s="68"/>
      <c r="F39" s="68"/>
      <c r="G39" s="325"/>
    </row>
    <row r="40" spans="1:20">
      <c r="A40" s="314"/>
      <c r="D40" s="18"/>
      <c r="E40" s="10"/>
    </row>
    <row r="41" spans="1:20">
      <c r="A41" s="314"/>
      <c r="D41" s="17" t="s">
        <v>246</v>
      </c>
      <c r="E41" s="10"/>
    </row>
    <row r="42" spans="1:20">
      <c r="A42" s="314" t="s">
        <v>93</v>
      </c>
      <c r="D42" s="64" t="s">
        <v>242</v>
      </c>
      <c r="E42" s="64" t="s">
        <v>244</v>
      </c>
      <c r="F42" s="64" t="s">
        <v>245</v>
      </c>
      <c r="R42" s="7"/>
      <c r="T42" s="10"/>
    </row>
    <row r="43" spans="1:20">
      <c r="A43" s="314"/>
      <c r="D43" s="68"/>
      <c r="E43" s="68"/>
      <c r="F43" s="325"/>
      <c r="R43" s="7"/>
      <c r="T43" s="10"/>
    </row>
    <row r="44" spans="1:20">
      <c r="A44" s="314"/>
      <c r="D44" s="68"/>
      <c r="E44" s="68"/>
      <c r="F44" s="325"/>
      <c r="R44" s="7"/>
      <c r="T44" s="10"/>
    </row>
    <row r="45" spans="1:20">
      <c r="A45" s="314"/>
      <c r="D45" s="68"/>
      <c r="E45" s="68"/>
      <c r="F45" s="325"/>
      <c r="R45" s="7"/>
      <c r="T45" s="10"/>
    </row>
    <row r="46" spans="1:20">
      <c r="A46" s="314"/>
      <c r="D46" s="68"/>
      <c r="E46" s="68"/>
      <c r="F46" s="325"/>
      <c r="R46" s="7"/>
      <c r="T46" s="10"/>
    </row>
    <row r="47" spans="1:20">
      <c r="A47" s="314"/>
      <c r="D47" s="68"/>
      <c r="E47" s="68"/>
      <c r="F47" s="325"/>
      <c r="R47" s="7"/>
      <c r="T47" s="10"/>
    </row>
    <row r="48" spans="1:20">
      <c r="A48" s="314"/>
      <c r="D48" s="68"/>
      <c r="E48" s="68"/>
      <c r="F48" s="325"/>
      <c r="R48" s="7"/>
      <c r="T48" s="10"/>
    </row>
    <row r="49" spans="1:20">
      <c r="A49" s="314"/>
      <c r="D49" s="68"/>
      <c r="E49" s="68"/>
      <c r="F49" s="325"/>
      <c r="R49" s="7"/>
      <c r="T49" s="10"/>
    </row>
    <row r="50" spans="1:20">
      <c r="A50" s="314"/>
      <c r="D50" s="68"/>
      <c r="E50" s="68"/>
      <c r="F50" s="325"/>
      <c r="R50" s="7"/>
      <c r="T50" s="10"/>
    </row>
    <row r="51" spans="1:20">
      <c r="A51" s="314"/>
      <c r="D51" s="16"/>
      <c r="E51" s="10"/>
    </row>
    <row r="52" spans="1:20">
      <c r="A52" s="314"/>
      <c r="D52" s="17" t="s">
        <v>247</v>
      </c>
      <c r="E52" s="10"/>
    </row>
    <row r="53" spans="1:20">
      <c r="A53" s="314" t="s">
        <v>95</v>
      </c>
      <c r="D53" s="64" t="s">
        <v>242</v>
      </c>
      <c r="E53" s="64" t="s">
        <v>244</v>
      </c>
      <c r="F53" s="64" t="s">
        <v>245</v>
      </c>
    </row>
    <row r="54" spans="1:20">
      <c r="A54" s="314"/>
      <c r="D54" s="68"/>
      <c r="E54" s="68"/>
      <c r="F54" s="325"/>
    </row>
    <row r="55" spans="1:20">
      <c r="A55" s="12"/>
      <c r="D55" s="68"/>
      <c r="E55" s="68"/>
      <c r="F55" s="325"/>
    </row>
    <row r="56" spans="1:20">
      <c r="A56" s="12"/>
      <c r="D56" s="68"/>
      <c r="E56" s="68"/>
      <c r="F56" s="325"/>
    </row>
    <row r="57" spans="1:20">
      <c r="A57" s="12"/>
      <c r="D57" s="68"/>
      <c r="E57" s="68"/>
      <c r="F57" s="325"/>
    </row>
    <row r="58" spans="1:20">
      <c r="A58" s="12"/>
      <c r="D58" s="68"/>
      <c r="E58" s="68"/>
      <c r="F58" s="325"/>
    </row>
    <row r="59" spans="1:20">
      <c r="A59" s="12"/>
      <c r="D59" s="68"/>
      <c r="E59" s="68"/>
      <c r="F59" s="325"/>
    </row>
    <row r="60" spans="1:20">
      <c r="A60" s="12"/>
      <c r="D60" s="68"/>
      <c r="E60" s="68"/>
      <c r="F60" s="325"/>
    </row>
    <row r="61" spans="1:20">
      <c r="A61" s="12"/>
      <c r="D61" s="68"/>
      <c r="E61" s="68"/>
      <c r="F61" s="325"/>
    </row>
    <row r="62" spans="1:20">
      <c r="A62" s="12"/>
      <c r="D62" s="16"/>
      <c r="E62" s="10"/>
    </row>
    <row r="63" spans="1:20">
      <c r="A63" s="43"/>
      <c r="B63" s="31"/>
      <c r="C63" s="31"/>
      <c r="D63" s="44" t="s">
        <v>248</v>
      </c>
      <c r="E63" s="38"/>
      <c r="F63" s="39"/>
      <c r="G63" s="39"/>
      <c r="H63" s="39"/>
      <c r="I63" s="39"/>
      <c r="J63" s="39"/>
      <c r="K63" s="39"/>
      <c r="L63" s="39"/>
      <c r="M63" s="39"/>
      <c r="N63" s="39"/>
      <c r="O63" s="39"/>
      <c r="P63" s="39"/>
      <c r="Q63" s="39"/>
      <c r="R63" s="39"/>
      <c r="S63" s="39"/>
      <c r="T63" s="31"/>
    </row>
    <row r="64" spans="1:20">
      <c r="A64" s="10"/>
      <c r="B64" s="10"/>
      <c r="C64" s="10"/>
      <c r="D64" s="10"/>
      <c r="E64" s="10"/>
      <c r="T64" s="10"/>
    </row>
    <row r="65" spans="1:20">
      <c r="A65" s="10"/>
      <c r="B65" s="10"/>
      <c r="C65" s="10"/>
      <c r="D65" s="10"/>
      <c r="E65" s="10"/>
      <c r="T65" s="10"/>
    </row>
    <row r="66" spans="1:20">
      <c r="A66" s="10"/>
      <c r="B66" s="10"/>
      <c r="C66" s="10"/>
      <c r="D66" s="10"/>
      <c r="E66" s="10"/>
      <c r="T66" s="10"/>
    </row>
    <row r="67" spans="1:20">
      <c r="A67" s="10"/>
      <c r="B67" s="10"/>
      <c r="C67" s="10"/>
      <c r="D67" s="10"/>
      <c r="E67" s="10"/>
      <c r="T67" s="10"/>
    </row>
    <row r="68" spans="1:20">
      <c r="A68" s="10"/>
      <c r="B68" s="10"/>
      <c r="C68" s="10"/>
      <c r="D68" s="10"/>
      <c r="E68" s="10"/>
      <c r="T68" s="10"/>
    </row>
    <row r="69" spans="1:20">
      <c r="A69" s="10"/>
      <c r="B69" s="10"/>
      <c r="C69" s="10"/>
      <c r="D69" s="10"/>
      <c r="E69" s="10"/>
      <c r="T69" s="10"/>
    </row>
    <row r="70" spans="1:20">
      <c r="A70" s="10"/>
      <c r="B70" s="10"/>
      <c r="C70" s="10"/>
      <c r="D70" s="10"/>
      <c r="E70" s="10"/>
      <c r="T70" s="10"/>
    </row>
    <row r="71" spans="1:20">
      <c r="A71" s="10"/>
      <c r="B71" s="10"/>
      <c r="C71" s="10"/>
      <c r="D71" s="10"/>
      <c r="E71" s="10"/>
      <c r="T71" s="10"/>
    </row>
    <row r="72" spans="1:20">
      <c r="C72" s="10"/>
      <c r="D72" s="10"/>
      <c r="E72" s="10"/>
      <c r="T72" s="10"/>
    </row>
    <row r="73" spans="1:20">
      <c r="C73" s="10"/>
      <c r="D73" s="10"/>
      <c r="E73" s="10"/>
      <c r="T73" s="10"/>
    </row>
    <row r="74" spans="1:20">
      <c r="C74" s="10"/>
      <c r="D74" s="10"/>
      <c r="E74" s="10"/>
      <c r="T74" s="10"/>
    </row>
    <row r="76" spans="1:20">
      <c r="D76" s="10"/>
      <c r="E76" s="10"/>
    </row>
    <row r="77" spans="1:20">
      <c r="D77" s="10"/>
      <c r="E77" s="10"/>
    </row>
    <row r="78" spans="1:20">
      <c r="D78" s="10"/>
      <c r="E78" s="10"/>
    </row>
    <row r="79" spans="1:20">
      <c r="D79" s="10"/>
      <c r="E79" s="10"/>
    </row>
    <row r="80" spans="1:20">
      <c r="D80" s="10"/>
      <c r="E80" s="10"/>
    </row>
  </sheetData>
  <conditionalFormatting sqref="D22 D25">
    <cfRule type="cellIs" dxfId="41" priority="21" operator="notEqual">
      <formula>"Please enter average fare forgone"</formula>
    </cfRule>
  </conditionalFormatting>
  <conditionalFormatting sqref="D51 D62">
    <cfRule type="cellIs" dxfId="40" priority="14" operator="notEqual">
      <formula>"Please enter average fare forgone"</formula>
    </cfRule>
  </conditionalFormatting>
  <conditionalFormatting sqref="D43:F50">
    <cfRule type="expression" dxfId="39" priority="2">
      <formula>$D$26="Method not in use"</formula>
    </cfRule>
  </conditionalFormatting>
  <conditionalFormatting sqref="D54:F61">
    <cfRule type="expression" dxfId="38" priority="1">
      <formula>$D$26="Method not in use"</formula>
    </cfRule>
  </conditionalFormatting>
  <conditionalFormatting sqref="D32:G39">
    <cfRule type="expression" dxfId="37" priority="8">
      <formula>$D$26="Method not in use"</formula>
    </cfRule>
  </conditionalFormatting>
  <conditionalFormatting sqref="E17">
    <cfRule type="expression" dxfId="36" priority="4">
      <formula>$D$15="Method not in use"</formula>
    </cfRule>
  </conditionalFormatting>
  <conditionalFormatting sqref="E19:E21">
    <cfRule type="expression" dxfId="35" priority="110">
      <formula>$D$15="Method not in use"</formula>
    </cfRule>
  </conditionalFormatting>
  <conditionalFormatting sqref="E28">
    <cfRule type="expression" dxfId="34" priority="5">
      <formula>$D$26="Method not in use"</formula>
    </cfRule>
  </conditionalFormatting>
  <dataValidations count="1">
    <dataValidation type="decimal" errorStyle="warning" operator="greaterThanOrEqual" allowBlank="1" showInputMessage="1" showErrorMessage="1" errorTitle="Please enter numerical value" sqref="E19:E21 E32:G39 E43:F50 E54:F61" xr:uid="{BCA51DFF-E024-4C78-959A-293C2E051000}">
      <formula1>0</formula1>
    </dataValidation>
  </dataValidations>
  <hyperlinks>
    <hyperlink ref="A13" location="Instructions!B42" display="2b.i" xr:uid="{00F24574-B2C8-4524-B3A0-5ED7D57D745D}"/>
    <hyperlink ref="A17" location="Instructions!B43" display="2b.ii" xr:uid="{64A8F633-2112-4570-91FB-9C3DF324DDC3}"/>
    <hyperlink ref="A19" location="Instructions!B45" display="2b.iii" xr:uid="{8EA0EA58-B942-4D7A-A7EE-8C786E889A36}"/>
    <hyperlink ref="A20" location="Instructions!B46" display="2b.iv" xr:uid="{854A8509-D361-4AAB-B687-86495C54D4F0}"/>
    <hyperlink ref="A21" location="Instructions!B47" display="2b.v" xr:uid="{A5F914BB-CFD0-49D0-A872-855A021D1C29}"/>
    <hyperlink ref="A24" location="Instructions!B48" display="2b.vi" xr:uid="{7CC2751C-AFFA-44D8-9404-9DC99D1C81EA}"/>
    <hyperlink ref="A28" location="Instructions!B49" display="2b.vii" xr:uid="{E74D0781-58C5-4576-9C79-0DD7317D3AFB}"/>
    <hyperlink ref="A31" location="Instructions!B51" display="2b.viii" xr:uid="{A6846E64-59B5-46CC-9184-CEBC911F2839}"/>
    <hyperlink ref="A42" location="Instructions!B52" display="2b.ix" xr:uid="{457A0AA6-3ECC-4057-ACF1-0579472E0908}"/>
    <hyperlink ref="A53" location="Instructions!B53" display="2b.x" xr:uid="{B90484CA-BC9C-473D-A257-B08D376A900C}"/>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128871-5840-4C9E-8E9E-95211D8BF89F}">
          <x14:formula1>
            <xm:f>Lists!$D$35:$D$39</xm:f>
          </x14:formula1>
          <xm:sqref>E28 E17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86C74-1F87-4E7D-9D4E-FE5027FE363F}">
  <sheetPr codeName="Sheet8">
    <tabColor theme="5" tint="0.79998168889431442"/>
  </sheetPr>
  <dimension ref="A1:Y118"/>
  <sheetViews>
    <sheetView showGridLines="0" zoomScaleNormal="100" workbookViewId="0"/>
  </sheetViews>
  <sheetFormatPr defaultColWidth="8.7109375" defaultRowHeight="15.6"/>
  <cols>
    <col min="1" max="1" width="6.85546875" style="6" customWidth="1"/>
    <col min="2" max="2" width="1.5703125" style="7" customWidth="1"/>
    <col min="3" max="3" width="1.28515625" style="7" customWidth="1"/>
    <col min="4" max="4" width="30.5703125" style="7" bestFit="1" customWidth="1"/>
    <col min="5" max="5" width="31.85546875" style="8" customWidth="1"/>
    <col min="6" max="6" width="38.85546875" style="9" customWidth="1"/>
    <col min="7" max="7" width="33.42578125" style="10" customWidth="1"/>
    <col min="8" max="8" width="14" style="10" customWidth="1"/>
    <col min="9" max="9" width="11.42578125" style="10" customWidth="1"/>
    <col min="10" max="10" width="13.42578125" style="10" customWidth="1"/>
    <col min="11" max="11" width="12.85546875" style="10" customWidth="1"/>
    <col min="12" max="12" width="13.85546875" style="10" customWidth="1"/>
    <col min="13" max="13" width="11.5703125" style="10" customWidth="1"/>
    <col min="14" max="14" width="25.5703125" style="10" customWidth="1"/>
    <col min="15" max="15" width="12.140625" style="10" customWidth="1"/>
    <col min="16" max="16" width="14.28515625" style="10" customWidth="1"/>
    <col min="17" max="17" width="14.42578125" style="10" customWidth="1"/>
    <col min="18" max="18" width="17.85546875" style="10" customWidth="1"/>
    <col min="19" max="19" width="11.5703125" style="10" customWidth="1"/>
    <col min="20" max="20" width="20.42578125" style="10" customWidth="1"/>
    <col min="21" max="21" width="18.5703125" style="7" customWidth="1"/>
    <col min="22" max="22" width="16" style="10" customWidth="1"/>
    <col min="23" max="23" width="12.140625" style="10" customWidth="1"/>
    <col min="24" max="16384" width="8.7109375" style="10"/>
  </cols>
  <sheetData>
    <row r="1" spans="1:25" ht="26.1">
      <c r="A1" s="47" t="s">
        <v>99</v>
      </c>
      <c r="B1" s="35"/>
      <c r="C1" s="35"/>
      <c r="D1" s="36"/>
      <c r="E1" s="38"/>
      <c r="F1" s="10"/>
      <c r="T1" s="7"/>
      <c r="U1" s="10"/>
    </row>
    <row r="2" spans="1:25" ht="18.95" customHeight="1">
      <c r="A2" s="37" t="s">
        <v>249</v>
      </c>
      <c r="B2" s="35"/>
      <c r="C2" s="35"/>
      <c r="D2" s="36"/>
      <c r="E2" s="38"/>
      <c r="F2" s="10"/>
      <c r="T2" s="7"/>
      <c r="U2" s="10"/>
    </row>
    <row r="3" spans="1:25">
      <c r="D3" s="8"/>
      <c r="E3" s="9"/>
      <c r="F3" s="10"/>
      <c r="T3" s="7"/>
      <c r="U3" s="10"/>
    </row>
    <row r="4" spans="1:25">
      <c r="A4" s="43"/>
      <c r="B4" s="31"/>
      <c r="C4" s="31"/>
      <c r="D4" s="46" t="s">
        <v>227</v>
      </c>
      <c r="E4" s="38"/>
      <c r="F4" s="39"/>
      <c r="G4" s="39"/>
      <c r="H4" s="39"/>
      <c r="I4" s="39"/>
      <c r="J4" s="39"/>
      <c r="K4" s="39"/>
      <c r="L4" s="39"/>
      <c r="M4" s="39"/>
      <c r="N4" s="39"/>
      <c r="O4" s="39"/>
      <c r="P4" s="39"/>
      <c r="Q4" s="39"/>
      <c r="R4" s="39"/>
      <c r="S4" s="39"/>
      <c r="T4" s="31"/>
      <c r="U4" s="31"/>
      <c r="V4" s="31"/>
      <c r="W4" s="31"/>
      <c r="X4" s="31"/>
      <c r="Y4" s="31"/>
    </row>
    <row r="6" spans="1:25">
      <c r="D6" s="326" t="str" cm="1">
        <f t="array" aca="1" ref="D6" ca="1">HYPERLINK("#"&amp;CELL("address",Instructions),"Instructions")</f>
        <v>Instructions</v>
      </c>
    </row>
    <row r="7" spans="1:25">
      <c r="D7" s="326" t="str" cm="1">
        <f t="array" aca="1" ref="D7" ca="1">HYPERLINK("#"&amp;CELL("address",Gen_Input),"General Inputs")</f>
        <v>General Inputs</v>
      </c>
    </row>
    <row r="8" spans="1:25">
      <c r="D8" s="326"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5">
      <c r="D9" s="326" t="str" cm="1">
        <f t="array" aca="1" ref="D9" ca="1">HYPERLINK("#"&amp;CELL("address",Outputs),"Outputs")</f>
        <v>Outputs</v>
      </c>
    </row>
    <row r="10" spans="1:25">
      <c r="D10" s="326" t="str" cm="1">
        <f t="array" aca="1" ref="D10" ca="1">IF(MCC_Choice="No","",HYPERLINK("#"&amp;CELL("address",MCC_Outputs),"Marginal Capacity Costs Outputs"))</f>
        <v>Marginal Capacity Costs Outputs</v>
      </c>
    </row>
    <row r="12" spans="1:25">
      <c r="A12" s="43"/>
      <c r="B12" s="31"/>
      <c r="C12" s="31"/>
      <c r="D12" s="46" t="s">
        <v>222</v>
      </c>
      <c r="E12" s="38"/>
      <c r="F12" s="39"/>
      <c r="G12" s="39"/>
      <c r="H12" s="39"/>
      <c r="I12" s="39"/>
      <c r="J12" s="39"/>
      <c r="K12" s="39"/>
      <c r="L12" s="39"/>
      <c r="M12" s="39"/>
      <c r="N12" s="39"/>
      <c r="O12" s="39"/>
      <c r="P12" s="39"/>
      <c r="Q12" s="39"/>
      <c r="R12" s="39"/>
      <c r="S12" s="39"/>
      <c r="T12" s="31"/>
      <c r="U12" s="31"/>
      <c r="V12" s="31"/>
      <c r="W12" s="31"/>
      <c r="X12" s="31"/>
      <c r="Y12" s="31"/>
    </row>
    <row r="14" spans="1:25">
      <c r="D14" s="193" t="str">
        <f>IF(MCC_Choice="No", "Method not in use","")</f>
        <v/>
      </c>
      <c r="E14" s="314" t="s">
        <v>102</v>
      </c>
      <c r="F14" s="314" t="s">
        <v>104</v>
      </c>
      <c r="G14" s="314" t="s">
        <v>106</v>
      </c>
      <c r="H14" s="314" t="s">
        <v>108</v>
      </c>
      <c r="I14" s="314"/>
      <c r="J14" s="314" t="s">
        <v>110</v>
      </c>
      <c r="K14" s="314"/>
      <c r="L14" s="314" t="s">
        <v>112</v>
      </c>
      <c r="M14" s="314"/>
      <c r="N14" s="314" t="s">
        <v>114</v>
      </c>
      <c r="O14" s="314"/>
      <c r="P14" s="314" t="s">
        <v>116</v>
      </c>
      <c r="Q14" s="314"/>
      <c r="R14" s="314" t="s">
        <v>118</v>
      </c>
      <c r="S14" s="314"/>
      <c r="T14" s="314" t="s">
        <v>120</v>
      </c>
      <c r="U14" s="314" t="s">
        <v>122</v>
      </c>
    </row>
    <row r="16" spans="1:25" s="20" customFormat="1" ht="30.95">
      <c r="A16" s="19"/>
      <c r="D16" s="179" t="s">
        <v>250</v>
      </c>
      <c r="E16" s="180" t="s">
        <v>251</v>
      </c>
      <c r="F16" s="181" t="s">
        <v>252</v>
      </c>
      <c r="G16" s="180" t="s">
        <v>253</v>
      </c>
      <c r="H16" s="318" t="s">
        <v>254</v>
      </c>
      <c r="I16" s="183"/>
      <c r="J16" s="318" t="s">
        <v>255</v>
      </c>
      <c r="K16" s="183"/>
      <c r="L16" s="182" t="s">
        <v>256</v>
      </c>
      <c r="M16" s="183"/>
      <c r="N16" s="319" t="s">
        <v>257</v>
      </c>
      <c r="O16" s="183"/>
      <c r="P16" s="318" t="s">
        <v>258</v>
      </c>
      <c r="Q16" s="183"/>
      <c r="R16" s="318" t="s">
        <v>259</v>
      </c>
      <c r="S16" s="183"/>
      <c r="T16" s="180" t="s">
        <v>260</v>
      </c>
      <c r="U16" s="318" t="s">
        <v>261</v>
      </c>
      <c r="V16" s="183"/>
      <c r="W16" s="10"/>
    </row>
    <row r="17" spans="1:22">
      <c r="A17" s="12"/>
      <c r="D17" s="167">
        <v>1</v>
      </c>
      <c r="E17" s="316" t="s">
        <v>204</v>
      </c>
      <c r="F17" s="175"/>
      <c r="G17" s="175"/>
      <c r="H17" s="317" t="s">
        <v>200</v>
      </c>
      <c r="I17" s="84" t="str">
        <f>IF(H17="Default",'MCC - Calculations'!$G24,"")</f>
        <v/>
      </c>
      <c r="J17" s="317" t="s">
        <v>200</v>
      </c>
      <c r="K17" s="84" t="str">
        <f>IF(J17="Default",'MCC - Calculations'!$H24,"")</f>
        <v/>
      </c>
      <c r="L17" s="317" t="s">
        <v>200</v>
      </c>
      <c r="M17" s="84">
        <f>IF(L17="Default",SUMIFS('MCC - Calculations'!$H$13:$H$14,'MCC - Calculations'!$D$13:$D$14,'MCC - Calculations'!$E$19),"")</f>
        <v>0</v>
      </c>
      <c r="N17" s="317" t="s">
        <v>200</v>
      </c>
      <c r="O17" s="345">
        <f>IF(N17="Default",SUMIFS('MCC - Calculations'!$I$13:$I$14,'MCC - Calculations'!$D$13:$D$14,'MCC - Calculations'!$E$19),"")</f>
        <v>0</v>
      </c>
      <c r="P17" s="317" t="s">
        <v>200</v>
      </c>
      <c r="Q17" s="84">
        <f>IF(P17="Default",SUMIFS('MCC - Calculations'!$J$13:$J$14,'MCC - Calculations'!$D$13:$D$14,'MCC - Calculations'!$E$19),"")</f>
        <v>0</v>
      </c>
      <c r="R17" s="317" t="s">
        <v>200</v>
      </c>
      <c r="S17" s="84">
        <f>IF(R17="Default",SUMIFS('MCC - Calculations'!$K$13:$K$14,'MCC - Calculations'!$D$13:$D$14,'MCC - Calculations'!$E$19),"")</f>
        <v>0</v>
      </c>
      <c r="T17" s="346"/>
      <c r="U17" s="317" t="s">
        <v>200</v>
      </c>
      <c r="V17" s="84">
        <f>IF(U17="Default",SUMIFS('MCC - Calculations'!$L$13:$L$14,'MCC - Calculations'!$D$13:$D$14,'MCC - Calculations'!$E$19),"")</f>
        <v>0</v>
      </c>
    </row>
    <row r="18" spans="1:22">
      <c r="A18" s="12"/>
      <c r="D18" s="168"/>
      <c r="E18" s="176"/>
      <c r="F18" s="177"/>
      <c r="G18" s="177"/>
      <c r="H18" s="178" t="str">
        <f>IF(H17="Local", "Enter Value", "")</f>
        <v/>
      </c>
      <c r="I18" s="200"/>
      <c r="J18" s="178" t="str">
        <f>IF(J17="Local", "Enter Value", "")</f>
        <v/>
      </c>
      <c r="K18" s="200"/>
      <c r="L18" s="178" t="str">
        <f>IF(L17="Local", "Enter Value", "")</f>
        <v/>
      </c>
      <c r="M18" s="344"/>
      <c r="N18" s="178" t="str">
        <f>IF(N17="Local", "Enter Value", "")</f>
        <v/>
      </c>
      <c r="O18" s="344"/>
      <c r="P18" s="178" t="str">
        <f>IF(P17="Local", "Enter Value", "")</f>
        <v/>
      </c>
      <c r="Q18" s="200"/>
      <c r="R18" s="178" t="str">
        <f>IF(R17="Local", "Enter Value", "")</f>
        <v/>
      </c>
      <c r="S18" s="200"/>
      <c r="T18" s="168"/>
      <c r="U18" s="178" t="str">
        <f>IF(U17="Local", "Enter Value", "")</f>
        <v/>
      </c>
      <c r="V18" s="344"/>
    </row>
    <row r="19" spans="1:22">
      <c r="A19" s="12"/>
      <c r="D19" s="167">
        <v>2</v>
      </c>
      <c r="E19" s="316" t="s">
        <v>204</v>
      </c>
      <c r="F19" s="175"/>
      <c r="G19" s="175"/>
      <c r="H19" s="317" t="s">
        <v>200</v>
      </c>
      <c r="I19" s="84" t="str">
        <f>IF(H19="Default",'MCC - Calculations'!$G26,"")</f>
        <v/>
      </c>
      <c r="J19" s="317" t="s">
        <v>200</v>
      </c>
      <c r="K19" s="84" t="str">
        <f>IF(J19="Default",'MCC - Calculations'!$H26,"")</f>
        <v/>
      </c>
      <c r="L19" s="317" t="s">
        <v>200</v>
      </c>
      <c r="M19" s="84">
        <f>IF(L19="Default",SUMIFS('MCC - Calculations'!$H$13:$H$14,'MCC - Calculations'!$D$13:$D$14,'MCC - Calculations'!$E$19),"")</f>
        <v>0</v>
      </c>
      <c r="N19" s="317" t="s">
        <v>200</v>
      </c>
      <c r="O19" s="345">
        <f>IF(N19="Default",SUMIFS('MCC - Calculations'!$I$13:$I$14,'MCC - Calculations'!$D$13:$D$14,'MCC - Calculations'!$E$19),"")</f>
        <v>0</v>
      </c>
      <c r="P19" s="317" t="s">
        <v>200</v>
      </c>
      <c r="Q19" s="84">
        <f>IF(P19="Default",SUMIFS('MCC - Calculations'!$J$13:$J$14,'MCC - Calculations'!$D$13:$D$14,'MCC - Calculations'!$E$19),"")</f>
        <v>0</v>
      </c>
      <c r="R19" s="317" t="s">
        <v>200</v>
      </c>
      <c r="S19" s="84">
        <f>IF(R19="Default",SUMIFS('MCC - Calculations'!$K$13:$K$14,'MCC - Calculations'!$D$13:$D$14,'MCC - Calculations'!$E$19),"")</f>
        <v>0</v>
      </c>
      <c r="T19" s="346"/>
      <c r="U19" s="317" t="s">
        <v>200</v>
      </c>
      <c r="V19" s="84">
        <f>IF(U19="Default",SUMIFS('MCC - Calculations'!$L$13:$L$14,'MCC - Calculations'!$D$13:$D$14,'MCC - Calculations'!$E$19),"")</f>
        <v>0</v>
      </c>
    </row>
    <row r="20" spans="1:22">
      <c r="A20" s="12"/>
      <c r="D20" s="168"/>
      <c r="E20" s="176"/>
      <c r="F20" s="177"/>
      <c r="G20" s="177"/>
      <c r="H20" s="178" t="str">
        <f t="shared" ref="H20" si="0">IF(H19="Local", "Enter Value", "")</f>
        <v/>
      </c>
      <c r="I20" s="200"/>
      <c r="J20" s="178" t="str">
        <f t="shared" ref="J20" si="1">IF(J19="Local", "Enter Value", "")</f>
        <v/>
      </c>
      <c r="K20" s="200"/>
      <c r="L20" s="178" t="str">
        <f t="shared" ref="L20" si="2">IF(L19="Local", "Enter Value", "")</f>
        <v/>
      </c>
      <c r="M20" s="344"/>
      <c r="N20" s="178" t="str">
        <f t="shared" ref="N20" si="3">IF(N19="Local", "Enter Value", "")</f>
        <v/>
      </c>
      <c r="O20" s="344"/>
      <c r="P20" s="178" t="str">
        <f t="shared" ref="P20" si="4">IF(P19="Local", "Enter Value", "")</f>
        <v/>
      </c>
      <c r="Q20" s="200"/>
      <c r="R20" s="178" t="str">
        <f t="shared" ref="R20" si="5">IF(R19="Local", "Enter Value", "")</f>
        <v/>
      </c>
      <c r="S20" s="200"/>
      <c r="T20" s="168"/>
      <c r="U20" s="178" t="str">
        <f t="shared" ref="U20" si="6">IF(U19="Local", "Enter Value", "")</f>
        <v/>
      </c>
      <c r="V20" s="344"/>
    </row>
    <row r="21" spans="1:22">
      <c r="A21" s="12"/>
      <c r="D21" s="167">
        <v>3</v>
      </c>
      <c r="E21" s="316" t="s">
        <v>204</v>
      </c>
      <c r="F21" s="175"/>
      <c r="G21" s="175"/>
      <c r="H21" s="317" t="s">
        <v>200</v>
      </c>
      <c r="I21" s="84" t="str">
        <f>IF(H21="Default",'MCC - Calculations'!$G28,"")</f>
        <v/>
      </c>
      <c r="J21" s="317" t="s">
        <v>200</v>
      </c>
      <c r="K21" s="84" t="str">
        <f>IF(J21="Default",'MCC - Calculations'!$H28,"")</f>
        <v/>
      </c>
      <c r="L21" s="317" t="s">
        <v>200</v>
      </c>
      <c r="M21" s="84">
        <f>IF(L21="Default",SUMIFS('MCC - Calculations'!$H$13:$H$14,'MCC - Calculations'!$D$13:$D$14,'MCC - Calculations'!$E$19),"")</f>
        <v>0</v>
      </c>
      <c r="N21" s="317" t="s">
        <v>200</v>
      </c>
      <c r="O21" s="345">
        <f>IF(N21="Default",SUMIFS('MCC - Calculations'!$I$13:$I$14,'MCC - Calculations'!$D$13:$D$14,'MCC - Calculations'!$E$19),"")</f>
        <v>0</v>
      </c>
      <c r="P21" s="317" t="s">
        <v>200</v>
      </c>
      <c r="Q21" s="84">
        <f>IF(P21="Default",SUMIFS('MCC - Calculations'!$J$13:$J$14,'MCC - Calculations'!$D$13:$D$14,'MCC - Calculations'!$E$19),"")</f>
        <v>0</v>
      </c>
      <c r="R21" s="317" t="s">
        <v>200</v>
      </c>
      <c r="S21" s="84">
        <f>IF(R21="Default",SUMIFS('MCC - Calculations'!$K$13:$K$14,'MCC - Calculations'!$D$13:$D$14,'MCC - Calculations'!$E$19),"")</f>
        <v>0</v>
      </c>
      <c r="T21" s="346"/>
      <c r="U21" s="317" t="s">
        <v>200</v>
      </c>
      <c r="V21" s="84">
        <f>IF(U21="Default",SUMIFS('MCC - Calculations'!$L$13:$L$14,'MCC - Calculations'!$D$13:$D$14,'MCC - Calculations'!$E$19),"")</f>
        <v>0</v>
      </c>
    </row>
    <row r="22" spans="1:22">
      <c r="A22" s="12"/>
      <c r="D22" s="168"/>
      <c r="E22" s="176"/>
      <c r="F22" s="177"/>
      <c r="G22" s="177"/>
      <c r="H22" s="178" t="str">
        <f t="shared" ref="H22" si="7">IF(H21="Local", "Enter Value", "")</f>
        <v/>
      </c>
      <c r="I22" s="200"/>
      <c r="J22" s="178" t="str">
        <f t="shared" ref="J22" si="8">IF(J21="Local", "Enter Value", "")</f>
        <v/>
      </c>
      <c r="K22" s="200"/>
      <c r="L22" s="178" t="str">
        <f t="shared" ref="L22" si="9">IF(L21="Local", "Enter Value", "")</f>
        <v/>
      </c>
      <c r="M22" s="344"/>
      <c r="N22" s="178" t="str">
        <f t="shared" ref="N22" si="10">IF(N21="Local", "Enter Value", "")</f>
        <v/>
      </c>
      <c r="O22" s="344"/>
      <c r="P22" s="178" t="str">
        <f t="shared" ref="P22" si="11">IF(P21="Local", "Enter Value", "")</f>
        <v/>
      </c>
      <c r="Q22" s="200"/>
      <c r="R22" s="178" t="str">
        <f t="shared" ref="R22" si="12">IF(R21="Local", "Enter Value", "")</f>
        <v/>
      </c>
      <c r="S22" s="200"/>
      <c r="T22" s="168"/>
      <c r="U22" s="178" t="str">
        <f t="shared" ref="U22" si="13">IF(U21="Local", "Enter Value", "")</f>
        <v/>
      </c>
      <c r="V22" s="344"/>
    </row>
    <row r="23" spans="1:22">
      <c r="A23" s="12"/>
      <c r="D23" s="167">
        <v>4</v>
      </c>
      <c r="E23" s="316" t="s">
        <v>204</v>
      </c>
      <c r="F23" s="175"/>
      <c r="G23" s="175"/>
      <c r="H23" s="317" t="s">
        <v>200</v>
      </c>
      <c r="I23" s="84" t="str">
        <f>IF(H23="Default",'MCC - Calculations'!$G30,"")</f>
        <v/>
      </c>
      <c r="J23" s="317" t="s">
        <v>200</v>
      </c>
      <c r="K23" s="84" t="str">
        <f>IF(J23="Default",'MCC - Calculations'!$H30,"")</f>
        <v/>
      </c>
      <c r="L23" s="317" t="s">
        <v>200</v>
      </c>
      <c r="M23" s="84">
        <f>IF(L23="Default",SUMIFS('MCC - Calculations'!$H$13:$H$14,'MCC - Calculations'!$D$13:$D$14,'MCC - Calculations'!$E$19),"")</f>
        <v>0</v>
      </c>
      <c r="N23" s="317" t="s">
        <v>200</v>
      </c>
      <c r="O23" s="345">
        <f>IF(N23="Default",SUMIFS('MCC - Calculations'!$I$13:$I$14,'MCC - Calculations'!$D$13:$D$14,'MCC - Calculations'!$E$19),"")</f>
        <v>0</v>
      </c>
      <c r="P23" s="317" t="s">
        <v>200</v>
      </c>
      <c r="Q23" s="84">
        <f>IF(P23="Default",SUMIFS('MCC - Calculations'!$J$13:$J$14,'MCC - Calculations'!$D$13:$D$14,'MCC - Calculations'!$E$19),"")</f>
        <v>0</v>
      </c>
      <c r="R23" s="317" t="s">
        <v>200</v>
      </c>
      <c r="S23" s="84">
        <f>IF(R23="Default",SUMIFS('MCC - Calculations'!$K$13:$K$14,'MCC - Calculations'!$D$13:$D$14,'MCC - Calculations'!$E$19),"")</f>
        <v>0</v>
      </c>
      <c r="T23" s="346"/>
      <c r="U23" s="317" t="s">
        <v>200</v>
      </c>
      <c r="V23" s="84">
        <f>IF(U23="Default",SUMIFS('MCC - Calculations'!$L$13:$L$14,'MCC - Calculations'!$D$13:$D$14,'MCC - Calculations'!$E$19),"")</f>
        <v>0</v>
      </c>
    </row>
    <row r="24" spans="1:22">
      <c r="A24" s="12"/>
      <c r="D24" s="168"/>
      <c r="E24" s="176"/>
      <c r="F24" s="177"/>
      <c r="G24" s="177"/>
      <c r="H24" s="178" t="str">
        <f t="shared" ref="H24" si="14">IF(H23="Local", "Enter Value", "")</f>
        <v/>
      </c>
      <c r="I24" s="200"/>
      <c r="J24" s="178" t="str">
        <f t="shared" ref="J24" si="15">IF(J23="Local", "Enter Value", "")</f>
        <v/>
      </c>
      <c r="K24" s="200"/>
      <c r="L24" s="178" t="str">
        <f t="shared" ref="L24" si="16">IF(L23="Local", "Enter Value", "")</f>
        <v/>
      </c>
      <c r="M24" s="344"/>
      <c r="N24" s="178" t="str">
        <f t="shared" ref="N24" si="17">IF(N23="Local", "Enter Value", "")</f>
        <v/>
      </c>
      <c r="O24" s="344"/>
      <c r="P24" s="178" t="str">
        <f t="shared" ref="P24" si="18">IF(P23="Local", "Enter Value", "")</f>
        <v/>
      </c>
      <c r="Q24" s="200"/>
      <c r="R24" s="178" t="str">
        <f t="shared" ref="R24" si="19">IF(R23="Local", "Enter Value", "")</f>
        <v/>
      </c>
      <c r="S24" s="200"/>
      <c r="T24" s="168"/>
      <c r="U24" s="178" t="str">
        <f t="shared" ref="U24" si="20">IF(U23="Local", "Enter Value", "")</f>
        <v/>
      </c>
      <c r="V24" s="344"/>
    </row>
    <row r="25" spans="1:22">
      <c r="A25" s="12"/>
      <c r="D25" s="167">
        <v>5</v>
      </c>
      <c r="E25" s="316" t="s">
        <v>204</v>
      </c>
      <c r="F25" s="175"/>
      <c r="G25" s="175"/>
      <c r="H25" s="317" t="s">
        <v>200</v>
      </c>
      <c r="I25" s="84" t="str">
        <f>IF(H25="Default",'MCC - Calculations'!$G32,"")</f>
        <v/>
      </c>
      <c r="J25" s="317" t="s">
        <v>200</v>
      </c>
      <c r="K25" s="84" t="str">
        <f>IF(J25="Default",'MCC - Calculations'!$H32,"")</f>
        <v/>
      </c>
      <c r="L25" s="317" t="s">
        <v>200</v>
      </c>
      <c r="M25" s="84">
        <f>IF(L25="Default",SUMIFS('MCC - Calculations'!$H$13:$H$14,'MCC - Calculations'!$D$13:$D$14,'MCC - Calculations'!$E$19),"")</f>
        <v>0</v>
      </c>
      <c r="N25" s="317" t="s">
        <v>200</v>
      </c>
      <c r="O25" s="345">
        <f>IF(N25="Default",SUMIFS('MCC - Calculations'!$I$13:$I$14,'MCC - Calculations'!$D$13:$D$14,'MCC - Calculations'!$E$19),"")</f>
        <v>0</v>
      </c>
      <c r="P25" s="317" t="s">
        <v>200</v>
      </c>
      <c r="Q25" s="84">
        <f>IF(P25="Default",SUMIFS('MCC - Calculations'!$J$13:$J$14,'MCC - Calculations'!$D$13:$D$14,'MCC - Calculations'!$E$19),"")</f>
        <v>0</v>
      </c>
      <c r="R25" s="317" t="s">
        <v>200</v>
      </c>
      <c r="S25" s="84">
        <f>IF(R25="Default",SUMIFS('MCC - Calculations'!$K$13:$K$14,'MCC - Calculations'!$D$13:$D$14,'MCC - Calculations'!$E$19),"")</f>
        <v>0</v>
      </c>
      <c r="T25" s="346"/>
      <c r="U25" s="317" t="s">
        <v>200</v>
      </c>
      <c r="V25" s="84">
        <f>IF(U25="Default",SUMIFS('MCC - Calculations'!$L$13:$L$14,'MCC - Calculations'!$D$13:$D$14,'MCC - Calculations'!$E$19),"")</f>
        <v>0</v>
      </c>
    </row>
    <row r="26" spans="1:22">
      <c r="A26" s="12"/>
      <c r="D26" s="168"/>
      <c r="E26" s="176"/>
      <c r="F26" s="177"/>
      <c r="G26" s="177"/>
      <c r="H26" s="178" t="str">
        <f t="shared" ref="H26" si="21">IF(H25="Local", "Enter Value", "")</f>
        <v/>
      </c>
      <c r="I26" s="200"/>
      <c r="J26" s="178" t="str">
        <f t="shared" ref="J26" si="22">IF(J25="Local", "Enter Value", "")</f>
        <v/>
      </c>
      <c r="K26" s="200"/>
      <c r="L26" s="178" t="str">
        <f t="shared" ref="L26" si="23">IF(L25="Local", "Enter Value", "")</f>
        <v/>
      </c>
      <c r="M26" s="344"/>
      <c r="N26" s="178" t="str">
        <f t="shared" ref="N26" si="24">IF(N25="Local", "Enter Value", "")</f>
        <v/>
      </c>
      <c r="O26" s="344"/>
      <c r="P26" s="178" t="str">
        <f t="shared" ref="P26" si="25">IF(P25="Local", "Enter Value", "")</f>
        <v/>
      </c>
      <c r="Q26" s="200"/>
      <c r="R26" s="178" t="str">
        <f t="shared" ref="R26" si="26">IF(R25="Local", "Enter Value", "")</f>
        <v/>
      </c>
      <c r="S26" s="200"/>
      <c r="T26" s="168"/>
      <c r="U26" s="178" t="str">
        <f t="shared" ref="U26" si="27">IF(U25="Local", "Enter Value", "")</f>
        <v/>
      </c>
      <c r="V26" s="344"/>
    </row>
    <row r="27" spans="1:22">
      <c r="A27" s="12"/>
      <c r="D27" s="167">
        <v>6</v>
      </c>
      <c r="E27" s="316" t="s">
        <v>204</v>
      </c>
      <c r="F27" s="175"/>
      <c r="G27" s="175"/>
      <c r="H27" s="317" t="s">
        <v>200</v>
      </c>
      <c r="I27" s="84" t="str">
        <f>IF(H27="Default",'MCC - Calculations'!$G34,"")</f>
        <v/>
      </c>
      <c r="J27" s="317" t="s">
        <v>200</v>
      </c>
      <c r="K27" s="84" t="str">
        <f>IF(J27="Default",'MCC - Calculations'!$H34,"")</f>
        <v/>
      </c>
      <c r="L27" s="317" t="s">
        <v>200</v>
      </c>
      <c r="M27" s="84">
        <f>IF(L27="Default",SUMIFS('MCC - Calculations'!$H$13:$H$14,'MCC - Calculations'!$D$13:$D$14,'MCC - Calculations'!$E$19),"")</f>
        <v>0</v>
      </c>
      <c r="N27" s="317" t="s">
        <v>200</v>
      </c>
      <c r="O27" s="345">
        <f>IF(N27="Default",SUMIFS('MCC - Calculations'!$I$13:$I$14,'MCC - Calculations'!$D$13:$D$14,'MCC - Calculations'!$E$19),"")</f>
        <v>0</v>
      </c>
      <c r="P27" s="317" t="s">
        <v>200</v>
      </c>
      <c r="Q27" s="84">
        <f>IF(P27="Default",SUMIFS('MCC - Calculations'!$J$13:$J$14,'MCC - Calculations'!$D$13:$D$14,'MCC - Calculations'!$E$19),"")</f>
        <v>0</v>
      </c>
      <c r="R27" s="317" t="s">
        <v>200</v>
      </c>
      <c r="S27" s="84">
        <f>IF(R27="Default",SUMIFS('MCC - Calculations'!$K$13:$K$14,'MCC - Calculations'!$D$13:$D$14,'MCC - Calculations'!$E$19),"")</f>
        <v>0</v>
      </c>
      <c r="T27" s="346"/>
      <c r="U27" s="317" t="s">
        <v>200</v>
      </c>
      <c r="V27" s="84">
        <f>IF(U27="Default",SUMIFS('MCC - Calculations'!$L$13:$L$14,'MCC - Calculations'!$D$13:$D$14,'MCC - Calculations'!$E$19),"")</f>
        <v>0</v>
      </c>
    </row>
    <row r="28" spans="1:22">
      <c r="A28" s="12"/>
      <c r="D28" s="168"/>
      <c r="E28" s="176"/>
      <c r="F28" s="177"/>
      <c r="G28" s="177"/>
      <c r="H28" s="178" t="str">
        <f t="shared" ref="H28" si="28">IF(H27="Local", "Enter Value", "")</f>
        <v/>
      </c>
      <c r="I28" s="200"/>
      <c r="J28" s="178" t="str">
        <f t="shared" ref="J28" si="29">IF(J27="Local", "Enter Value", "")</f>
        <v/>
      </c>
      <c r="K28" s="200"/>
      <c r="L28" s="178" t="str">
        <f t="shared" ref="L28" si="30">IF(L27="Local", "Enter Value", "")</f>
        <v/>
      </c>
      <c r="M28" s="344"/>
      <c r="N28" s="178" t="str">
        <f t="shared" ref="N28" si="31">IF(N27="Local", "Enter Value", "")</f>
        <v/>
      </c>
      <c r="O28" s="344"/>
      <c r="P28" s="178" t="str">
        <f t="shared" ref="P28" si="32">IF(P27="Local", "Enter Value", "")</f>
        <v/>
      </c>
      <c r="Q28" s="200"/>
      <c r="R28" s="178" t="str">
        <f t="shared" ref="R28" si="33">IF(R27="Local", "Enter Value", "")</f>
        <v/>
      </c>
      <c r="S28" s="200"/>
      <c r="T28" s="168"/>
      <c r="U28" s="178" t="str">
        <f t="shared" ref="U28" si="34">IF(U27="Local", "Enter Value", "")</f>
        <v/>
      </c>
      <c r="V28" s="344"/>
    </row>
    <row r="29" spans="1:22">
      <c r="A29" s="12"/>
      <c r="D29" s="167">
        <v>7</v>
      </c>
      <c r="E29" s="316" t="s">
        <v>204</v>
      </c>
      <c r="F29" s="175"/>
      <c r="G29" s="175"/>
      <c r="H29" s="317" t="s">
        <v>200</v>
      </c>
      <c r="I29" s="84" t="str">
        <f>IF(H29="Default",'MCC - Calculations'!$G36,"")</f>
        <v/>
      </c>
      <c r="J29" s="317" t="s">
        <v>200</v>
      </c>
      <c r="K29" s="84" t="str">
        <f>IF(J29="Default",'MCC - Calculations'!$H36,"")</f>
        <v/>
      </c>
      <c r="L29" s="317" t="s">
        <v>200</v>
      </c>
      <c r="M29" s="84">
        <f>IF(L29="Default",SUMIFS('MCC - Calculations'!$H$13:$H$14,'MCC - Calculations'!$D$13:$D$14,'MCC - Calculations'!$E$19),"")</f>
        <v>0</v>
      </c>
      <c r="N29" s="317" t="s">
        <v>200</v>
      </c>
      <c r="O29" s="345">
        <f>IF(N29="Default",SUMIFS('MCC - Calculations'!$I$13:$I$14,'MCC - Calculations'!$D$13:$D$14,'MCC - Calculations'!$E$19),"")</f>
        <v>0</v>
      </c>
      <c r="P29" s="317" t="s">
        <v>200</v>
      </c>
      <c r="Q29" s="84">
        <f>IF(P29="Default",SUMIFS('MCC - Calculations'!$J$13:$J$14,'MCC - Calculations'!$D$13:$D$14,'MCC - Calculations'!$E$19),"")</f>
        <v>0</v>
      </c>
      <c r="R29" s="317" t="s">
        <v>200</v>
      </c>
      <c r="S29" s="84">
        <f>IF(R29="Default",SUMIFS('MCC - Calculations'!$K$13:$K$14,'MCC - Calculations'!$D$13:$D$14,'MCC - Calculations'!$E$19),"")</f>
        <v>0</v>
      </c>
      <c r="T29" s="346"/>
      <c r="U29" s="317" t="s">
        <v>200</v>
      </c>
      <c r="V29" s="84">
        <f>IF(U29="Default",SUMIFS('MCC - Calculations'!$L$13:$L$14,'MCC - Calculations'!$D$13:$D$14,'MCC - Calculations'!$E$19),"")</f>
        <v>0</v>
      </c>
    </row>
    <row r="30" spans="1:22">
      <c r="A30" s="12"/>
      <c r="D30" s="168"/>
      <c r="E30" s="176"/>
      <c r="F30" s="177"/>
      <c r="G30" s="177"/>
      <c r="H30" s="178" t="str">
        <f t="shared" ref="H30" si="35">IF(H29="Local", "Enter Value", "")</f>
        <v/>
      </c>
      <c r="I30" s="200"/>
      <c r="J30" s="178" t="str">
        <f t="shared" ref="J30" si="36">IF(J29="Local", "Enter Value", "")</f>
        <v/>
      </c>
      <c r="K30" s="200"/>
      <c r="L30" s="178" t="str">
        <f t="shared" ref="L30" si="37">IF(L29="Local", "Enter Value", "")</f>
        <v/>
      </c>
      <c r="M30" s="344"/>
      <c r="N30" s="178" t="str">
        <f t="shared" ref="N30" si="38">IF(N29="Local", "Enter Value", "")</f>
        <v/>
      </c>
      <c r="O30" s="344"/>
      <c r="P30" s="178" t="str">
        <f t="shared" ref="P30" si="39">IF(P29="Local", "Enter Value", "")</f>
        <v/>
      </c>
      <c r="Q30" s="200"/>
      <c r="R30" s="178" t="str">
        <f t="shared" ref="R30" si="40">IF(R29="Local", "Enter Value", "")</f>
        <v/>
      </c>
      <c r="S30" s="200"/>
      <c r="T30" s="168"/>
      <c r="U30" s="178" t="str">
        <f t="shared" ref="U30" si="41">IF(U29="Local", "Enter Value", "")</f>
        <v/>
      </c>
      <c r="V30" s="344"/>
    </row>
    <row r="31" spans="1:22">
      <c r="A31" s="12"/>
      <c r="D31" s="167">
        <v>8</v>
      </c>
      <c r="E31" s="316" t="s">
        <v>204</v>
      </c>
      <c r="F31" s="175"/>
      <c r="G31" s="175">
        <v>0</v>
      </c>
      <c r="H31" s="317" t="s">
        <v>200</v>
      </c>
      <c r="I31" s="84" t="str">
        <f>IF(H31="Default",'MCC - Calculations'!$G38,"")</f>
        <v/>
      </c>
      <c r="J31" s="317" t="s">
        <v>200</v>
      </c>
      <c r="K31" s="84" t="str">
        <f>IF(J31="Default",'MCC - Calculations'!$H38,"")</f>
        <v/>
      </c>
      <c r="L31" s="317" t="s">
        <v>200</v>
      </c>
      <c r="M31" s="84">
        <f>IF(L31="Default",SUMIFS('MCC - Calculations'!$H$13:$H$14,'MCC - Calculations'!$D$13:$D$14,'MCC - Calculations'!$E$19),"")</f>
        <v>0</v>
      </c>
      <c r="N31" s="317" t="s">
        <v>200</v>
      </c>
      <c r="O31" s="345">
        <f>IF(N31="Default",SUMIFS('MCC - Calculations'!$I$13:$I$14,'MCC - Calculations'!$D$13:$D$14,'MCC - Calculations'!$E$19),"")</f>
        <v>0</v>
      </c>
      <c r="P31" s="317" t="s">
        <v>200</v>
      </c>
      <c r="Q31" s="84">
        <f>IF(P31="Default",SUMIFS('MCC - Calculations'!$J$13:$J$14,'MCC - Calculations'!$D$13:$D$14,'MCC - Calculations'!$E$19),"")</f>
        <v>0</v>
      </c>
      <c r="R31" s="317" t="s">
        <v>200</v>
      </c>
      <c r="S31" s="84">
        <f>IF(R31="Default",SUMIFS('MCC - Calculations'!$K$13:$K$14,'MCC - Calculations'!$D$13:$D$14,'MCC - Calculations'!$E$19),"")</f>
        <v>0</v>
      </c>
      <c r="T31" s="346">
        <v>0</v>
      </c>
      <c r="U31" s="317" t="s">
        <v>200</v>
      </c>
      <c r="V31" s="84">
        <f>IF(U31="Default",SUMIFS('MCC - Calculations'!$L$13:$L$14,'MCC - Calculations'!$D$13:$D$14,'MCC - Calculations'!$E$19),"")</f>
        <v>0</v>
      </c>
    </row>
    <row r="32" spans="1:22">
      <c r="A32" s="12"/>
      <c r="D32" s="168"/>
      <c r="E32" s="176"/>
      <c r="F32" s="177"/>
      <c r="G32" s="177"/>
      <c r="H32" s="178" t="str">
        <f t="shared" ref="H32" si="42">IF(H31="Local", "Enter Value", "")</f>
        <v/>
      </c>
      <c r="I32" s="200"/>
      <c r="J32" s="178" t="str">
        <f t="shared" ref="J32" si="43">IF(J31="Local", "Enter Value", "")</f>
        <v/>
      </c>
      <c r="K32" s="200"/>
      <c r="L32" s="178" t="str">
        <f t="shared" ref="L32" si="44">IF(L31="Local", "Enter Value", "")</f>
        <v/>
      </c>
      <c r="M32" s="344"/>
      <c r="N32" s="178" t="str">
        <f t="shared" ref="N32" si="45">IF(N31="Local", "Enter Value", "")</f>
        <v/>
      </c>
      <c r="O32" s="344"/>
      <c r="P32" s="178" t="str">
        <f t="shared" ref="P32" si="46">IF(P31="Local", "Enter Value", "")</f>
        <v/>
      </c>
      <c r="Q32" s="200"/>
      <c r="R32" s="178" t="str">
        <f t="shared" ref="R32" si="47">IF(R31="Local", "Enter Value", "")</f>
        <v/>
      </c>
      <c r="S32" s="200"/>
      <c r="T32" s="168"/>
      <c r="U32" s="178" t="str">
        <f t="shared" ref="U32" si="48">IF(U31="Local", "Enter Value", "")</f>
        <v/>
      </c>
      <c r="V32" s="344"/>
    </row>
    <row r="33" spans="1:22">
      <c r="A33" s="12"/>
      <c r="D33" s="167">
        <v>9</v>
      </c>
      <c r="E33" s="316" t="s">
        <v>204</v>
      </c>
      <c r="F33" s="175"/>
      <c r="G33" s="175"/>
      <c r="H33" s="317" t="s">
        <v>200</v>
      </c>
      <c r="I33" s="84" t="str">
        <f>IF(H33="Default",'MCC - Calculations'!$G40,"")</f>
        <v/>
      </c>
      <c r="J33" s="317" t="s">
        <v>200</v>
      </c>
      <c r="K33" s="84" t="str">
        <f>IF(J33="Default",'MCC - Calculations'!$H40,"")</f>
        <v/>
      </c>
      <c r="L33" s="317" t="s">
        <v>200</v>
      </c>
      <c r="M33" s="84">
        <f>IF(L33="Default",SUMIFS('MCC - Calculations'!$H$13:$H$14,'MCC - Calculations'!$D$13:$D$14,'MCC - Calculations'!$E$19),"")</f>
        <v>0</v>
      </c>
      <c r="N33" s="317" t="s">
        <v>200</v>
      </c>
      <c r="O33" s="345">
        <f>IF(N33="Default",SUMIFS('MCC - Calculations'!$I$13:$I$14,'MCC - Calculations'!$D$13:$D$14,'MCC - Calculations'!$E$19),"")</f>
        <v>0</v>
      </c>
      <c r="P33" s="317" t="s">
        <v>200</v>
      </c>
      <c r="Q33" s="84">
        <f>IF(P33="Default",SUMIFS('MCC - Calculations'!$J$13:$J$14,'MCC - Calculations'!$D$13:$D$14,'MCC - Calculations'!$E$19),"")</f>
        <v>0</v>
      </c>
      <c r="R33" s="317" t="s">
        <v>200</v>
      </c>
      <c r="S33" s="84">
        <f>IF(R33="Default",SUMIFS('MCC - Calculations'!$K$13:$K$14,'MCC - Calculations'!$D$13:$D$14,'MCC - Calculations'!$E$19),"")</f>
        <v>0</v>
      </c>
      <c r="T33" s="346"/>
      <c r="U33" s="317" t="s">
        <v>200</v>
      </c>
      <c r="V33" s="84">
        <f>IF(U33="Default",SUMIFS('MCC - Calculations'!$L$13:$L$14,'MCC - Calculations'!$D$13:$D$14,'MCC - Calculations'!$E$19),"")</f>
        <v>0</v>
      </c>
    </row>
    <row r="34" spans="1:22">
      <c r="A34" s="12"/>
      <c r="D34" s="168"/>
      <c r="E34" s="176"/>
      <c r="F34" s="177"/>
      <c r="G34" s="177"/>
      <c r="H34" s="178" t="str">
        <f t="shared" ref="H34" si="49">IF(H33="Local", "Enter Value", "")</f>
        <v/>
      </c>
      <c r="I34" s="200"/>
      <c r="J34" s="178" t="str">
        <f t="shared" ref="J34" si="50">IF(J33="Local", "Enter Value", "")</f>
        <v/>
      </c>
      <c r="K34" s="200"/>
      <c r="L34" s="178" t="str">
        <f t="shared" ref="L34" si="51">IF(L33="Local", "Enter Value", "")</f>
        <v/>
      </c>
      <c r="M34" s="344"/>
      <c r="N34" s="178" t="str">
        <f t="shared" ref="N34" si="52">IF(N33="Local", "Enter Value", "")</f>
        <v/>
      </c>
      <c r="O34" s="344"/>
      <c r="P34" s="178" t="str">
        <f t="shared" ref="P34" si="53">IF(P33="Local", "Enter Value", "")</f>
        <v/>
      </c>
      <c r="Q34" s="200"/>
      <c r="R34" s="178" t="str">
        <f t="shared" ref="R34" si="54">IF(R33="Local", "Enter Value", "")</f>
        <v/>
      </c>
      <c r="S34" s="200"/>
      <c r="T34" s="168"/>
      <c r="U34" s="178" t="str">
        <f t="shared" ref="U34" si="55">IF(U33="Local", "Enter Value", "")</f>
        <v/>
      </c>
      <c r="V34" s="344"/>
    </row>
    <row r="35" spans="1:22">
      <c r="A35" s="12"/>
      <c r="D35" s="167">
        <v>10</v>
      </c>
      <c r="E35" s="316" t="s">
        <v>204</v>
      </c>
      <c r="F35" s="175"/>
      <c r="G35" s="175"/>
      <c r="H35" s="317" t="s">
        <v>200</v>
      </c>
      <c r="I35" s="84" t="str">
        <f>IF(H35="Default",'MCC - Calculations'!$G42,"")</f>
        <v/>
      </c>
      <c r="J35" s="317" t="s">
        <v>200</v>
      </c>
      <c r="K35" s="84" t="str">
        <f>IF(J35="Default",'MCC - Calculations'!$H42,"")</f>
        <v/>
      </c>
      <c r="L35" s="317" t="s">
        <v>200</v>
      </c>
      <c r="M35" s="84">
        <f>IF(L35="Default",SUMIFS('MCC - Calculations'!$H$13:$H$14,'MCC - Calculations'!$D$13:$D$14,'MCC - Calculations'!$E$19),"")</f>
        <v>0</v>
      </c>
      <c r="N35" s="317" t="s">
        <v>200</v>
      </c>
      <c r="O35" s="345">
        <f>IF(N35="Default",SUMIFS('MCC - Calculations'!$I$13:$I$14,'MCC - Calculations'!$D$13:$D$14,'MCC - Calculations'!$E$19),"")</f>
        <v>0</v>
      </c>
      <c r="P35" s="317" t="s">
        <v>200</v>
      </c>
      <c r="Q35" s="84">
        <f>IF(P35="Default",SUMIFS('MCC - Calculations'!$J$13:$J$14,'MCC - Calculations'!$D$13:$D$14,'MCC - Calculations'!$E$19),"")</f>
        <v>0</v>
      </c>
      <c r="R35" s="317" t="s">
        <v>200</v>
      </c>
      <c r="S35" s="84">
        <f>IF(R35="Default",SUMIFS('MCC - Calculations'!$K$13:$K$14,'MCC - Calculations'!$D$13:$D$14,'MCC - Calculations'!$E$19),"")</f>
        <v>0</v>
      </c>
      <c r="T35" s="346"/>
      <c r="U35" s="317" t="s">
        <v>200</v>
      </c>
      <c r="V35" s="84">
        <f>IF(U35="Default",SUMIFS('MCC - Calculations'!$L$13:$L$14,'MCC - Calculations'!$D$13:$D$14,'MCC - Calculations'!$E$19),"")</f>
        <v>0</v>
      </c>
    </row>
    <row r="36" spans="1:22">
      <c r="A36" s="12"/>
      <c r="D36" s="168"/>
      <c r="E36" s="176"/>
      <c r="F36" s="177"/>
      <c r="G36" s="177"/>
      <c r="H36" s="178" t="str">
        <f t="shared" ref="H36" si="56">IF(H35="Local", "Enter Value", "")</f>
        <v/>
      </c>
      <c r="I36" s="200"/>
      <c r="J36" s="178" t="str">
        <f t="shared" ref="J36" si="57">IF(J35="Local", "Enter Value", "")</f>
        <v/>
      </c>
      <c r="K36" s="200"/>
      <c r="L36" s="178" t="str">
        <f t="shared" ref="L36" si="58">IF(L35="Local", "Enter Value", "")</f>
        <v/>
      </c>
      <c r="M36" s="344"/>
      <c r="N36" s="178" t="str">
        <f t="shared" ref="N36" si="59">IF(N35="Local", "Enter Value", "")</f>
        <v/>
      </c>
      <c r="O36" s="344"/>
      <c r="P36" s="178" t="str">
        <f t="shared" ref="P36" si="60">IF(P35="Local", "Enter Value", "")</f>
        <v/>
      </c>
      <c r="Q36" s="200"/>
      <c r="R36" s="178" t="str">
        <f t="shared" ref="R36" si="61">IF(R35="Local", "Enter Value", "")</f>
        <v/>
      </c>
      <c r="S36" s="200"/>
      <c r="T36" s="168"/>
      <c r="U36" s="178" t="str">
        <f t="shared" ref="U36" si="62">IF(U35="Local", "Enter Value", "")</f>
        <v/>
      </c>
      <c r="V36" s="344"/>
    </row>
    <row r="37" spans="1:22">
      <c r="A37" s="12"/>
      <c r="D37" s="167">
        <v>11</v>
      </c>
      <c r="E37" s="316" t="s">
        <v>204</v>
      </c>
      <c r="F37" s="175"/>
      <c r="G37" s="175"/>
      <c r="H37" s="317" t="s">
        <v>200</v>
      </c>
      <c r="I37" s="84" t="str">
        <f>IF(H37="Default",'MCC - Calculations'!$G44,"")</f>
        <v/>
      </c>
      <c r="J37" s="317" t="s">
        <v>200</v>
      </c>
      <c r="K37" s="84" t="str">
        <f>IF(J37="Default",'MCC - Calculations'!$H44,"")</f>
        <v/>
      </c>
      <c r="L37" s="317" t="s">
        <v>200</v>
      </c>
      <c r="M37" s="84">
        <f>IF(L37="Default",SUMIFS('MCC - Calculations'!$H$13:$H$14,'MCC - Calculations'!$D$13:$D$14,'MCC - Calculations'!$E$19),"")</f>
        <v>0</v>
      </c>
      <c r="N37" s="317" t="s">
        <v>200</v>
      </c>
      <c r="O37" s="345">
        <f>IF(N37="Default",SUMIFS('MCC - Calculations'!$I$13:$I$14,'MCC - Calculations'!$D$13:$D$14,'MCC - Calculations'!$E$19),"")</f>
        <v>0</v>
      </c>
      <c r="P37" s="317" t="s">
        <v>200</v>
      </c>
      <c r="Q37" s="84">
        <f>IF(P37="Default",SUMIFS('MCC - Calculations'!$J$13:$J$14,'MCC - Calculations'!$D$13:$D$14,'MCC - Calculations'!$E$19),"")</f>
        <v>0</v>
      </c>
      <c r="R37" s="317" t="s">
        <v>200</v>
      </c>
      <c r="S37" s="84">
        <f>IF(R37="Default",SUMIFS('MCC - Calculations'!$K$13:$K$14,'MCC - Calculations'!$D$13:$D$14,'MCC - Calculations'!$E$19),"")</f>
        <v>0</v>
      </c>
      <c r="T37" s="346"/>
      <c r="U37" s="317" t="s">
        <v>200</v>
      </c>
      <c r="V37" s="84">
        <f>IF(U37="Default",SUMIFS('MCC - Calculations'!$L$13:$L$14,'MCC - Calculations'!$D$13:$D$14,'MCC - Calculations'!$E$19),"")</f>
        <v>0</v>
      </c>
    </row>
    <row r="38" spans="1:22">
      <c r="A38" s="12"/>
      <c r="D38" s="168"/>
      <c r="E38" s="176"/>
      <c r="F38" s="177"/>
      <c r="G38" s="177"/>
      <c r="H38" s="178" t="str">
        <f t="shared" ref="H38" si="63">IF(H37="Local", "Enter Value", "")</f>
        <v/>
      </c>
      <c r="I38" s="200"/>
      <c r="J38" s="178" t="str">
        <f t="shared" ref="J38" si="64">IF(J37="Local", "Enter Value", "")</f>
        <v/>
      </c>
      <c r="K38" s="200"/>
      <c r="L38" s="178" t="str">
        <f t="shared" ref="L38" si="65">IF(L37="Local", "Enter Value", "")</f>
        <v/>
      </c>
      <c r="M38" s="344"/>
      <c r="N38" s="178" t="str">
        <f t="shared" ref="N38" si="66">IF(N37="Local", "Enter Value", "")</f>
        <v/>
      </c>
      <c r="O38" s="344"/>
      <c r="P38" s="178" t="str">
        <f t="shared" ref="P38" si="67">IF(P37="Local", "Enter Value", "")</f>
        <v/>
      </c>
      <c r="Q38" s="200"/>
      <c r="R38" s="178" t="str">
        <f t="shared" ref="R38" si="68">IF(R37="Local", "Enter Value", "")</f>
        <v/>
      </c>
      <c r="S38" s="200"/>
      <c r="T38" s="168"/>
      <c r="U38" s="178" t="str">
        <f t="shared" ref="U38" si="69">IF(U37="Local", "Enter Value", "")</f>
        <v/>
      </c>
      <c r="V38" s="344"/>
    </row>
    <row r="39" spans="1:22">
      <c r="A39" s="12"/>
      <c r="D39" s="167">
        <v>12</v>
      </c>
      <c r="E39" s="316" t="s">
        <v>204</v>
      </c>
      <c r="F39" s="175"/>
      <c r="G39" s="175"/>
      <c r="H39" s="317" t="s">
        <v>200</v>
      </c>
      <c r="I39" s="84" t="str">
        <f>IF(H39="Default",'MCC - Calculations'!$G46,"")</f>
        <v/>
      </c>
      <c r="J39" s="317" t="s">
        <v>200</v>
      </c>
      <c r="K39" s="84" t="str">
        <f>IF(J39="Default",'MCC - Calculations'!$H46,"")</f>
        <v/>
      </c>
      <c r="L39" s="317" t="s">
        <v>200</v>
      </c>
      <c r="M39" s="84">
        <f>IF(L39="Default",SUMIFS('MCC - Calculations'!$H$13:$H$14,'MCC - Calculations'!$D$13:$D$14,'MCC - Calculations'!$E$19),"")</f>
        <v>0</v>
      </c>
      <c r="N39" s="317" t="s">
        <v>200</v>
      </c>
      <c r="O39" s="345">
        <f>IF(N39="Default",SUMIFS('MCC - Calculations'!$I$13:$I$14,'MCC - Calculations'!$D$13:$D$14,'MCC - Calculations'!$E$19),"")</f>
        <v>0</v>
      </c>
      <c r="P39" s="317" t="s">
        <v>200</v>
      </c>
      <c r="Q39" s="84">
        <f>IF(P39="Default",SUMIFS('MCC - Calculations'!$J$13:$J$14,'MCC - Calculations'!$D$13:$D$14,'MCC - Calculations'!$E$19),"")</f>
        <v>0</v>
      </c>
      <c r="R39" s="317" t="s">
        <v>200</v>
      </c>
      <c r="S39" s="84">
        <f>IF(R39="Default",SUMIFS('MCC - Calculations'!$K$13:$K$14,'MCC - Calculations'!$D$13:$D$14,'MCC - Calculations'!$E$19),"")</f>
        <v>0</v>
      </c>
      <c r="T39" s="346"/>
      <c r="U39" s="317" t="s">
        <v>200</v>
      </c>
      <c r="V39" s="84">
        <f>IF(U39="Default",SUMIFS('MCC - Calculations'!$L$13:$L$14,'MCC - Calculations'!$D$13:$D$14,'MCC - Calculations'!$E$19),"")</f>
        <v>0</v>
      </c>
    </row>
    <row r="40" spans="1:22">
      <c r="A40" s="12"/>
      <c r="D40" s="168"/>
      <c r="E40" s="176"/>
      <c r="F40" s="177"/>
      <c r="G40" s="177"/>
      <c r="H40" s="178" t="str">
        <f t="shared" ref="H40" si="70">IF(H39="Local", "Enter Value", "")</f>
        <v/>
      </c>
      <c r="I40" s="200"/>
      <c r="J40" s="178" t="str">
        <f t="shared" ref="J40" si="71">IF(J39="Local", "Enter Value", "")</f>
        <v/>
      </c>
      <c r="K40" s="200"/>
      <c r="L40" s="178" t="str">
        <f t="shared" ref="L40" si="72">IF(L39="Local", "Enter Value", "")</f>
        <v/>
      </c>
      <c r="M40" s="344"/>
      <c r="N40" s="178" t="str">
        <f t="shared" ref="N40" si="73">IF(N39="Local", "Enter Value", "")</f>
        <v/>
      </c>
      <c r="O40" s="344"/>
      <c r="P40" s="178" t="str">
        <f t="shared" ref="P40" si="74">IF(P39="Local", "Enter Value", "")</f>
        <v/>
      </c>
      <c r="Q40" s="200"/>
      <c r="R40" s="178" t="str">
        <f t="shared" ref="R40" si="75">IF(R39="Local", "Enter Value", "")</f>
        <v/>
      </c>
      <c r="S40" s="200"/>
      <c r="T40" s="168"/>
      <c r="U40" s="178" t="str">
        <f t="shared" ref="U40" si="76">IF(U39="Local", "Enter Value", "")</f>
        <v/>
      </c>
      <c r="V40" s="344"/>
    </row>
    <row r="41" spans="1:22">
      <c r="A41" s="12"/>
      <c r="D41" s="167">
        <v>13</v>
      </c>
      <c r="E41" s="316" t="s">
        <v>204</v>
      </c>
      <c r="F41" s="175"/>
      <c r="G41" s="175"/>
      <c r="H41" s="317" t="s">
        <v>200</v>
      </c>
      <c r="I41" s="84" t="str">
        <f>IF(H41="Default",'MCC - Calculations'!$G48,"")</f>
        <v/>
      </c>
      <c r="J41" s="317" t="s">
        <v>200</v>
      </c>
      <c r="K41" s="84" t="str">
        <f>IF(J41="Default",'MCC - Calculations'!$H48,"")</f>
        <v/>
      </c>
      <c r="L41" s="317" t="s">
        <v>200</v>
      </c>
      <c r="M41" s="84">
        <f>IF(L41="Default",SUMIFS('MCC - Calculations'!$H$13:$H$14,'MCC - Calculations'!$D$13:$D$14,'MCC - Calculations'!$E$19),"")</f>
        <v>0</v>
      </c>
      <c r="N41" s="317" t="s">
        <v>200</v>
      </c>
      <c r="O41" s="345">
        <f>IF(N41="Default",SUMIFS('MCC - Calculations'!$I$13:$I$14,'MCC - Calculations'!$D$13:$D$14,'MCC - Calculations'!$E$19),"")</f>
        <v>0</v>
      </c>
      <c r="P41" s="317" t="s">
        <v>200</v>
      </c>
      <c r="Q41" s="84">
        <f>IF(P41="Default",SUMIFS('MCC - Calculations'!$J$13:$J$14,'MCC - Calculations'!$D$13:$D$14,'MCC - Calculations'!$E$19),"")</f>
        <v>0</v>
      </c>
      <c r="R41" s="317" t="s">
        <v>200</v>
      </c>
      <c r="S41" s="84">
        <f>IF(R41="Default",SUMIFS('MCC - Calculations'!$K$13:$K$14,'MCC - Calculations'!$D$13:$D$14,'MCC - Calculations'!$E$19),"")</f>
        <v>0</v>
      </c>
      <c r="T41" s="346"/>
      <c r="U41" s="317" t="s">
        <v>200</v>
      </c>
      <c r="V41" s="84">
        <f>IF(U41="Default",SUMIFS('MCC - Calculations'!$L$13:$L$14,'MCC - Calculations'!$D$13:$D$14,'MCC - Calculations'!$E$19),"")</f>
        <v>0</v>
      </c>
    </row>
    <row r="42" spans="1:22">
      <c r="A42" s="12"/>
      <c r="D42" s="168"/>
      <c r="E42" s="176"/>
      <c r="F42" s="177"/>
      <c r="G42" s="177"/>
      <c r="H42" s="178" t="str">
        <f t="shared" ref="H42" si="77">IF(H41="Local", "Enter Value", "")</f>
        <v/>
      </c>
      <c r="I42" s="200"/>
      <c r="J42" s="178" t="str">
        <f t="shared" ref="J42" si="78">IF(J41="Local", "Enter Value", "")</f>
        <v/>
      </c>
      <c r="K42" s="200"/>
      <c r="L42" s="178" t="str">
        <f t="shared" ref="L42" si="79">IF(L41="Local", "Enter Value", "")</f>
        <v/>
      </c>
      <c r="M42" s="344"/>
      <c r="N42" s="178" t="str">
        <f t="shared" ref="N42" si="80">IF(N41="Local", "Enter Value", "")</f>
        <v/>
      </c>
      <c r="O42" s="344"/>
      <c r="P42" s="178" t="str">
        <f t="shared" ref="P42" si="81">IF(P41="Local", "Enter Value", "")</f>
        <v/>
      </c>
      <c r="Q42" s="200"/>
      <c r="R42" s="178" t="str">
        <f t="shared" ref="R42" si="82">IF(R41="Local", "Enter Value", "")</f>
        <v/>
      </c>
      <c r="S42" s="200"/>
      <c r="T42" s="168"/>
      <c r="U42" s="178" t="str">
        <f t="shared" ref="U42" si="83">IF(U41="Local", "Enter Value", "")</f>
        <v/>
      </c>
      <c r="V42" s="344"/>
    </row>
    <row r="43" spans="1:22">
      <c r="A43" s="12"/>
      <c r="D43" s="167">
        <v>14</v>
      </c>
      <c r="E43" s="316" t="s">
        <v>204</v>
      </c>
      <c r="F43" s="175"/>
      <c r="G43" s="175"/>
      <c r="H43" s="317" t="s">
        <v>200</v>
      </c>
      <c r="I43" s="84" t="str">
        <f>IF(H43="Default",'MCC - Calculations'!$G50,"")</f>
        <v/>
      </c>
      <c r="J43" s="317" t="s">
        <v>200</v>
      </c>
      <c r="K43" s="84" t="str">
        <f>IF(J43="Default",'MCC - Calculations'!$H50,"")</f>
        <v/>
      </c>
      <c r="L43" s="317" t="s">
        <v>200</v>
      </c>
      <c r="M43" s="84">
        <f>IF(L43="Default",SUMIFS('MCC - Calculations'!$H$13:$H$14,'MCC - Calculations'!$D$13:$D$14,'MCC - Calculations'!$E$19),"")</f>
        <v>0</v>
      </c>
      <c r="N43" s="317" t="s">
        <v>200</v>
      </c>
      <c r="O43" s="345">
        <f>IF(N43="Default",SUMIFS('MCC - Calculations'!$I$13:$I$14,'MCC - Calculations'!$D$13:$D$14,'MCC - Calculations'!$E$19),"")</f>
        <v>0</v>
      </c>
      <c r="P43" s="317" t="s">
        <v>200</v>
      </c>
      <c r="Q43" s="84">
        <f>IF(P43="Default",SUMIFS('MCC - Calculations'!$J$13:$J$14,'MCC - Calculations'!$D$13:$D$14,'MCC - Calculations'!$E$19),"")</f>
        <v>0</v>
      </c>
      <c r="R43" s="317" t="s">
        <v>200</v>
      </c>
      <c r="S43" s="84">
        <f>IF(R43="Default",SUMIFS('MCC - Calculations'!$K$13:$K$14,'MCC - Calculations'!$D$13:$D$14,'MCC - Calculations'!$E$19),"")</f>
        <v>0</v>
      </c>
      <c r="T43" s="346"/>
      <c r="U43" s="317" t="s">
        <v>200</v>
      </c>
      <c r="V43" s="84">
        <f>IF(U43="Default",SUMIFS('MCC - Calculations'!$L$13:$L$14,'MCC - Calculations'!$D$13:$D$14,'MCC - Calculations'!$E$19),"")</f>
        <v>0</v>
      </c>
    </row>
    <row r="44" spans="1:22">
      <c r="A44" s="12"/>
      <c r="D44" s="168"/>
      <c r="E44" s="176"/>
      <c r="F44" s="177"/>
      <c r="G44" s="177"/>
      <c r="H44" s="178" t="str">
        <f t="shared" ref="H44" si="84">IF(H43="Local", "Enter Value", "")</f>
        <v/>
      </c>
      <c r="I44" s="200"/>
      <c r="J44" s="178" t="str">
        <f t="shared" ref="J44" si="85">IF(J43="Local", "Enter Value", "")</f>
        <v/>
      </c>
      <c r="K44" s="200"/>
      <c r="L44" s="178" t="str">
        <f t="shared" ref="L44" si="86">IF(L43="Local", "Enter Value", "")</f>
        <v/>
      </c>
      <c r="M44" s="344"/>
      <c r="N44" s="178" t="str">
        <f t="shared" ref="N44" si="87">IF(N43="Local", "Enter Value", "")</f>
        <v/>
      </c>
      <c r="O44" s="344"/>
      <c r="P44" s="178" t="str">
        <f t="shared" ref="P44" si="88">IF(P43="Local", "Enter Value", "")</f>
        <v/>
      </c>
      <c r="Q44" s="200"/>
      <c r="R44" s="178" t="str">
        <f t="shared" ref="R44" si="89">IF(R43="Local", "Enter Value", "")</f>
        <v/>
      </c>
      <c r="S44" s="200"/>
      <c r="T44" s="168"/>
      <c r="U44" s="178" t="str">
        <f t="shared" ref="U44" si="90">IF(U43="Local", "Enter Value", "")</f>
        <v/>
      </c>
      <c r="V44" s="344"/>
    </row>
    <row r="45" spans="1:22">
      <c r="A45" s="12"/>
      <c r="D45" s="167">
        <v>15</v>
      </c>
      <c r="E45" s="316" t="s">
        <v>204</v>
      </c>
      <c r="F45" s="175"/>
      <c r="G45" s="175"/>
      <c r="H45" s="317" t="s">
        <v>200</v>
      </c>
      <c r="I45" s="84" t="str">
        <f>IF(H45="Default",'MCC - Calculations'!$G52,"")</f>
        <v/>
      </c>
      <c r="J45" s="317" t="s">
        <v>200</v>
      </c>
      <c r="K45" s="84" t="str">
        <f>IF(J45="Default",'MCC - Calculations'!$H52,"")</f>
        <v/>
      </c>
      <c r="L45" s="317" t="s">
        <v>200</v>
      </c>
      <c r="M45" s="84">
        <f>IF(L45="Default",SUMIFS('MCC - Calculations'!$H$13:$H$14,'MCC - Calculations'!$D$13:$D$14,'MCC - Calculations'!$E$19),"")</f>
        <v>0</v>
      </c>
      <c r="N45" s="317" t="s">
        <v>200</v>
      </c>
      <c r="O45" s="345">
        <f>IF(N45="Default",SUMIFS('MCC - Calculations'!$I$13:$I$14,'MCC - Calculations'!$D$13:$D$14,'MCC - Calculations'!$E$19),"")</f>
        <v>0</v>
      </c>
      <c r="P45" s="317" t="s">
        <v>200</v>
      </c>
      <c r="Q45" s="84">
        <f>IF(P45="Default",SUMIFS('MCC - Calculations'!$J$13:$J$14,'MCC - Calculations'!$D$13:$D$14,'MCC - Calculations'!$E$19),"")</f>
        <v>0</v>
      </c>
      <c r="R45" s="317" t="s">
        <v>200</v>
      </c>
      <c r="S45" s="84">
        <f>IF(R45="Default",SUMIFS('MCC - Calculations'!$K$13:$K$14,'MCC - Calculations'!$D$13:$D$14,'MCC - Calculations'!$E$19),"")</f>
        <v>0</v>
      </c>
      <c r="T45" s="346"/>
      <c r="U45" s="317" t="s">
        <v>200</v>
      </c>
      <c r="V45" s="84">
        <f>IF(U45="Default",SUMIFS('MCC - Calculations'!$L$13:$L$14,'MCC - Calculations'!$D$13:$D$14,'MCC - Calculations'!$E$19),"")</f>
        <v>0</v>
      </c>
    </row>
    <row r="46" spans="1:22">
      <c r="A46" s="12"/>
      <c r="D46" s="168"/>
      <c r="E46" s="176"/>
      <c r="F46" s="177"/>
      <c r="G46" s="177"/>
      <c r="H46" s="178" t="str">
        <f t="shared" ref="H46" si="91">IF(H45="Local", "Enter Value", "")</f>
        <v/>
      </c>
      <c r="I46" s="200"/>
      <c r="J46" s="178" t="str">
        <f t="shared" ref="J46" si="92">IF(J45="Local", "Enter Value", "")</f>
        <v/>
      </c>
      <c r="K46" s="200"/>
      <c r="L46" s="178" t="str">
        <f t="shared" ref="L46" si="93">IF(L45="Local", "Enter Value", "")</f>
        <v/>
      </c>
      <c r="M46" s="344"/>
      <c r="N46" s="178" t="str">
        <f t="shared" ref="N46" si="94">IF(N45="Local", "Enter Value", "")</f>
        <v/>
      </c>
      <c r="O46" s="344"/>
      <c r="P46" s="178" t="str">
        <f t="shared" ref="P46" si="95">IF(P45="Local", "Enter Value", "")</f>
        <v/>
      </c>
      <c r="Q46" s="200"/>
      <c r="R46" s="178" t="str">
        <f t="shared" ref="R46" si="96">IF(R45="Local", "Enter Value", "")</f>
        <v/>
      </c>
      <c r="S46" s="200"/>
      <c r="T46" s="168"/>
      <c r="U46" s="178" t="str">
        <f t="shared" ref="U46" si="97">IF(U45="Local", "Enter Value", "")</f>
        <v/>
      </c>
      <c r="V46" s="344"/>
    </row>
    <row r="47" spans="1:22">
      <c r="A47" s="12"/>
      <c r="D47" s="167">
        <v>16</v>
      </c>
      <c r="E47" s="316" t="s">
        <v>204</v>
      </c>
      <c r="F47" s="175"/>
      <c r="G47" s="175"/>
      <c r="H47" s="317" t="s">
        <v>200</v>
      </c>
      <c r="I47" s="84" t="str">
        <f>IF(H47="Default",'MCC - Calculations'!$G54,"")</f>
        <v/>
      </c>
      <c r="J47" s="317" t="s">
        <v>200</v>
      </c>
      <c r="K47" s="84" t="str">
        <f>IF(J47="Default",'MCC - Calculations'!$H54,"")</f>
        <v/>
      </c>
      <c r="L47" s="317" t="s">
        <v>200</v>
      </c>
      <c r="M47" s="84">
        <f>IF(L47="Default",SUMIFS('MCC - Calculations'!$H$13:$H$14,'MCC - Calculations'!$D$13:$D$14,'MCC - Calculations'!$E$19),"")</f>
        <v>0</v>
      </c>
      <c r="N47" s="317" t="s">
        <v>200</v>
      </c>
      <c r="O47" s="345">
        <f>IF(N47="Default",SUMIFS('MCC - Calculations'!$I$13:$I$14,'MCC - Calculations'!$D$13:$D$14,'MCC - Calculations'!$E$19),"")</f>
        <v>0</v>
      </c>
      <c r="P47" s="317" t="s">
        <v>200</v>
      </c>
      <c r="Q47" s="84">
        <f>IF(P47="Default",SUMIFS('MCC - Calculations'!$J$13:$J$14,'MCC - Calculations'!$D$13:$D$14,'MCC - Calculations'!$E$19),"")</f>
        <v>0</v>
      </c>
      <c r="R47" s="317" t="s">
        <v>200</v>
      </c>
      <c r="S47" s="84">
        <f>IF(R47="Default",SUMIFS('MCC - Calculations'!$K$13:$K$14,'MCC - Calculations'!$D$13:$D$14,'MCC - Calculations'!$E$19),"")</f>
        <v>0</v>
      </c>
      <c r="T47" s="346"/>
      <c r="U47" s="317" t="s">
        <v>200</v>
      </c>
      <c r="V47" s="84">
        <f>IF(U47="Default",SUMIFS('MCC - Calculations'!$L$13:$L$14,'MCC - Calculations'!$D$13:$D$14,'MCC - Calculations'!$E$19),"")</f>
        <v>0</v>
      </c>
    </row>
    <row r="48" spans="1:22">
      <c r="A48" s="12"/>
      <c r="D48" s="168"/>
      <c r="E48" s="176"/>
      <c r="F48" s="177"/>
      <c r="G48" s="177"/>
      <c r="H48" s="178" t="str">
        <f t="shared" ref="H48" si="98">IF(H47="Local", "Enter Value", "")</f>
        <v/>
      </c>
      <c r="I48" s="200"/>
      <c r="J48" s="178" t="str">
        <f t="shared" ref="J48" si="99">IF(J47="Local", "Enter Value", "")</f>
        <v/>
      </c>
      <c r="K48" s="200"/>
      <c r="L48" s="178" t="str">
        <f t="shared" ref="L48" si="100">IF(L47="Local", "Enter Value", "")</f>
        <v/>
      </c>
      <c r="M48" s="344"/>
      <c r="N48" s="178" t="str">
        <f t="shared" ref="N48" si="101">IF(N47="Local", "Enter Value", "")</f>
        <v/>
      </c>
      <c r="O48" s="344"/>
      <c r="P48" s="178" t="str">
        <f t="shared" ref="P48" si="102">IF(P47="Local", "Enter Value", "")</f>
        <v/>
      </c>
      <c r="Q48" s="200"/>
      <c r="R48" s="178" t="str">
        <f t="shared" ref="R48" si="103">IF(R47="Local", "Enter Value", "")</f>
        <v/>
      </c>
      <c r="S48" s="200"/>
      <c r="T48" s="168"/>
      <c r="U48" s="178" t="str">
        <f t="shared" ref="U48" si="104">IF(U47="Local", "Enter Value", "")</f>
        <v/>
      </c>
      <c r="V48" s="344"/>
    </row>
    <row r="49" spans="1:22">
      <c r="A49" s="12"/>
      <c r="D49" s="167">
        <v>17</v>
      </c>
      <c r="E49" s="316" t="s">
        <v>204</v>
      </c>
      <c r="F49" s="175"/>
      <c r="G49" s="175"/>
      <c r="H49" s="317" t="s">
        <v>200</v>
      </c>
      <c r="I49" s="84" t="str">
        <f>IF(H49="Default",'MCC - Calculations'!$G56,"")</f>
        <v/>
      </c>
      <c r="J49" s="317" t="s">
        <v>200</v>
      </c>
      <c r="K49" s="84" t="str">
        <f>IF(J49="Default",'MCC - Calculations'!$H56,"")</f>
        <v/>
      </c>
      <c r="L49" s="317" t="s">
        <v>200</v>
      </c>
      <c r="M49" s="84">
        <f>IF(L49="Default",SUMIFS('MCC - Calculations'!$H$13:$H$14,'MCC - Calculations'!$D$13:$D$14,'MCC - Calculations'!$E$19),"")</f>
        <v>0</v>
      </c>
      <c r="N49" s="317" t="s">
        <v>200</v>
      </c>
      <c r="O49" s="345">
        <f>IF(N49="Default",SUMIFS('MCC - Calculations'!$I$13:$I$14,'MCC - Calculations'!$D$13:$D$14,'MCC - Calculations'!$E$19),"")</f>
        <v>0</v>
      </c>
      <c r="P49" s="317" t="s">
        <v>200</v>
      </c>
      <c r="Q49" s="84">
        <f>IF(P49="Default",SUMIFS('MCC - Calculations'!$J$13:$J$14,'MCC - Calculations'!$D$13:$D$14,'MCC - Calculations'!$E$19),"")</f>
        <v>0</v>
      </c>
      <c r="R49" s="317" t="s">
        <v>200</v>
      </c>
      <c r="S49" s="84">
        <f>IF(R49="Default",SUMIFS('MCC - Calculations'!$K$13:$K$14,'MCC - Calculations'!$D$13:$D$14,'MCC - Calculations'!$E$19),"")</f>
        <v>0</v>
      </c>
      <c r="T49" s="346"/>
      <c r="U49" s="317" t="s">
        <v>200</v>
      </c>
      <c r="V49" s="84">
        <f>IF(U49="Default",SUMIFS('MCC - Calculations'!$L$13:$L$14,'MCC - Calculations'!$D$13:$D$14,'MCC - Calculations'!$E$19),"")</f>
        <v>0</v>
      </c>
    </row>
    <row r="50" spans="1:22">
      <c r="A50" s="12"/>
      <c r="D50" s="168"/>
      <c r="E50" s="176"/>
      <c r="F50" s="177"/>
      <c r="G50" s="177"/>
      <c r="H50" s="178" t="str">
        <f t="shared" ref="H50" si="105">IF(H49="Local", "Enter Value", "")</f>
        <v/>
      </c>
      <c r="I50" s="200"/>
      <c r="J50" s="178" t="str">
        <f t="shared" ref="J50" si="106">IF(J49="Local", "Enter Value", "")</f>
        <v/>
      </c>
      <c r="K50" s="200"/>
      <c r="L50" s="178" t="str">
        <f t="shared" ref="L50" si="107">IF(L49="Local", "Enter Value", "")</f>
        <v/>
      </c>
      <c r="M50" s="344"/>
      <c r="N50" s="178" t="str">
        <f t="shared" ref="N50" si="108">IF(N49="Local", "Enter Value", "")</f>
        <v/>
      </c>
      <c r="O50" s="344"/>
      <c r="P50" s="178" t="str">
        <f t="shared" ref="P50" si="109">IF(P49="Local", "Enter Value", "")</f>
        <v/>
      </c>
      <c r="Q50" s="200"/>
      <c r="R50" s="178" t="str">
        <f t="shared" ref="R50" si="110">IF(R49="Local", "Enter Value", "")</f>
        <v/>
      </c>
      <c r="S50" s="200"/>
      <c r="T50" s="168"/>
      <c r="U50" s="178" t="str">
        <f t="shared" ref="U50" si="111">IF(U49="Local", "Enter Value", "")</f>
        <v/>
      </c>
      <c r="V50" s="344"/>
    </row>
    <row r="51" spans="1:22">
      <c r="A51" s="12"/>
      <c r="D51" s="167">
        <v>18</v>
      </c>
      <c r="E51" s="316" t="s">
        <v>204</v>
      </c>
      <c r="F51" s="175"/>
      <c r="G51" s="175"/>
      <c r="H51" s="317" t="s">
        <v>200</v>
      </c>
      <c r="I51" s="84" t="str">
        <f>IF(H51="Default",'MCC - Calculations'!$G58,"")</f>
        <v/>
      </c>
      <c r="J51" s="317" t="s">
        <v>200</v>
      </c>
      <c r="K51" s="84" t="str">
        <f>IF(J51="Default",'MCC - Calculations'!$H58,"")</f>
        <v/>
      </c>
      <c r="L51" s="317" t="s">
        <v>200</v>
      </c>
      <c r="M51" s="84">
        <f>IF(L51="Default",SUMIFS('MCC - Calculations'!$H$13:$H$14,'MCC - Calculations'!$D$13:$D$14,'MCC - Calculations'!$E$19),"")</f>
        <v>0</v>
      </c>
      <c r="N51" s="317" t="s">
        <v>200</v>
      </c>
      <c r="O51" s="345">
        <f>IF(N51="Default",SUMIFS('MCC - Calculations'!$I$13:$I$14,'MCC - Calculations'!$D$13:$D$14,'MCC - Calculations'!$E$19),"")</f>
        <v>0</v>
      </c>
      <c r="P51" s="317" t="s">
        <v>200</v>
      </c>
      <c r="Q51" s="84">
        <f>IF(P51="Default",SUMIFS('MCC - Calculations'!$J$13:$J$14,'MCC - Calculations'!$D$13:$D$14,'MCC - Calculations'!$E$19),"")</f>
        <v>0</v>
      </c>
      <c r="R51" s="317" t="s">
        <v>200</v>
      </c>
      <c r="S51" s="84">
        <f>IF(R51="Default",SUMIFS('MCC - Calculations'!$K$13:$K$14,'MCC - Calculations'!$D$13:$D$14,'MCC - Calculations'!$E$19),"")</f>
        <v>0</v>
      </c>
      <c r="T51" s="346"/>
      <c r="U51" s="317" t="s">
        <v>200</v>
      </c>
      <c r="V51" s="84">
        <f>IF(U51="Default",SUMIFS('MCC - Calculations'!$L$13:$L$14,'MCC - Calculations'!$D$13:$D$14,'MCC - Calculations'!$E$19),"")</f>
        <v>0</v>
      </c>
    </row>
    <row r="52" spans="1:22">
      <c r="A52" s="12"/>
      <c r="D52" s="168"/>
      <c r="E52" s="176"/>
      <c r="F52" s="177"/>
      <c r="G52" s="177"/>
      <c r="H52" s="178" t="str">
        <f t="shared" ref="H52" si="112">IF(H51="Local", "Enter Value", "")</f>
        <v/>
      </c>
      <c r="I52" s="200"/>
      <c r="J52" s="178" t="str">
        <f t="shared" ref="J52" si="113">IF(J51="Local", "Enter Value", "")</f>
        <v/>
      </c>
      <c r="K52" s="200"/>
      <c r="L52" s="178" t="str">
        <f t="shared" ref="L52" si="114">IF(L51="Local", "Enter Value", "")</f>
        <v/>
      </c>
      <c r="M52" s="344"/>
      <c r="N52" s="178" t="str">
        <f t="shared" ref="N52" si="115">IF(N51="Local", "Enter Value", "")</f>
        <v/>
      </c>
      <c r="O52" s="344"/>
      <c r="P52" s="178" t="str">
        <f t="shared" ref="P52" si="116">IF(P51="Local", "Enter Value", "")</f>
        <v/>
      </c>
      <c r="Q52" s="200"/>
      <c r="R52" s="178" t="str">
        <f t="shared" ref="R52" si="117">IF(R51="Local", "Enter Value", "")</f>
        <v/>
      </c>
      <c r="S52" s="200"/>
      <c r="T52" s="168"/>
      <c r="U52" s="178" t="str">
        <f t="shared" ref="U52" si="118">IF(U51="Local", "Enter Value", "")</f>
        <v/>
      </c>
      <c r="V52" s="344"/>
    </row>
    <row r="53" spans="1:22">
      <c r="A53" s="12"/>
      <c r="D53" s="167">
        <v>19</v>
      </c>
      <c r="E53" s="316" t="s">
        <v>204</v>
      </c>
      <c r="F53" s="175"/>
      <c r="G53" s="175"/>
      <c r="H53" s="317" t="s">
        <v>200</v>
      </c>
      <c r="I53" s="84" t="str">
        <f>IF(H53="Default",'MCC - Calculations'!$G60,"")</f>
        <v/>
      </c>
      <c r="J53" s="317" t="s">
        <v>200</v>
      </c>
      <c r="K53" s="84" t="str">
        <f>IF(J53="Default",'MCC - Calculations'!$H60,"")</f>
        <v/>
      </c>
      <c r="L53" s="317" t="s">
        <v>200</v>
      </c>
      <c r="M53" s="84">
        <f>IF(L53="Default",SUMIFS('MCC - Calculations'!$H$13:$H$14,'MCC - Calculations'!$D$13:$D$14,'MCC - Calculations'!$E$19),"")</f>
        <v>0</v>
      </c>
      <c r="N53" s="317" t="s">
        <v>200</v>
      </c>
      <c r="O53" s="345">
        <f>IF(N53="Default",SUMIFS('MCC - Calculations'!$I$13:$I$14,'MCC - Calculations'!$D$13:$D$14,'MCC - Calculations'!$E$19),"")</f>
        <v>0</v>
      </c>
      <c r="P53" s="317" t="s">
        <v>200</v>
      </c>
      <c r="Q53" s="84">
        <f>IF(P53="Default",SUMIFS('MCC - Calculations'!$J$13:$J$14,'MCC - Calculations'!$D$13:$D$14,'MCC - Calculations'!$E$19),"")</f>
        <v>0</v>
      </c>
      <c r="R53" s="317" t="s">
        <v>200</v>
      </c>
      <c r="S53" s="84">
        <f>IF(R53="Default",SUMIFS('MCC - Calculations'!$K$13:$K$14,'MCC - Calculations'!$D$13:$D$14,'MCC - Calculations'!$E$19),"")</f>
        <v>0</v>
      </c>
      <c r="T53" s="346"/>
      <c r="U53" s="317" t="s">
        <v>200</v>
      </c>
      <c r="V53" s="84">
        <f>IF(U53="Default",SUMIFS('MCC - Calculations'!$L$13:$L$14,'MCC - Calculations'!$D$13:$D$14,'MCC - Calculations'!$E$19),"")</f>
        <v>0</v>
      </c>
    </row>
    <row r="54" spans="1:22">
      <c r="A54" s="12"/>
      <c r="D54" s="168"/>
      <c r="E54" s="176"/>
      <c r="F54" s="177"/>
      <c r="G54" s="177"/>
      <c r="H54" s="178" t="str">
        <f t="shared" ref="H54" si="119">IF(H53="Local", "Enter Value", "")</f>
        <v/>
      </c>
      <c r="I54" s="200"/>
      <c r="J54" s="178" t="str">
        <f t="shared" ref="J54" si="120">IF(J53="Local", "Enter Value", "")</f>
        <v/>
      </c>
      <c r="K54" s="200"/>
      <c r="L54" s="178" t="str">
        <f t="shared" ref="L54" si="121">IF(L53="Local", "Enter Value", "")</f>
        <v/>
      </c>
      <c r="M54" s="344"/>
      <c r="N54" s="178" t="str">
        <f t="shared" ref="N54" si="122">IF(N53="Local", "Enter Value", "")</f>
        <v/>
      </c>
      <c r="O54" s="344"/>
      <c r="P54" s="178" t="str">
        <f t="shared" ref="P54" si="123">IF(P53="Local", "Enter Value", "")</f>
        <v/>
      </c>
      <c r="Q54" s="200"/>
      <c r="R54" s="178" t="str">
        <f t="shared" ref="R54" si="124">IF(R53="Local", "Enter Value", "")</f>
        <v/>
      </c>
      <c r="S54" s="200"/>
      <c r="T54" s="168"/>
      <c r="U54" s="178" t="str">
        <f t="shared" ref="U54" si="125">IF(U53="Local", "Enter Value", "")</f>
        <v/>
      </c>
      <c r="V54" s="344"/>
    </row>
    <row r="55" spans="1:22">
      <c r="A55" s="12"/>
      <c r="D55" s="167">
        <v>20</v>
      </c>
      <c r="E55" s="316" t="s">
        <v>204</v>
      </c>
      <c r="F55" s="175"/>
      <c r="G55" s="175"/>
      <c r="H55" s="317" t="s">
        <v>200</v>
      </c>
      <c r="I55" s="84" t="str">
        <f>IF(H55="Default",'MCC - Calculations'!$G62,"")</f>
        <v/>
      </c>
      <c r="J55" s="317" t="s">
        <v>200</v>
      </c>
      <c r="K55" s="84" t="str">
        <f>IF(J55="Default",'MCC - Calculations'!$H62,"")</f>
        <v/>
      </c>
      <c r="L55" s="317" t="s">
        <v>200</v>
      </c>
      <c r="M55" s="84">
        <f>IF(L55="Default",SUMIFS('MCC - Calculations'!$H$13:$H$14,'MCC - Calculations'!$D$13:$D$14,'MCC - Calculations'!$E$19),"")</f>
        <v>0</v>
      </c>
      <c r="N55" s="317" t="s">
        <v>200</v>
      </c>
      <c r="O55" s="345">
        <f>IF(N55="Default",SUMIFS('MCC - Calculations'!$I$13:$I$14,'MCC - Calculations'!$D$13:$D$14,'MCC - Calculations'!$E$19),"")</f>
        <v>0</v>
      </c>
      <c r="P55" s="317" t="s">
        <v>200</v>
      </c>
      <c r="Q55" s="84">
        <f>IF(P55="Default",SUMIFS('MCC - Calculations'!$J$13:$J$14,'MCC - Calculations'!$D$13:$D$14,'MCC - Calculations'!$E$19),"")</f>
        <v>0</v>
      </c>
      <c r="R55" s="317" t="s">
        <v>200</v>
      </c>
      <c r="S55" s="84">
        <f>IF(R55="Default",SUMIFS('MCC - Calculations'!$K$13:$K$14,'MCC - Calculations'!$D$13:$D$14,'MCC - Calculations'!$E$19),"")</f>
        <v>0</v>
      </c>
      <c r="T55" s="346"/>
      <c r="U55" s="317" t="s">
        <v>200</v>
      </c>
      <c r="V55" s="84">
        <f>IF(U55="Default",SUMIFS('MCC - Calculations'!$L$13:$L$14,'MCC - Calculations'!$D$13:$D$14,'MCC - Calculations'!$E$19),"")</f>
        <v>0</v>
      </c>
    </row>
    <row r="56" spans="1:22">
      <c r="A56" s="12"/>
      <c r="D56" s="168"/>
      <c r="E56" s="176"/>
      <c r="F56" s="177"/>
      <c r="G56" s="177"/>
      <c r="H56" s="178" t="str">
        <f t="shared" ref="H56" si="126">IF(H55="Local", "Enter Value", "")</f>
        <v/>
      </c>
      <c r="I56" s="200"/>
      <c r="J56" s="178" t="str">
        <f t="shared" ref="J56" si="127">IF(J55="Local", "Enter Value", "")</f>
        <v/>
      </c>
      <c r="K56" s="200"/>
      <c r="L56" s="178" t="str">
        <f t="shared" ref="L56" si="128">IF(L55="Local", "Enter Value", "")</f>
        <v/>
      </c>
      <c r="M56" s="344"/>
      <c r="N56" s="178" t="str">
        <f t="shared" ref="N56" si="129">IF(N55="Local", "Enter Value", "")</f>
        <v/>
      </c>
      <c r="O56" s="344"/>
      <c r="P56" s="178" t="str">
        <f t="shared" ref="P56" si="130">IF(P55="Local", "Enter Value", "")</f>
        <v/>
      </c>
      <c r="Q56" s="200"/>
      <c r="R56" s="178" t="str">
        <f t="shared" ref="R56" si="131">IF(R55="Local", "Enter Value", "")</f>
        <v/>
      </c>
      <c r="S56" s="200"/>
      <c r="T56" s="168"/>
      <c r="U56" s="178" t="str">
        <f t="shared" ref="U56" si="132">IF(U55="Local", "Enter Value", "")</f>
        <v/>
      </c>
      <c r="V56" s="344"/>
    </row>
    <row r="57" spans="1:22">
      <c r="A57" s="12"/>
      <c r="D57" s="167">
        <v>21</v>
      </c>
      <c r="E57" s="316" t="s">
        <v>204</v>
      </c>
      <c r="F57" s="175"/>
      <c r="G57" s="175"/>
      <c r="H57" s="317" t="s">
        <v>200</v>
      </c>
      <c r="I57" s="84" t="str">
        <f>IF(H57="Default",'MCC - Calculations'!$G64,"")</f>
        <v/>
      </c>
      <c r="J57" s="317" t="s">
        <v>200</v>
      </c>
      <c r="K57" s="84" t="str">
        <f>IF(J57="Default",'MCC - Calculations'!$H64,"")</f>
        <v/>
      </c>
      <c r="L57" s="317" t="s">
        <v>200</v>
      </c>
      <c r="M57" s="84">
        <f>IF(L57="Default",SUMIFS('MCC - Calculations'!$H$13:$H$14,'MCC - Calculations'!$D$13:$D$14,'MCC - Calculations'!$E$19),"")</f>
        <v>0</v>
      </c>
      <c r="N57" s="317" t="s">
        <v>200</v>
      </c>
      <c r="O57" s="345">
        <f>IF(N57="Default",SUMIFS('MCC - Calculations'!$I$13:$I$14,'MCC - Calculations'!$D$13:$D$14,'MCC - Calculations'!$E$19),"")</f>
        <v>0</v>
      </c>
      <c r="P57" s="317" t="s">
        <v>200</v>
      </c>
      <c r="Q57" s="84">
        <f>IF(P57="Default",SUMIFS('MCC - Calculations'!$J$13:$J$14,'MCC - Calculations'!$D$13:$D$14,'MCC - Calculations'!$E$19),"")</f>
        <v>0</v>
      </c>
      <c r="R57" s="317" t="s">
        <v>200</v>
      </c>
      <c r="S57" s="84">
        <f>IF(R57="Default",SUMIFS('MCC - Calculations'!$K$13:$K$14,'MCC - Calculations'!$D$13:$D$14,'MCC - Calculations'!$E$19),"")</f>
        <v>0</v>
      </c>
      <c r="T57" s="346"/>
      <c r="U57" s="317" t="s">
        <v>200</v>
      </c>
      <c r="V57" s="84">
        <f>IF(U57="Default",SUMIFS('MCC - Calculations'!$L$13:$L$14,'MCC - Calculations'!$D$13:$D$14,'MCC - Calculations'!$E$19),"")</f>
        <v>0</v>
      </c>
    </row>
    <row r="58" spans="1:22">
      <c r="A58" s="12"/>
      <c r="D58" s="168"/>
      <c r="E58" s="176"/>
      <c r="F58" s="177"/>
      <c r="G58" s="177"/>
      <c r="H58" s="178" t="str">
        <f t="shared" ref="H58" si="133">IF(H57="Local", "Enter Value", "")</f>
        <v/>
      </c>
      <c r="I58" s="200"/>
      <c r="J58" s="178" t="str">
        <f t="shared" ref="J58" si="134">IF(J57="Local", "Enter Value", "")</f>
        <v/>
      </c>
      <c r="K58" s="200"/>
      <c r="L58" s="178" t="str">
        <f t="shared" ref="L58" si="135">IF(L57="Local", "Enter Value", "")</f>
        <v/>
      </c>
      <c r="M58" s="344"/>
      <c r="N58" s="178" t="str">
        <f t="shared" ref="N58" si="136">IF(N57="Local", "Enter Value", "")</f>
        <v/>
      </c>
      <c r="O58" s="344"/>
      <c r="P58" s="178" t="str">
        <f t="shared" ref="P58" si="137">IF(P57="Local", "Enter Value", "")</f>
        <v/>
      </c>
      <c r="Q58" s="200"/>
      <c r="R58" s="178" t="str">
        <f t="shared" ref="R58" si="138">IF(R57="Local", "Enter Value", "")</f>
        <v/>
      </c>
      <c r="S58" s="200"/>
      <c r="T58" s="168"/>
      <c r="U58" s="178" t="str">
        <f t="shared" ref="U58" si="139">IF(U57="Local", "Enter Value", "")</f>
        <v/>
      </c>
      <c r="V58" s="344"/>
    </row>
    <row r="59" spans="1:22">
      <c r="A59" s="12"/>
      <c r="D59" s="167">
        <v>22</v>
      </c>
      <c r="E59" s="316" t="s">
        <v>204</v>
      </c>
      <c r="F59" s="175"/>
      <c r="G59" s="175"/>
      <c r="H59" s="317" t="s">
        <v>200</v>
      </c>
      <c r="I59" s="84" t="str">
        <f>IF(H59="Default",'MCC - Calculations'!$G66,"")</f>
        <v/>
      </c>
      <c r="J59" s="317" t="s">
        <v>200</v>
      </c>
      <c r="K59" s="84" t="str">
        <f>IF(J59="Default",'MCC - Calculations'!$H66,"")</f>
        <v/>
      </c>
      <c r="L59" s="317" t="s">
        <v>200</v>
      </c>
      <c r="M59" s="84">
        <f>IF(L59="Default",SUMIFS('MCC - Calculations'!$H$13:$H$14,'MCC - Calculations'!$D$13:$D$14,'MCC - Calculations'!$E$19),"")</f>
        <v>0</v>
      </c>
      <c r="N59" s="317" t="s">
        <v>200</v>
      </c>
      <c r="O59" s="345">
        <f>IF(N59="Default",SUMIFS('MCC - Calculations'!$I$13:$I$14,'MCC - Calculations'!$D$13:$D$14,'MCC - Calculations'!$E$19),"")</f>
        <v>0</v>
      </c>
      <c r="P59" s="317" t="s">
        <v>200</v>
      </c>
      <c r="Q59" s="84">
        <f>IF(P59="Default",SUMIFS('MCC - Calculations'!$J$13:$J$14,'MCC - Calculations'!$D$13:$D$14,'MCC - Calculations'!$E$19),"")</f>
        <v>0</v>
      </c>
      <c r="R59" s="317" t="s">
        <v>200</v>
      </c>
      <c r="S59" s="84">
        <f>IF(R59="Default",SUMIFS('MCC - Calculations'!$K$13:$K$14,'MCC - Calculations'!$D$13:$D$14,'MCC - Calculations'!$E$19),"")</f>
        <v>0</v>
      </c>
      <c r="T59" s="346"/>
      <c r="U59" s="317" t="s">
        <v>200</v>
      </c>
      <c r="V59" s="84">
        <f>IF(U59="Default",SUMIFS('MCC - Calculations'!$L$13:$L$14,'MCC - Calculations'!$D$13:$D$14,'MCC - Calculations'!$E$19),"")</f>
        <v>0</v>
      </c>
    </row>
    <row r="60" spans="1:22">
      <c r="A60" s="12"/>
      <c r="D60" s="168"/>
      <c r="E60" s="176"/>
      <c r="F60" s="177"/>
      <c r="G60" s="177"/>
      <c r="H60" s="178" t="str">
        <f t="shared" ref="H60" si="140">IF(H59="Local", "Enter Value", "")</f>
        <v/>
      </c>
      <c r="I60" s="200"/>
      <c r="J60" s="178" t="str">
        <f t="shared" ref="J60" si="141">IF(J59="Local", "Enter Value", "")</f>
        <v/>
      </c>
      <c r="K60" s="200"/>
      <c r="L60" s="178" t="str">
        <f t="shared" ref="L60" si="142">IF(L59="Local", "Enter Value", "")</f>
        <v/>
      </c>
      <c r="M60" s="344"/>
      <c r="N60" s="178" t="str">
        <f t="shared" ref="N60" si="143">IF(N59="Local", "Enter Value", "")</f>
        <v/>
      </c>
      <c r="O60" s="344"/>
      <c r="P60" s="178" t="str">
        <f t="shared" ref="P60" si="144">IF(P59="Local", "Enter Value", "")</f>
        <v/>
      </c>
      <c r="Q60" s="200"/>
      <c r="R60" s="178" t="str">
        <f t="shared" ref="R60" si="145">IF(R59="Local", "Enter Value", "")</f>
        <v/>
      </c>
      <c r="S60" s="200"/>
      <c r="T60" s="168"/>
      <c r="U60" s="178" t="str">
        <f t="shared" ref="U60" si="146">IF(U59="Local", "Enter Value", "")</f>
        <v/>
      </c>
      <c r="V60" s="344"/>
    </row>
    <row r="61" spans="1:22">
      <c r="A61" s="12"/>
      <c r="D61" s="167">
        <v>23</v>
      </c>
      <c r="E61" s="316" t="s">
        <v>204</v>
      </c>
      <c r="F61" s="175"/>
      <c r="G61" s="175"/>
      <c r="H61" s="317" t="s">
        <v>200</v>
      </c>
      <c r="I61" s="84" t="str">
        <f>IF(H61="Default",'MCC - Calculations'!$G68,"")</f>
        <v/>
      </c>
      <c r="J61" s="317" t="s">
        <v>200</v>
      </c>
      <c r="K61" s="84" t="str">
        <f>IF(J61="Default",'MCC - Calculations'!$H68,"")</f>
        <v/>
      </c>
      <c r="L61" s="317" t="s">
        <v>200</v>
      </c>
      <c r="M61" s="84">
        <f>IF(L61="Default",SUMIFS('MCC - Calculations'!$H$13:$H$14,'MCC - Calculations'!$D$13:$D$14,'MCC - Calculations'!$E$19),"")</f>
        <v>0</v>
      </c>
      <c r="N61" s="317" t="s">
        <v>200</v>
      </c>
      <c r="O61" s="345">
        <f>IF(N61="Default",SUMIFS('MCC - Calculations'!$I$13:$I$14,'MCC - Calculations'!$D$13:$D$14,'MCC - Calculations'!$E$19),"")</f>
        <v>0</v>
      </c>
      <c r="P61" s="317" t="s">
        <v>200</v>
      </c>
      <c r="Q61" s="84">
        <f>IF(P61="Default",SUMIFS('MCC - Calculations'!$J$13:$J$14,'MCC - Calculations'!$D$13:$D$14,'MCC - Calculations'!$E$19),"")</f>
        <v>0</v>
      </c>
      <c r="R61" s="317" t="s">
        <v>200</v>
      </c>
      <c r="S61" s="84">
        <f>IF(R61="Default",SUMIFS('MCC - Calculations'!$K$13:$K$14,'MCC - Calculations'!$D$13:$D$14,'MCC - Calculations'!$E$19),"")</f>
        <v>0</v>
      </c>
      <c r="T61" s="346"/>
      <c r="U61" s="317" t="s">
        <v>200</v>
      </c>
      <c r="V61" s="84">
        <f>IF(U61="Default",SUMIFS('MCC - Calculations'!$L$13:$L$14,'MCC - Calculations'!$D$13:$D$14,'MCC - Calculations'!$E$19),"")</f>
        <v>0</v>
      </c>
    </row>
    <row r="62" spans="1:22">
      <c r="A62" s="12"/>
      <c r="D62" s="168"/>
      <c r="E62" s="176"/>
      <c r="F62" s="177"/>
      <c r="G62" s="177"/>
      <c r="H62" s="178" t="str">
        <f t="shared" ref="H62" si="147">IF(H61="Local", "Enter Value", "")</f>
        <v/>
      </c>
      <c r="I62" s="200"/>
      <c r="J62" s="178" t="str">
        <f t="shared" ref="J62" si="148">IF(J61="Local", "Enter Value", "")</f>
        <v/>
      </c>
      <c r="K62" s="200"/>
      <c r="L62" s="178" t="str">
        <f t="shared" ref="L62" si="149">IF(L61="Local", "Enter Value", "")</f>
        <v/>
      </c>
      <c r="M62" s="344"/>
      <c r="N62" s="178" t="str">
        <f t="shared" ref="N62" si="150">IF(N61="Local", "Enter Value", "")</f>
        <v/>
      </c>
      <c r="O62" s="344"/>
      <c r="P62" s="178" t="str">
        <f t="shared" ref="P62" si="151">IF(P61="Local", "Enter Value", "")</f>
        <v/>
      </c>
      <c r="Q62" s="200"/>
      <c r="R62" s="178" t="str">
        <f t="shared" ref="R62" si="152">IF(R61="Local", "Enter Value", "")</f>
        <v/>
      </c>
      <c r="S62" s="200"/>
      <c r="T62" s="168"/>
      <c r="U62" s="178" t="str">
        <f t="shared" ref="U62" si="153">IF(U61="Local", "Enter Value", "")</f>
        <v/>
      </c>
      <c r="V62" s="344"/>
    </row>
    <row r="63" spans="1:22">
      <c r="A63" s="12"/>
      <c r="D63" s="167">
        <v>24</v>
      </c>
      <c r="E63" s="316" t="s">
        <v>204</v>
      </c>
      <c r="F63" s="175"/>
      <c r="G63" s="175"/>
      <c r="H63" s="317" t="s">
        <v>200</v>
      </c>
      <c r="I63" s="84" t="str">
        <f>IF(H63="Default",'MCC - Calculations'!$G70,"")</f>
        <v/>
      </c>
      <c r="J63" s="317" t="s">
        <v>200</v>
      </c>
      <c r="K63" s="84" t="str">
        <f>IF(J63="Default",'MCC - Calculations'!$H70,"")</f>
        <v/>
      </c>
      <c r="L63" s="317" t="s">
        <v>200</v>
      </c>
      <c r="M63" s="84">
        <f>IF(L63="Default",SUMIFS('MCC - Calculations'!$H$13:$H$14,'MCC - Calculations'!$D$13:$D$14,'MCC - Calculations'!$E$19),"")</f>
        <v>0</v>
      </c>
      <c r="N63" s="317" t="s">
        <v>200</v>
      </c>
      <c r="O63" s="345">
        <f>IF(N63="Default",SUMIFS('MCC - Calculations'!$I$13:$I$14,'MCC - Calculations'!$D$13:$D$14,'MCC - Calculations'!$E$19),"")</f>
        <v>0</v>
      </c>
      <c r="P63" s="317" t="s">
        <v>200</v>
      </c>
      <c r="Q63" s="84">
        <f>IF(P63="Default",SUMIFS('MCC - Calculations'!$J$13:$J$14,'MCC - Calculations'!$D$13:$D$14,'MCC - Calculations'!$E$19),"")</f>
        <v>0</v>
      </c>
      <c r="R63" s="317" t="s">
        <v>200</v>
      </c>
      <c r="S63" s="84">
        <f>IF(R63="Default",SUMIFS('MCC - Calculations'!$K$13:$K$14,'MCC - Calculations'!$D$13:$D$14,'MCC - Calculations'!$E$19),"")</f>
        <v>0</v>
      </c>
      <c r="T63" s="346"/>
      <c r="U63" s="317" t="s">
        <v>200</v>
      </c>
      <c r="V63" s="84">
        <f>IF(U63="Default",SUMIFS('MCC - Calculations'!$L$13:$L$14,'MCC - Calculations'!$D$13:$D$14,'MCC - Calculations'!$E$19),"")</f>
        <v>0</v>
      </c>
    </row>
    <row r="64" spans="1:22">
      <c r="A64" s="12"/>
      <c r="D64" s="168"/>
      <c r="E64" s="176"/>
      <c r="F64" s="177"/>
      <c r="G64" s="177"/>
      <c r="H64" s="178" t="str">
        <f t="shared" ref="H64" si="154">IF(H63="Local", "Enter Value", "")</f>
        <v/>
      </c>
      <c r="I64" s="200"/>
      <c r="J64" s="178" t="str">
        <f t="shared" ref="J64" si="155">IF(J63="Local", "Enter Value", "")</f>
        <v/>
      </c>
      <c r="K64" s="200"/>
      <c r="L64" s="178" t="str">
        <f t="shared" ref="L64" si="156">IF(L63="Local", "Enter Value", "")</f>
        <v/>
      </c>
      <c r="M64" s="344"/>
      <c r="N64" s="178" t="str">
        <f t="shared" ref="N64" si="157">IF(N63="Local", "Enter Value", "")</f>
        <v/>
      </c>
      <c r="O64" s="344"/>
      <c r="P64" s="178" t="str">
        <f t="shared" ref="P64" si="158">IF(P63="Local", "Enter Value", "")</f>
        <v/>
      </c>
      <c r="Q64" s="200"/>
      <c r="R64" s="178" t="str">
        <f t="shared" ref="R64" si="159">IF(R63="Local", "Enter Value", "")</f>
        <v/>
      </c>
      <c r="S64" s="200"/>
      <c r="T64" s="168"/>
      <c r="U64" s="178" t="str">
        <f t="shared" ref="U64" si="160">IF(U63="Local", "Enter Value", "")</f>
        <v/>
      </c>
      <c r="V64" s="344"/>
    </row>
    <row r="65" spans="1:22">
      <c r="A65" s="12"/>
      <c r="D65" s="167">
        <v>25</v>
      </c>
      <c r="E65" s="316" t="s">
        <v>204</v>
      </c>
      <c r="F65" s="175"/>
      <c r="G65" s="175"/>
      <c r="H65" s="317" t="s">
        <v>200</v>
      </c>
      <c r="I65" s="84" t="str">
        <f>IF(H65="Default",'MCC - Calculations'!$G72,"")</f>
        <v/>
      </c>
      <c r="J65" s="317" t="s">
        <v>200</v>
      </c>
      <c r="K65" s="84" t="str">
        <f>IF(J65="Default",'MCC - Calculations'!$H72,"")</f>
        <v/>
      </c>
      <c r="L65" s="317" t="s">
        <v>200</v>
      </c>
      <c r="M65" s="84">
        <f>IF(L65="Default",SUMIFS('MCC - Calculations'!$H$13:$H$14,'MCC - Calculations'!$D$13:$D$14,'MCC - Calculations'!$E$19),"")</f>
        <v>0</v>
      </c>
      <c r="N65" s="317" t="s">
        <v>200</v>
      </c>
      <c r="O65" s="345">
        <f>IF(N65="Default",SUMIFS('MCC - Calculations'!$I$13:$I$14,'MCC - Calculations'!$D$13:$D$14,'MCC - Calculations'!$E$19),"")</f>
        <v>0</v>
      </c>
      <c r="P65" s="317" t="s">
        <v>200</v>
      </c>
      <c r="Q65" s="84">
        <f>IF(P65="Default",SUMIFS('MCC - Calculations'!$J$13:$J$14,'MCC - Calculations'!$D$13:$D$14,'MCC - Calculations'!$E$19),"")</f>
        <v>0</v>
      </c>
      <c r="R65" s="317" t="s">
        <v>200</v>
      </c>
      <c r="S65" s="84">
        <f>IF(R65="Default",SUMIFS('MCC - Calculations'!$K$13:$K$14,'MCC - Calculations'!$D$13:$D$14,'MCC - Calculations'!$E$19),"")</f>
        <v>0</v>
      </c>
      <c r="T65" s="346"/>
      <c r="U65" s="317" t="s">
        <v>200</v>
      </c>
      <c r="V65" s="84">
        <f>IF(U65="Default",SUMIFS('MCC - Calculations'!$L$13:$L$14,'MCC - Calculations'!$D$13:$D$14,'MCC - Calculations'!$E$19),"")</f>
        <v>0</v>
      </c>
    </row>
    <row r="66" spans="1:22">
      <c r="A66" s="12"/>
      <c r="D66" s="168"/>
      <c r="E66" s="176"/>
      <c r="F66" s="177"/>
      <c r="G66" s="177"/>
      <c r="H66" s="178" t="str">
        <f t="shared" ref="H66" si="161">IF(H65="Local", "Enter Value", "")</f>
        <v/>
      </c>
      <c r="I66" s="200"/>
      <c r="J66" s="178" t="str">
        <f t="shared" ref="J66" si="162">IF(J65="Local", "Enter Value", "")</f>
        <v/>
      </c>
      <c r="K66" s="200"/>
      <c r="L66" s="178" t="str">
        <f t="shared" ref="L66" si="163">IF(L65="Local", "Enter Value", "")</f>
        <v/>
      </c>
      <c r="M66" s="344"/>
      <c r="N66" s="178" t="str">
        <f t="shared" ref="N66" si="164">IF(N65="Local", "Enter Value", "")</f>
        <v/>
      </c>
      <c r="O66" s="344"/>
      <c r="P66" s="178" t="str">
        <f t="shared" ref="P66" si="165">IF(P65="Local", "Enter Value", "")</f>
        <v/>
      </c>
      <c r="Q66" s="200"/>
      <c r="R66" s="178" t="str">
        <f t="shared" ref="R66" si="166">IF(R65="Local", "Enter Value", "")</f>
        <v/>
      </c>
      <c r="S66" s="200"/>
      <c r="T66" s="168"/>
      <c r="U66" s="178" t="str">
        <f t="shared" ref="U66" si="167">IF(U65="Local", "Enter Value", "")</f>
        <v/>
      </c>
      <c r="V66" s="344"/>
    </row>
    <row r="67" spans="1:22">
      <c r="A67" s="12"/>
      <c r="D67" s="167">
        <v>26</v>
      </c>
      <c r="E67" s="316" t="s">
        <v>204</v>
      </c>
      <c r="F67" s="175"/>
      <c r="G67" s="175"/>
      <c r="H67" s="317" t="s">
        <v>200</v>
      </c>
      <c r="I67" s="84" t="str">
        <f>IF(H67="Default",'MCC - Calculations'!$G74,"")</f>
        <v/>
      </c>
      <c r="J67" s="317" t="s">
        <v>200</v>
      </c>
      <c r="K67" s="84" t="str">
        <f>IF(J67="Default",'MCC - Calculations'!$H74,"")</f>
        <v/>
      </c>
      <c r="L67" s="317" t="s">
        <v>200</v>
      </c>
      <c r="M67" s="84">
        <f>IF(L67="Default",SUMIFS('MCC - Calculations'!$H$13:$H$14,'MCC - Calculations'!$D$13:$D$14,'MCC - Calculations'!$E$19),"")</f>
        <v>0</v>
      </c>
      <c r="N67" s="317" t="s">
        <v>200</v>
      </c>
      <c r="O67" s="345">
        <f>IF(N67="Default",SUMIFS('MCC - Calculations'!$I$13:$I$14,'MCC - Calculations'!$D$13:$D$14,'MCC - Calculations'!$E$19),"")</f>
        <v>0</v>
      </c>
      <c r="P67" s="317" t="s">
        <v>200</v>
      </c>
      <c r="Q67" s="84">
        <f>IF(P67="Default",SUMIFS('MCC - Calculations'!$J$13:$J$14,'MCC - Calculations'!$D$13:$D$14,'MCC - Calculations'!$E$19),"")</f>
        <v>0</v>
      </c>
      <c r="R67" s="317" t="s">
        <v>200</v>
      </c>
      <c r="S67" s="84">
        <f>IF(R67="Default",SUMIFS('MCC - Calculations'!$K$13:$K$14,'MCC - Calculations'!$D$13:$D$14,'MCC - Calculations'!$E$19),"")</f>
        <v>0</v>
      </c>
      <c r="T67" s="346"/>
      <c r="U67" s="317" t="s">
        <v>200</v>
      </c>
      <c r="V67" s="84">
        <f>IF(U67="Default",SUMIFS('MCC - Calculations'!$L$13:$L$14,'MCC - Calculations'!$D$13:$D$14,'MCC - Calculations'!$E$19),"")</f>
        <v>0</v>
      </c>
    </row>
    <row r="68" spans="1:22">
      <c r="A68" s="12"/>
      <c r="D68" s="168"/>
      <c r="E68" s="176"/>
      <c r="F68" s="177"/>
      <c r="G68" s="177"/>
      <c r="H68" s="178" t="str">
        <f t="shared" ref="H68" si="168">IF(H67="Local", "Enter Value", "")</f>
        <v/>
      </c>
      <c r="I68" s="200"/>
      <c r="J68" s="178" t="str">
        <f t="shared" ref="J68" si="169">IF(J67="Local", "Enter Value", "")</f>
        <v/>
      </c>
      <c r="K68" s="200"/>
      <c r="L68" s="178" t="str">
        <f t="shared" ref="L68" si="170">IF(L67="Local", "Enter Value", "")</f>
        <v/>
      </c>
      <c r="M68" s="344"/>
      <c r="N68" s="178" t="str">
        <f t="shared" ref="N68" si="171">IF(N67="Local", "Enter Value", "")</f>
        <v/>
      </c>
      <c r="O68" s="344"/>
      <c r="P68" s="178" t="str">
        <f t="shared" ref="P68" si="172">IF(P67="Local", "Enter Value", "")</f>
        <v/>
      </c>
      <c r="Q68" s="200"/>
      <c r="R68" s="178" t="str">
        <f t="shared" ref="R68" si="173">IF(R67="Local", "Enter Value", "")</f>
        <v/>
      </c>
      <c r="S68" s="200"/>
      <c r="T68" s="168"/>
      <c r="U68" s="178" t="str">
        <f t="shared" ref="U68" si="174">IF(U67="Local", "Enter Value", "")</f>
        <v/>
      </c>
      <c r="V68" s="344"/>
    </row>
    <row r="69" spans="1:22">
      <c r="A69" s="12"/>
      <c r="D69" s="167">
        <v>27</v>
      </c>
      <c r="E69" s="316" t="s">
        <v>204</v>
      </c>
      <c r="F69" s="175"/>
      <c r="G69" s="175"/>
      <c r="H69" s="317" t="s">
        <v>200</v>
      </c>
      <c r="I69" s="84" t="str">
        <f>IF(H69="Default",'MCC - Calculations'!$G76,"")</f>
        <v/>
      </c>
      <c r="J69" s="317" t="s">
        <v>200</v>
      </c>
      <c r="K69" s="84" t="str">
        <f>IF(J69="Default",'MCC - Calculations'!$H76,"")</f>
        <v/>
      </c>
      <c r="L69" s="317" t="s">
        <v>200</v>
      </c>
      <c r="M69" s="84">
        <f>IF(L69="Default",SUMIFS('MCC - Calculations'!$H$13:$H$14,'MCC - Calculations'!$D$13:$D$14,'MCC - Calculations'!$E$19),"")</f>
        <v>0</v>
      </c>
      <c r="N69" s="317" t="s">
        <v>200</v>
      </c>
      <c r="O69" s="345">
        <f>IF(N69="Default",SUMIFS('MCC - Calculations'!$I$13:$I$14,'MCC - Calculations'!$D$13:$D$14,'MCC - Calculations'!$E$19),"")</f>
        <v>0</v>
      </c>
      <c r="P69" s="317" t="s">
        <v>200</v>
      </c>
      <c r="Q69" s="84">
        <f>IF(P69="Default",SUMIFS('MCC - Calculations'!$J$13:$J$14,'MCC - Calculations'!$D$13:$D$14,'MCC - Calculations'!$E$19),"")</f>
        <v>0</v>
      </c>
      <c r="R69" s="317" t="s">
        <v>200</v>
      </c>
      <c r="S69" s="84">
        <f>IF(R69="Default",SUMIFS('MCC - Calculations'!$K$13:$K$14,'MCC - Calculations'!$D$13:$D$14,'MCC - Calculations'!$E$19),"")</f>
        <v>0</v>
      </c>
      <c r="T69" s="346"/>
      <c r="U69" s="317" t="s">
        <v>200</v>
      </c>
      <c r="V69" s="84">
        <f>IF(U69="Default",SUMIFS('MCC - Calculations'!$L$13:$L$14,'MCC - Calculations'!$D$13:$D$14,'MCC - Calculations'!$E$19),"")</f>
        <v>0</v>
      </c>
    </row>
    <row r="70" spans="1:22">
      <c r="A70" s="12"/>
      <c r="D70" s="168"/>
      <c r="E70" s="176"/>
      <c r="F70" s="177"/>
      <c r="G70" s="177"/>
      <c r="H70" s="178" t="str">
        <f t="shared" ref="H70" si="175">IF(H69="Local", "Enter Value", "")</f>
        <v/>
      </c>
      <c r="I70" s="200"/>
      <c r="J70" s="178" t="str">
        <f t="shared" ref="J70" si="176">IF(J69="Local", "Enter Value", "")</f>
        <v/>
      </c>
      <c r="K70" s="200"/>
      <c r="L70" s="178" t="str">
        <f t="shared" ref="L70" si="177">IF(L69="Local", "Enter Value", "")</f>
        <v/>
      </c>
      <c r="M70" s="344"/>
      <c r="N70" s="178" t="str">
        <f t="shared" ref="N70" si="178">IF(N69="Local", "Enter Value", "")</f>
        <v/>
      </c>
      <c r="O70" s="344"/>
      <c r="P70" s="178" t="str">
        <f t="shared" ref="P70" si="179">IF(P69="Local", "Enter Value", "")</f>
        <v/>
      </c>
      <c r="Q70" s="200"/>
      <c r="R70" s="178" t="str">
        <f t="shared" ref="R70" si="180">IF(R69="Local", "Enter Value", "")</f>
        <v/>
      </c>
      <c r="S70" s="200"/>
      <c r="T70" s="168"/>
      <c r="U70" s="178" t="str">
        <f t="shared" ref="U70" si="181">IF(U69="Local", "Enter Value", "")</f>
        <v/>
      </c>
      <c r="V70" s="344"/>
    </row>
    <row r="71" spans="1:22">
      <c r="A71" s="12"/>
      <c r="D71" s="167">
        <v>28</v>
      </c>
      <c r="E71" s="316" t="s">
        <v>204</v>
      </c>
      <c r="F71" s="175"/>
      <c r="G71" s="175"/>
      <c r="H71" s="317" t="s">
        <v>200</v>
      </c>
      <c r="I71" s="84" t="str">
        <f>IF(H71="Default",'MCC - Calculations'!$G78,"")</f>
        <v/>
      </c>
      <c r="J71" s="317" t="s">
        <v>200</v>
      </c>
      <c r="K71" s="84" t="str">
        <f>IF(J71="Default",'MCC - Calculations'!$H78,"")</f>
        <v/>
      </c>
      <c r="L71" s="317" t="s">
        <v>200</v>
      </c>
      <c r="M71" s="84">
        <f>IF(L71="Default",SUMIFS('MCC - Calculations'!$H$13:$H$14,'MCC - Calculations'!$D$13:$D$14,'MCC - Calculations'!$E$19),"")</f>
        <v>0</v>
      </c>
      <c r="N71" s="317" t="s">
        <v>200</v>
      </c>
      <c r="O71" s="345">
        <f>IF(N71="Default",SUMIFS('MCC - Calculations'!$I$13:$I$14,'MCC - Calculations'!$D$13:$D$14,'MCC - Calculations'!$E$19),"")</f>
        <v>0</v>
      </c>
      <c r="P71" s="317" t="s">
        <v>200</v>
      </c>
      <c r="Q71" s="84">
        <f>IF(P71="Default",SUMIFS('MCC - Calculations'!$J$13:$J$14,'MCC - Calculations'!$D$13:$D$14,'MCC - Calculations'!$E$19),"")</f>
        <v>0</v>
      </c>
      <c r="R71" s="317" t="s">
        <v>200</v>
      </c>
      <c r="S71" s="84">
        <f>IF(R71="Default",SUMIFS('MCC - Calculations'!$K$13:$K$14,'MCC - Calculations'!$D$13:$D$14,'MCC - Calculations'!$E$19),"")</f>
        <v>0</v>
      </c>
      <c r="T71" s="346"/>
      <c r="U71" s="317" t="s">
        <v>200</v>
      </c>
      <c r="V71" s="84">
        <f>IF(U71="Default",SUMIFS('MCC - Calculations'!$L$13:$L$14,'MCC - Calculations'!$D$13:$D$14,'MCC - Calculations'!$E$19),"")</f>
        <v>0</v>
      </c>
    </row>
    <row r="72" spans="1:22">
      <c r="A72" s="12"/>
      <c r="D72" s="168"/>
      <c r="E72" s="176"/>
      <c r="F72" s="177"/>
      <c r="G72" s="177"/>
      <c r="H72" s="178" t="str">
        <f t="shared" ref="H72" si="182">IF(H71="Local", "Enter Value", "")</f>
        <v/>
      </c>
      <c r="I72" s="200"/>
      <c r="J72" s="178" t="str">
        <f t="shared" ref="J72" si="183">IF(J71="Local", "Enter Value", "")</f>
        <v/>
      </c>
      <c r="K72" s="200"/>
      <c r="L72" s="178" t="str">
        <f t="shared" ref="L72" si="184">IF(L71="Local", "Enter Value", "")</f>
        <v/>
      </c>
      <c r="M72" s="344"/>
      <c r="N72" s="178" t="str">
        <f t="shared" ref="N72" si="185">IF(N71="Local", "Enter Value", "")</f>
        <v/>
      </c>
      <c r="O72" s="344"/>
      <c r="P72" s="178" t="str">
        <f t="shared" ref="P72" si="186">IF(P71="Local", "Enter Value", "")</f>
        <v/>
      </c>
      <c r="Q72" s="200"/>
      <c r="R72" s="178" t="str">
        <f t="shared" ref="R72" si="187">IF(R71="Local", "Enter Value", "")</f>
        <v/>
      </c>
      <c r="S72" s="200"/>
      <c r="T72" s="168"/>
      <c r="U72" s="178" t="str">
        <f t="shared" ref="U72" si="188">IF(U71="Local", "Enter Value", "")</f>
        <v/>
      </c>
      <c r="V72" s="344"/>
    </row>
    <row r="73" spans="1:22">
      <c r="A73" s="12"/>
      <c r="D73" s="167">
        <v>29</v>
      </c>
      <c r="E73" s="316" t="s">
        <v>204</v>
      </c>
      <c r="F73" s="175"/>
      <c r="G73" s="175"/>
      <c r="H73" s="317" t="s">
        <v>200</v>
      </c>
      <c r="I73" s="84" t="str">
        <f>IF(H73="Default",'MCC - Calculations'!$G80,"")</f>
        <v/>
      </c>
      <c r="J73" s="317" t="s">
        <v>200</v>
      </c>
      <c r="K73" s="84" t="str">
        <f>IF(J73="Default",'MCC - Calculations'!$H80,"")</f>
        <v/>
      </c>
      <c r="L73" s="317" t="s">
        <v>200</v>
      </c>
      <c r="M73" s="84">
        <f>IF(L73="Default",SUMIFS('MCC - Calculations'!$H$13:$H$14,'MCC - Calculations'!$D$13:$D$14,'MCC - Calculations'!$E$19),"")</f>
        <v>0</v>
      </c>
      <c r="N73" s="317" t="s">
        <v>200</v>
      </c>
      <c r="O73" s="345">
        <f>IF(N73="Default",SUMIFS('MCC - Calculations'!$I$13:$I$14,'MCC - Calculations'!$D$13:$D$14,'MCC - Calculations'!$E$19),"")</f>
        <v>0</v>
      </c>
      <c r="P73" s="317" t="s">
        <v>200</v>
      </c>
      <c r="Q73" s="84">
        <f>IF(P73="Default",SUMIFS('MCC - Calculations'!$J$13:$J$14,'MCC - Calculations'!$D$13:$D$14,'MCC - Calculations'!$E$19),"")</f>
        <v>0</v>
      </c>
      <c r="R73" s="317" t="s">
        <v>200</v>
      </c>
      <c r="S73" s="84">
        <f>IF(R73="Default",SUMIFS('MCC - Calculations'!$K$13:$K$14,'MCC - Calculations'!$D$13:$D$14,'MCC - Calculations'!$E$19),"")</f>
        <v>0</v>
      </c>
      <c r="T73" s="346"/>
      <c r="U73" s="317" t="s">
        <v>200</v>
      </c>
      <c r="V73" s="84">
        <f>IF(U73="Default",SUMIFS('MCC - Calculations'!$L$13:$L$14,'MCC - Calculations'!$D$13:$D$14,'MCC - Calculations'!$E$19),"")</f>
        <v>0</v>
      </c>
    </row>
    <row r="74" spans="1:22">
      <c r="A74" s="12"/>
      <c r="D74" s="168"/>
      <c r="E74" s="176"/>
      <c r="F74" s="177"/>
      <c r="G74" s="177"/>
      <c r="H74" s="178" t="str">
        <f t="shared" ref="H74" si="189">IF(H73="Local", "Enter Value", "")</f>
        <v/>
      </c>
      <c r="I74" s="200"/>
      <c r="J74" s="178" t="str">
        <f t="shared" ref="J74" si="190">IF(J73="Local", "Enter Value", "")</f>
        <v/>
      </c>
      <c r="K74" s="200"/>
      <c r="L74" s="178" t="str">
        <f t="shared" ref="L74" si="191">IF(L73="Local", "Enter Value", "")</f>
        <v/>
      </c>
      <c r="M74" s="344"/>
      <c r="N74" s="178" t="str">
        <f t="shared" ref="N74" si="192">IF(N73="Local", "Enter Value", "")</f>
        <v/>
      </c>
      <c r="O74" s="344"/>
      <c r="P74" s="178" t="str">
        <f t="shared" ref="P74" si="193">IF(P73="Local", "Enter Value", "")</f>
        <v/>
      </c>
      <c r="Q74" s="200"/>
      <c r="R74" s="178" t="str">
        <f t="shared" ref="R74" si="194">IF(R73="Local", "Enter Value", "")</f>
        <v/>
      </c>
      <c r="S74" s="200"/>
      <c r="T74" s="168"/>
      <c r="U74" s="178" t="str">
        <f t="shared" ref="U74" si="195">IF(U73="Local", "Enter Value", "")</f>
        <v/>
      </c>
      <c r="V74" s="344"/>
    </row>
    <row r="75" spans="1:22">
      <c r="A75" s="12"/>
      <c r="D75" s="167">
        <v>30</v>
      </c>
      <c r="E75" s="316" t="s">
        <v>204</v>
      </c>
      <c r="F75" s="175"/>
      <c r="G75" s="175"/>
      <c r="H75" s="317" t="s">
        <v>200</v>
      </c>
      <c r="I75" s="84" t="str">
        <f>IF(H75="Default",'MCC - Calculations'!$G82,"")</f>
        <v/>
      </c>
      <c r="J75" s="317" t="s">
        <v>200</v>
      </c>
      <c r="K75" s="84" t="str">
        <f>IF(J75="Default",'MCC - Calculations'!$H82,"")</f>
        <v/>
      </c>
      <c r="L75" s="317" t="s">
        <v>200</v>
      </c>
      <c r="M75" s="84">
        <f>IF(L75="Default",SUMIFS('MCC - Calculations'!$H$13:$H$14,'MCC - Calculations'!$D$13:$D$14,'MCC - Calculations'!$E$19),"")</f>
        <v>0</v>
      </c>
      <c r="N75" s="317" t="s">
        <v>200</v>
      </c>
      <c r="O75" s="345">
        <f>IF(N75="Default",SUMIFS('MCC - Calculations'!$I$13:$I$14,'MCC - Calculations'!$D$13:$D$14,'MCC - Calculations'!$E$19),"")</f>
        <v>0</v>
      </c>
      <c r="P75" s="317" t="s">
        <v>200</v>
      </c>
      <c r="Q75" s="84">
        <f>IF(P75="Default",SUMIFS('MCC - Calculations'!$J$13:$J$14,'MCC - Calculations'!$D$13:$D$14,'MCC - Calculations'!$E$19),"")</f>
        <v>0</v>
      </c>
      <c r="R75" s="317" t="s">
        <v>200</v>
      </c>
      <c r="S75" s="84">
        <f>IF(R75="Default",SUMIFS('MCC - Calculations'!$K$13:$K$14,'MCC - Calculations'!$D$13:$D$14,'MCC - Calculations'!$E$19),"")</f>
        <v>0</v>
      </c>
      <c r="T75" s="346"/>
      <c r="U75" s="317" t="s">
        <v>200</v>
      </c>
      <c r="V75" s="84">
        <f>IF(U75="Default",SUMIFS('MCC - Calculations'!$L$13:$L$14,'MCC - Calculations'!$D$13:$D$14,'MCC - Calculations'!$E$19),"")</f>
        <v>0</v>
      </c>
    </row>
    <row r="76" spans="1:22">
      <c r="A76" s="12"/>
      <c r="D76" s="168"/>
      <c r="E76" s="176"/>
      <c r="F76" s="177"/>
      <c r="G76" s="177"/>
      <c r="H76" s="178" t="str">
        <f t="shared" ref="H76" si="196">IF(H75="Local", "Enter Value", "")</f>
        <v/>
      </c>
      <c r="I76" s="200"/>
      <c r="J76" s="178" t="str">
        <f t="shared" ref="J76" si="197">IF(J75="Local", "Enter Value", "")</f>
        <v/>
      </c>
      <c r="K76" s="200"/>
      <c r="L76" s="178" t="str">
        <f t="shared" ref="L76" si="198">IF(L75="Local", "Enter Value", "")</f>
        <v/>
      </c>
      <c r="M76" s="344"/>
      <c r="N76" s="178" t="str">
        <f t="shared" ref="N76" si="199">IF(N75="Local", "Enter Value", "")</f>
        <v/>
      </c>
      <c r="O76" s="344"/>
      <c r="P76" s="178" t="str">
        <f t="shared" ref="P76" si="200">IF(P75="Local", "Enter Value", "")</f>
        <v/>
      </c>
      <c r="Q76" s="200"/>
      <c r="R76" s="178" t="str">
        <f t="shared" ref="R76" si="201">IF(R75="Local", "Enter Value", "")</f>
        <v/>
      </c>
      <c r="S76" s="200"/>
      <c r="T76" s="168"/>
      <c r="U76" s="178" t="str">
        <f t="shared" ref="U76" si="202">IF(U75="Local", "Enter Value", "")</f>
        <v/>
      </c>
      <c r="V76" s="344"/>
    </row>
    <row r="77" spans="1:22">
      <c r="A77" s="12"/>
      <c r="D77" s="167">
        <v>31</v>
      </c>
      <c r="E77" s="316" t="s">
        <v>204</v>
      </c>
      <c r="F77" s="175"/>
      <c r="G77" s="175"/>
      <c r="H77" s="317" t="s">
        <v>200</v>
      </c>
      <c r="I77" s="84" t="str">
        <f>IF(H77="Default",'MCC - Calculations'!$G84,"")</f>
        <v/>
      </c>
      <c r="J77" s="317" t="s">
        <v>200</v>
      </c>
      <c r="K77" s="84" t="str">
        <f>IF(J77="Default",'MCC - Calculations'!$H84,"")</f>
        <v/>
      </c>
      <c r="L77" s="317" t="s">
        <v>200</v>
      </c>
      <c r="M77" s="84">
        <f>IF(L77="Default",SUMIFS('MCC - Calculations'!$H$13:$H$14,'MCC - Calculations'!$D$13:$D$14,'MCC - Calculations'!$E$19),"")</f>
        <v>0</v>
      </c>
      <c r="N77" s="317" t="s">
        <v>200</v>
      </c>
      <c r="O77" s="345">
        <f>IF(N77="Default",SUMIFS('MCC - Calculations'!$I$13:$I$14,'MCC - Calculations'!$D$13:$D$14,'MCC - Calculations'!$E$19),"")</f>
        <v>0</v>
      </c>
      <c r="P77" s="317" t="s">
        <v>200</v>
      </c>
      <c r="Q77" s="84">
        <f>IF(P77="Default",SUMIFS('MCC - Calculations'!$J$13:$J$14,'MCC - Calculations'!$D$13:$D$14,'MCC - Calculations'!$E$19),"")</f>
        <v>0</v>
      </c>
      <c r="R77" s="317" t="s">
        <v>200</v>
      </c>
      <c r="S77" s="84">
        <f>IF(R77="Default",SUMIFS('MCC - Calculations'!$K$13:$K$14,'MCC - Calculations'!$D$13:$D$14,'MCC - Calculations'!$E$19),"")</f>
        <v>0</v>
      </c>
      <c r="T77" s="346"/>
      <c r="U77" s="317" t="s">
        <v>200</v>
      </c>
      <c r="V77" s="84">
        <f>IF(U77="Default",SUMIFS('MCC - Calculations'!$L$13:$L$14,'MCC - Calculations'!$D$13:$D$14,'MCC - Calculations'!$E$19),"")</f>
        <v>0</v>
      </c>
    </row>
    <row r="78" spans="1:22">
      <c r="A78" s="12"/>
      <c r="D78" s="168"/>
      <c r="E78" s="176"/>
      <c r="F78" s="177"/>
      <c r="G78" s="177"/>
      <c r="H78" s="178" t="str">
        <f t="shared" ref="H78" si="203">IF(H77="Local", "Enter Value", "")</f>
        <v/>
      </c>
      <c r="I78" s="200"/>
      <c r="J78" s="178" t="str">
        <f t="shared" ref="J78" si="204">IF(J77="Local", "Enter Value", "")</f>
        <v/>
      </c>
      <c r="K78" s="200"/>
      <c r="L78" s="178" t="str">
        <f t="shared" ref="L78" si="205">IF(L77="Local", "Enter Value", "")</f>
        <v/>
      </c>
      <c r="M78" s="344"/>
      <c r="N78" s="178" t="str">
        <f t="shared" ref="N78" si="206">IF(N77="Local", "Enter Value", "")</f>
        <v/>
      </c>
      <c r="O78" s="344"/>
      <c r="P78" s="178" t="str">
        <f t="shared" ref="P78" si="207">IF(P77="Local", "Enter Value", "")</f>
        <v/>
      </c>
      <c r="Q78" s="200"/>
      <c r="R78" s="178" t="str">
        <f t="shared" ref="R78" si="208">IF(R77="Local", "Enter Value", "")</f>
        <v/>
      </c>
      <c r="S78" s="200"/>
      <c r="T78" s="168"/>
      <c r="U78" s="178" t="str">
        <f t="shared" ref="U78" si="209">IF(U77="Local", "Enter Value", "")</f>
        <v/>
      </c>
      <c r="V78" s="344"/>
    </row>
    <row r="79" spans="1:22">
      <c r="A79" s="12"/>
      <c r="D79" s="167">
        <v>32</v>
      </c>
      <c r="E79" s="316" t="s">
        <v>204</v>
      </c>
      <c r="F79" s="175"/>
      <c r="G79" s="175"/>
      <c r="H79" s="317" t="s">
        <v>200</v>
      </c>
      <c r="I79" s="84" t="str">
        <f>IF(H79="Default",'MCC - Calculations'!$G86,"")</f>
        <v/>
      </c>
      <c r="J79" s="317" t="s">
        <v>200</v>
      </c>
      <c r="K79" s="84" t="str">
        <f>IF(J79="Default",'MCC - Calculations'!$H86,"")</f>
        <v/>
      </c>
      <c r="L79" s="317" t="s">
        <v>200</v>
      </c>
      <c r="M79" s="84">
        <f>IF(L79="Default",SUMIFS('MCC - Calculations'!$H$13:$H$14,'MCC - Calculations'!$D$13:$D$14,'MCC - Calculations'!$E$19),"")</f>
        <v>0</v>
      </c>
      <c r="N79" s="317" t="s">
        <v>200</v>
      </c>
      <c r="O79" s="345">
        <f>IF(N79="Default",SUMIFS('MCC - Calculations'!$I$13:$I$14,'MCC - Calculations'!$D$13:$D$14,'MCC - Calculations'!$E$19),"")</f>
        <v>0</v>
      </c>
      <c r="P79" s="317" t="s">
        <v>200</v>
      </c>
      <c r="Q79" s="84">
        <f>IF(P79="Default",SUMIFS('MCC - Calculations'!$J$13:$J$14,'MCC - Calculations'!$D$13:$D$14,'MCC - Calculations'!$E$19),"")</f>
        <v>0</v>
      </c>
      <c r="R79" s="317" t="s">
        <v>200</v>
      </c>
      <c r="S79" s="84">
        <f>IF(R79="Default",SUMIFS('MCC - Calculations'!$K$13:$K$14,'MCC - Calculations'!$D$13:$D$14,'MCC - Calculations'!$E$19),"")</f>
        <v>0</v>
      </c>
      <c r="T79" s="346"/>
      <c r="U79" s="317" t="s">
        <v>200</v>
      </c>
      <c r="V79" s="84">
        <f>IF(U79="Default",SUMIFS('MCC - Calculations'!$L$13:$L$14,'MCC - Calculations'!$D$13:$D$14,'MCC - Calculations'!$E$19),"")</f>
        <v>0</v>
      </c>
    </row>
    <row r="80" spans="1:22">
      <c r="A80" s="12"/>
      <c r="D80" s="168"/>
      <c r="E80" s="176"/>
      <c r="F80" s="177"/>
      <c r="G80" s="177"/>
      <c r="H80" s="178" t="str">
        <f t="shared" ref="H80" si="210">IF(H79="Local", "Enter Value", "")</f>
        <v/>
      </c>
      <c r="I80" s="200"/>
      <c r="J80" s="178" t="str">
        <f t="shared" ref="J80" si="211">IF(J79="Local", "Enter Value", "")</f>
        <v/>
      </c>
      <c r="K80" s="200"/>
      <c r="L80" s="178" t="str">
        <f t="shared" ref="L80" si="212">IF(L79="Local", "Enter Value", "")</f>
        <v/>
      </c>
      <c r="M80" s="344"/>
      <c r="N80" s="178" t="str">
        <f t="shared" ref="N80" si="213">IF(N79="Local", "Enter Value", "")</f>
        <v/>
      </c>
      <c r="O80" s="344"/>
      <c r="P80" s="178" t="str">
        <f t="shared" ref="P80" si="214">IF(P79="Local", "Enter Value", "")</f>
        <v/>
      </c>
      <c r="Q80" s="200"/>
      <c r="R80" s="178" t="str">
        <f t="shared" ref="R80" si="215">IF(R79="Local", "Enter Value", "")</f>
        <v/>
      </c>
      <c r="S80" s="200"/>
      <c r="T80" s="168"/>
      <c r="U80" s="178" t="str">
        <f t="shared" ref="U80" si="216">IF(U79="Local", "Enter Value", "")</f>
        <v/>
      </c>
      <c r="V80" s="344"/>
    </row>
    <row r="81" spans="1:22">
      <c r="A81" s="12"/>
      <c r="D81" s="167">
        <v>33</v>
      </c>
      <c r="E81" s="316" t="s">
        <v>204</v>
      </c>
      <c r="F81" s="175"/>
      <c r="G81" s="175"/>
      <c r="H81" s="317" t="s">
        <v>200</v>
      </c>
      <c r="I81" s="84" t="str">
        <f>IF(H81="Default",'MCC - Calculations'!$G88,"")</f>
        <v/>
      </c>
      <c r="J81" s="317" t="s">
        <v>200</v>
      </c>
      <c r="K81" s="84" t="str">
        <f>IF(J81="Default",'MCC - Calculations'!$H88,"")</f>
        <v/>
      </c>
      <c r="L81" s="317" t="s">
        <v>200</v>
      </c>
      <c r="M81" s="84">
        <f>IF(L81="Default",SUMIFS('MCC - Calculations'!$H$13:$H$14,'MCC - Calculations'!$D$13:$D$14,'MCC - Calculations'!$E$19),"")</f>
        <v>0</v>
      </c>
      <c r="N81" s="317" t="s">
        <v>200</v>
      </c>
      <c r="O81" s="345">
        <f>IF(N81="Default",SUMIFS('MCC - Calculations'!$I$13:$I$14,'MCC - Calculations'!$D$13:$D$14,'MCC - Calculations'!$E$19),"")</f>
        <v>0</v>
      </c>
      <c r="P81" s="317" t="s">
        <v>200</v>
      </c>
      <c r="Q81" s="84">
        <f>IF(P81="Default",SUMIFS('MCC - Calculations'!$J$13:$J$14,'MCC - Calculations'!$D$13:$D$14,'MCC - Calculations'!$E$19),"")</f>
        <v>0</v>
      </c>
      <c r="R81" s="317" t="s">
        <v>200</v>
      </c>
      <c r="S81" s="84">
        <f>IF(R81="Default",SUMIFS('MCC - Calculations'!$K$13:$K$14,'MCC - Calculations'!$D$13:$D$14,'MCC - Calculations'!$E$19),"")</f>
        <v>0</v>
      </c>
      <c r="T81" s="346"/>
      <c r="U81" s="317" t="s">
        <v>200</v>
      </c>
      <c r="V81" s="84">
        <f>IF(U81="Default",SUMIFS('MCC - Calculations'!$L$13:$L$14,'MCC - Calculations'!$D$13:$D$14,'MCC - Calculations'!$E$19),"")</f>
        <v>0</v>
      </c>
    </row>
    <row r="82" spans="1:22">
      <c r="A82" s="12"/>
      <c r="D82" s="168"/>
      <c r="E82" s="176"/>
      <c r="F82" s="177"/>
      <c r="G82" s="177"/>
      <c r="H82" s="178" t="str">
        <f t="shared" ref="H82" si="217">IF(H81="Local", "Enter Value", "")</f>
        <v/>
      </c>
      <c r="I82" s="200"/>
      <c r="J82" s="178" t="str">
        <f t="shared" ref="J82" si="218">IF(J81="Local", "Enter Value", "")</f>
        <v/>
      </c>
      <c r="K82" s="200"/>
      <c r="L82" s="178" t="str">
        <f t="shared" ref="L82" si="219">IF(L81="Local", "Enter Value", "")</f>
        <v/>
      </c>
      <c r="M82" s="344"/>
      <c r="N82" s="178" t="str">
        <f t="shared" ref="N82" si="220">IF(N81="Local", "Enter Value", "")</f>
        <v/>
      </c>
      <c r="O82" s="344"/>
      <c r="P82" s="178" t="str">
        <f t="shared" ref="P82" si="221">IF(P81="Local", "Enter Value", "")</f>
        <v/>
      </c>
      <c r="Q82" s="200"/>
      <c r="R82" s="178" t="str">
        <f t="shared" ref="R82" si="222">IF(R81="Local", "Enter Value", "")</f>
        <v/>
      </c>
      <c r="S82" s="200"/>
      <c r="T82" s="168"/>
      <c r="U82" s="178" t="str">
        <f t="shared" ref="U82" si="223">IF(U81="Local", "Enter Value", "")</f>
        <v/>
      </c>
      <c r="V82" s="344"/>
    </row>
    <row r="83" spans="1:22">
      <c r="A83" s="12"/>
      <c r="D83" s="167">
        <v>34</v>
      </c>
      <c r="E83" s="316" t="s">
        <v>204</v>
      </c>
      <c r="F83" s="175"/>
      <c r="G83" s="175"/>
      <c r="H83" s="317" t="s">
        <v>200</v>
      </c>
      <c r="I83" s="84" t="str">
        <f>IF(H83="Default",'MCC - Calculations'!$G90,"")</f>
        <v/>
      </c>
      <c r="J83" s="317" t="s">
        <v>200</v>
      </c>
      <c r="K83" s="84" t="str">
        <f>IF(J83="Default",'MCC - Calculations'!$H90,"")</f>
        <v/>
      </c>
      <c r="L83" s="317" t="s">
        <v>200</v>
      </c>
      <c r="M83" s="84">
        <f>IF(L83="Default",SUMIFS('MCC - Calculations'!$H$13:$H$14,'MCC - Calculations'!$D$13:$D$14,'MCC - Calculations'!$E$19),"")</f>
        <v>0</v>
      </c>
      <c r="N83" s="317" t="s">
        <v>200</v>
      </c>
      <c r="O83" s="345">
        <f>IF(N83="Default",SUMIFS('MCC - Calculations'!$I$13:$I$14,'MCC - Calculations'!$D$13:$D$14,'MCC - Calculations'!$E$19),"")</f>
        <v>0</v>
      </c>
      <c r="P83" s="317" t="s">
        <v>200</v>
      </c>
      <c r="Q83" s="84">
        <f>IF(P83="Default",SUMIFS('MCC - Calculations'!$J$13:$J$14,'MCC - Calculations'!$D$13:$D$14,'MCC - Calculations'!$E$19),"")</f>
        <v>0</v>
      </c>
      <c r="R83" s="317" t="s">
        <v>200</v>
      </c>
      <c r="S83" s="84">
        <f>IF(R83="Default",SUMIFS('MCC - Calculations'!$K$13:$K$14,'MCC - Calculations'!$D$13:$D$14,'MCC - Calculations'!$E$19),"")</f>
        <v>0</v>
      </c>
      <c r="T83" s="346"/>
      <c r="U83" s="317" t="s">
        <v>200</v>
      </c>
      <c r="V83" s="84">
        <f>IF(U83="Default",SUMIFS('MCC - Calculations'!$L$13:$L$14,'MCC - Calculations'!$D$13:$D$14,'MCC - Calculations'!$E$19),"")</f>
        <v>0</v>
      </c>
    </row>
    <row r="84" spans="1:22">
      <c r="A84" s="12"/>
      <c r="D84" s="168"/>
      <c r="E84" s="176"/>
      <c r="F84" s="177"/>
      <c r="G84" s="177"/>
      <c r="H84" s="178" t="str">
        <f t="shared" ref="H84" si="224">IF(H83="Local", "Enter Value", "")</f>
        <v/>
      </c>
      <c r="I84" s="200"/>
      <c r="J84" s="178" t="str">
        <f t="shared" ref="J84" si="225">IF(J83="Local", "Enter Value", "")</f>
        <v/>
      </c>
      <c r="K84" s="200"/>
      <c r="L84" s="178" t="str">
        <f t="shared" ref="L84" si="226">IF(L83="Local", "Enter Value", "")</f>
        <v/>
      </c>
      <c r="M84" s="344"/>
      <c r="N84" s="178" t="str">
        <f t="shared" ref="N84" si="227">IF(N83="Local", "Enter Value", "")</f>
        <v/>
      </c>
      <c r="O84" s="344"/>
      <c r="P84" s="178" t="str">
        <f t="shared" ref="P84" si="228">IF(P83="Local", "Enter Value", "")</f>
        <v/>
      </c>
      <c r="Q84" s="200"/>
      <c r="R84" s="178" t="str">
        <f t="shared" ref="R84" si="229">IF(R83="Local", "Enter Value", "")</f>
        <v/>
      </c>
      <c r="S84" s="200"/>
      <c r="T84" s="168"/>
      <c r="U84" s="178" t="str">
        <f t="shared" ref="U84" si="230">IF(U83="Local", "Enter Value", "")</f>
        <v/>
      </c>
      <c r="V84" s="344"/>
    </row>
    <row r="85" spans="1:22">
      <c r="A85" s="12"/>
      <c r="D85" s="167">
        <v>35</v>
      </c>
      <c r="E85" s="316" t="s">
        <v>204</v>
      </c>
      <c r="F85" s="175"/>
      <c r="G85" s="175"/>
      <c r="H85" s="317" t="s">
        <v>200</v>
      </c>
      <c r="I85" s="84" t="str">
        <f>IF(H85="Default",'MCC - Calculations'!$G92,"")</f>
        <v/>
      </c>
      <c r="J85" s="317" t="s">
        <v>200</v>
      </c>
      <c r="K85" s="84" t="str">
        <f>IF(J85="Default",'MCC - Calculations'!$H92,"")</f>
        <v/>
      </c>
      <c r="L85" s="317" t="s">
        <v>200</v>
      </c>
      <c r="M85" s="84">
        <f>IF(L85="Default",SUMIFS('MCC - Calculations'!$H$13:$H$14,'MCC - Calculations'!$D$13:$D$14,'MCC - Calculations'!$E$19),"")</f>
        <v>0</v>
      </c>
      <c r="N85" s="317" t="s">
        <v>200</v>
      </c>
      <c r="O85" s="345">
        <f>IF(N85="Default",SUMIFS('MCC - Calculations'!$I$13:$I$14,'MCC - Calculations'!$D$13:$D$14,'MCC - Calculations'!$E$19),"")</f>
        <v>0</v>
      </c>
      <c r="P85" s="317" t="s">
        <v>200</v>
      </c>
      <c r="Q85" s="84">
        <f>IF(P85="Default",SUMIFS('MCC - Calculations'!$J$13:$J$14,'MCC - Calculations'!$D$13:$D$14,'MCC - Calculations'!$E$19),"")</f>
        <v>0</v>
      </c>
      <c r="R85" s="317" t="s">
        <v>200</v>
      </c>
      <c r="S85" s="84">
        <f>IF(R85="Default",SUMIFS('MCC - Calculations'!$K$13:$K$14,'MCC - Calculations'!$D$13:$D$14,'MCC - Calculations'!$E$19),"")</f>
        <v>0</v>
      </c>
      <c r="T85" s="346"/>
      <c r="U85" s="317" t="s">
        <v>200</v>
      </c>
      <c r="V85" s="84">
        <f>IF(U85="Default",SUMIFS('MCC - Calculations'!$L$13:$L$14,'MCC - Calculations'!$D$13:$D$14,'MCC - Calculations'!$E$19),"")</f>
        <v>0</v>
      </c>
    </row>
    <row r="86" spans="1:22">
      <c r="A86" s="12"/>
      <c r="D86" s="168"/>
      <c r="E86" s="176"/>
      <c r="F86" s="177"/>
      <c r="G86" s="177"/>
      <c r="H86" s="178" t="str">
        <f t="shared" ref="H86" si="231">IF(H85="Local", "Enter Value", "")</f>
        <v/>
      </c>
      <c r="I86" s="200"/>
      <c r="J86" s="178" t="str">
        <f t="shared" ref="J86" si="232">IF(J85="Local", "Enter Value", "")</f>
        <v/>
      </c>
      <c r="K86" s="200"/>
      <c r="L86" s="178" t="str">
        <f t="shared" ref="L86" si="233">IF(L85="Local", "Enter Value", "")</f>
        <v/>
      </c>
      <c r="M86" s="344"/>
      <c r="N86" s="178" t="str">
        <f t="shared" ref="N86" si="234">IF(N85="Local", "Enter Value", "")</f>
        <v/>
      </c>
      <c r="O86" s="344"/>
      <c r="P86" s="178" t="str">
        <f t="shared" ref="P86" si="235">IF(P85="Local", "Enter Value", "")</f>
        <v/>
      </c>
      <c r="Q86" s="200"/>
      <c r="R86" s="178" t="str">
        <f t="shared" ref="R86" si="236">IF(R85="Local", "Enter Value", "")</f>
        <v/>
      </c>
      <c r="S86" s="200"/>
      <c r="T86" s="168"/>
      <c r="U86" s="178" t="str">
        <f t="shared" ref="U86" si="237">IF(U85="Local", "Enter Value", "")</f>
        <v/>
      </c>
      <c r="V86" s="344"/>
    </row>
    <row r="87" spans="1:22">
      <c r="A87" s="12"/>
      <c r="D87" s="167">
        <v>36</v>
      </c>
      <c r="E87" s="316" t="s">
        <v>204</v>
      </c>
      <c r="F87" s="175"/>
      <c r="G87" s="175"/>
      <c r="H87" s="317" t="s">
        <v>200</v>
      </c>
      <c r="I87" s="84" t="str">
        <f>IF(H87="Default",'MCC - Calculations'!$G94,"")</f>
        <v/>
      </c>
      <c r="J87" s="317" t="s">
        <v>200</v>
      </c>
      <c r="K87" s="84" t="str">
        <f>IF(J87="Default",'MCC - Calculations'!$H94,"")</f>
        <v/>
      </c>
      <c r="L87" s="317" t="s">
        <v>200</v>
      </c>
      <c r="M87" s="84">
        <f>IF(L87="Default",SUMIFS('MCC - Calculations'!$H$13:$H$14,'MCC - Calculations'!$D$13:$D$14,'MCC - Calculations'!$E$19),"")</f>
        <v>0</v>
      </c>
      <c r="N87" s="317" t="s">
        <v>200</v>
      </c>
      <c r="O87" s="345">
        <f>IF(N87="Default",SUMIFS('MCC - Calculations'!$I$13:$I$14,'MCC - Calculations'!$D$13:$D$14,'MCC - Calculations'!$E$19),"")</f>
        <v>0</v>
      </c>
      <c r="P87" s="317" t="s">
        <v>200</v>
      </c>
      <c r="Q87" s="84">
        <f>IF(P87="Default",SUMIFS('MCC - Calculations'!$J$13:$J$14,'MCC - Calculations'!$D$13:$D$14,'MCC - Calculations'!$E$19),"")</f>
        <v>0</v>
      </c>
      <c r="R87" s="317" t="s">
        <v>200</v>
      </c>
      <c r="S87" s="84">
        <f>IF(R87="Default",SUMIFS('MCC - Calculations'!$K$13:$K$14,'MCC - Calculations'!$D$13:$D$14,'MCC - Calculations'!$E$19),"")</f>
        <v>0</v>
      </c>
      <c r="T87" s="346"/>
      <c r="U87" s="317" t="s">
        <v>200</v>
      </c>
      <c r="V87" s="84">
        <f>IF(U87="Default",SUMIFS('MCC - Calculations'!$L$13:$L$14,'MCC - Calculations'!$D$13:$D$14,'MCC - Calculations'!$E$19),"")</f>
        <v>0</v>
      </c>
    </row>
    <row r="88" spans="1:22">
      <c r="A88" s="12"/>
      <c r="D88" s="168"/>
      <c r="E88" s="176"/>
      <c r="F88" s="177"/>
      <c r="G88" s="177"/>
      <c r="H88" s="178" t="str">
        <f t="shared" ref="H88" si="238">IF(H87="Local", "Enter Value", "")</f>
        <v/>
      </c>
      <c r="I88" s="200"/>
      <c r="J88" s="178" t="str">
        <f t="shared" ref="J88" si="239">IF(J87="Local", "Enter Value", "")</f>
        <v/>
      </c>
      <c r="K88" s="200"/>
      <c r="L88" s="178" t="str">
        <f t="shared" ref="L88" si="240">IF(L87="Local", "Enter Value", "")</f>
        <v/>
      </c>
      <c r="M88" s="344"/>
      <c r="N88" s="178" t="str">
        <f t="shared" ref="N88" si="241">IF(N87="Local", "Enter Value", "")</f>
        <v/>
      </c>
      <c r="O88" s="344"/>
      <c r="P88" s="178" t="str">
        <f t="shared" ref="P88" si="242">IF(P87="Local", "Enter Value", "")</f>
        <v/>
      </c>
      <c r="Q88" s="200"/>
      <c r="R88" s="178" t="str">
        <f t="shared" ref="R88" si="243">IF(R87="Local", "Enter Value", "")</f>
        <v/>
      </c>
      <c r="S88" s="200"/>
      <c r="T88" s="168"/>
      <c r="U88" s="178" t="str">
        <f t="shared" ref="U88" si="244">IF(U87="Local", "Enter Value", "")</f>
        <v/>
      </c>
      <c r="V88" s="344"/>
    </row>
    <row r="89" spans="1:22">
      <c r="A89" s="12"/>
      <c r="D89" s="167">
        <v>37</v>
      </c>
      <c r="E89" s="316" t="s">
        <v>204</v>
      </c>
      <c r="F89" s="175"/>
      <c r="G89" s="175"/>
      <c r="H89" s="317" t="s">
        <v>200</v>
      </c>
      <c r="I89" s="84" t="str">
        <f>IF(H89="Default",'MCC - Calculations'!$G96,"")</f>
        <v/>
      </c>
      <c r="J89" s="317" t="s">
        <v>200</v>
      </c>
      <c r="K89" s="84" t="str">
        <f>IF(J89="Default",'MCC - Calculations'!$H96,"")</f>
        <v/>
      </c>
      <c r="L89" s="317" t="s">
        <v>200</v>
      </c>
      <c r="M89" s="84">
        <f>IF(L89="Default",SUMIFS('MCC - Calculations'!$H$13:$H$14,'MCC - Calculations'!$D$13:$D$14,'MCC - Calculations'!$E$19),"")</f>
        <v>0</v>
      </c>
      <c r="N89" s="317" t="s">
        <v>200</v>
      </c>
      <c r="O89" s="345">
        <f>IF(N89="Default",SUMIFS('MCC - Calculations'!$I$13:$I$14,'MCC - Calculations'!$D$13:$D$14,'MCC - Calculations'!$E$19),"")</f>
        <v>0</v>
      </c>
      <c r="P89" s="317" t="s">
        <v>200</v>
      </c>
      <c r="Q89" s="84">
        <f>IF(P89="Default",SUMIFS('MCC - Calculations'!$J$13:$J$14,'MCC - Calculations'!$D$13:$D$14,'MCC - Calculations'!$E$19),"")</f>
        <v>0</v>
      </c>
      <c r="R89" s="317" t="s">
        <v>200</v>
      </c>
      <c r="S89" s="84">
        <f>IF(R89="Default",SUMIFS('MCC - Calculations'!$K$13:$K$14,'MCC - Calculations'!$D$13:$D$14,'MCC - Calculations'!$E$19),"")</f>
        <v>0</v>
      </c>
      <c r="T89" s="346"/>
      <c r="U89" s="317" t="s">
        <v>200</v>
      </c>
      <c r="V89" s="84">
        <f>IF(U89="Default",SUMIFS('MCC - Calculations'!$L$13:$L$14,'MCC - Calculations'!$D$13:$D$14,'MCC - Calculations'!$E$19),"")</f>
        <v>0</v>
      </c>
    </row>
    <row r="90" spans="1:22">
      <c r="A90" s="12"/>
      <c r="D90" s="168"/>
      <c r="E90" s="176"/>
      <c r="F90" s="177"/>
      <c r="G90" s="177"/>
      <c r="H90" s="178" t="str">
        <f t="shared" ref="H90" si="245">IF(H89="Local", "Enter Value", "")</f>
        <v/>
      </c>
      <c r="I90" s="200"/>
      <c r="J90" s="178" t="str">
        <f t="shared" ref="J90" si="246">IF(J89="Local", "Enter Value", "")</f>
        <v/>
      </c>
      <c r="K90" s="200"/>
      <c r="L90" s="178" t="str">
        <f t="shared" ref="L90" si="247">IF(L89="Local", "Enter Value", "")</f>
        <v/>
      </c>
      <c r="M90" s="344"/>
      <c r="N90" s="178" t="str">
        <f t="shared" ref="N90" si="248">IF(N89="Local", "Enter Value", "")</f>
        <v/>
      </c>
      <c r="O90" s="344"/>
      <c r="P90" s="178" t="str">
        <f t="shared" ref="P90" si="249">IF(P89="Local", "Enter Value", "")</f>
        <v/>
      </c>
      <c r="Q90" s="200"/>
      <c r="R90" s="178" t="str">
        <f t="shared" ref="R90" si="250">IF(R89="Local", "Enter Value", "")</f>
        <v/>
      </c>
      <c r="S90" s="200"/>
      <c r="T90" s="168"/>
      <c r="U90" s="178" t="str">
        <f t="shared" ref="U90" si="251">IF(U89="Local", "Enter Value", "")</f>
        <v/>
      </c>
      <c r="V90" s="344"/>
    </row>
    <row r="91" spans="1:22">
      <c r="A91" s="12"/>
      <c r="D91" s="167">
        <v>38</v>
      </c>
      <c r="E91" s="316" t="s">
        <v>204</v>
      </c>
      <c r="F91" s="175"/>
      <c r="G91" s="175"/>
      <c r="H91" s="317" t="s">
        <v>200</v>
      </c>
      <c r="I91" s="84" t="str">
        <f>IF(H91="Default",'MCC - Calculations'!$G98,"")</f>
        <v/>
      </c>
      <c r="J91" s="317" t="s">
        <v>200</v>
      </c>
      <c r="K91" s="84" t="str">
        <f>IF(J91="Default",'MCC - Calculations'!$H98,"")</f>
        <v/>
      </c>
      <c r="L91" s="317" t="s">
        <v>200</v>
      </c>
      <c r="M91" s="84">
        <f>IF(L91="Default",SUMIFS('MCC - Calculations'!$H$13:$H$14,'MCC - Calculations'!$D$13:$D$14,'MCC - Calculations'!$E$19),"")</f>
        <v>0</v>
      </c>
      <c r="N91" s="317" t="s">
        <v>200</v>
      </c>
      <c r="O91" s="345">
        <f>IF(N91="Default",SUMIFS('MCC - Calculations'!$I$13:$I$14,'MCC - Calculations'!$D$13:$D$14,'MCC - Calculations'!$E$19),"")</f>
        <v>0</v>
      </c>
      <c r="P91" s="317" t="s">
        <v>200</v>
      </c>
      <c r="Q91" s="84">
        <f>IF(P91="Default",SUMIFS('MCC - Calculations'!$J$13:$J$14,'MCC - Calculations'!$D$13:$D$14,'MCC - Calculations'!$E$19),"")</f>
        <v>0</v>
      </c>
      <c r="R91" s="317" t="s">
        <v>200</v>
      </c>
      <c r="S91" s="84">
        <f>IF(R91="Default",SUMIFS('MCC - Calculations'!$K$13:$K$14,'MCC - Calculations'!$D$13:$D$14,'MCC - Calculations'!$E$19),"")</f>
        <v>0</v>
      </c>
      <c r="T91" s="346"/>
      <c r="U91" s="317" t="s">
        <v>200</v>
      </c>
      <c r="V91" s="84">
        <f>IF(U91="Default",SUMIFS('MCC - Calculations'!$L$13:$L$14,'MCC - Calculations'!$D$13:$D$14,'MCC - Calculations'!$E$19),"")</f>
        <v>0</v>
      </c>
    </row>
    <row r="92" spans="1:22">
      <c r="A92" s="12"/>
      <c r="D92" s="168"/>
      <c r="E92" s="176"/>
      <c r="F92" s="177"/>
      <c r="G92" s="177"/>
      <c r="H92" s="178" t="str">
        <f t="shared" ref="H92" si="252">IF(H91="Local", "Enter Value", "")</f>
        <v/>
      </c>
      <c r="I92" s="200"/>
      <c r="J92" s="178" t="str">
        <f t="shared" ref="J92" si="253">IF(J91="Local", "Enter Value", "")</f>
        <v/>
      </c>
      <c r="K92" s="200"/>
      <c r="L92" s="178" t="str">
        <f t="shared" ref="L92" si="254">IF(L91="Local", "Enter Value", "")</f>
        <v/>
      </c>
      <c r="M92" s="344"/>
      <c r="N92" s="178" t="str">
        <f t="shared" ref="N92" si="255">IF(N91="Local", "Enter Value", "")</f>
        <v/>
      </c>
      <c r="O92" s="344"/>
      <c r="P92" s="178" t="str">
        <f t="shared" ref="P92" si="256">IF(P91="Local", "Enter Value", "")</f>
        <v/>
      </c>
      <c r="Q92" s="200"/>
      <c r="R92" s="178" t="str">
        <f t="shared" ref="R92" si="257">IF(R91="Local", "Enter Value", "")</f>
        <v/>
      </c>
      <c r="S92" s="200"/>
      <c r="T92" s="168"/>
      <c r="U92" s="178" t="str">
        <f t="shared" ref="U92" si="258">IF(U91="Local", "Enter Value", "")</f>
        <v/>
      </c>
      <c r="V92" s="344"/>
    </row>
    <row r="93" spans="1:22">
      <c r="A93" s="12"/>
      <c r="D93" s="167">
        <v>39</v>
      </c>
      <c r="E93" s="316" t="s">
        <v>204</v>
      </c>
      <c r="F93" s="175"/>
      <c r="G93" s="175"/>
      <c r="H93" s="317" t="s">
        <v>200</v>
      </c>
      <c r="I93" s="84" t="str">
        <f>IF(H93="Default",'MCC - Calculations'!$G100,"")</f>
        <v/>
      </c>
      <c r="J93" s="317" t="s">
        <v>200</v>
      </c>
      <c r="K93" s="84" t="str">
        <f>IF(J93="Default",'MCC - Calculations'!$H100,"")</f>
        <v/>
      </c>
      <c r="L93" s="317" t="s">
        <v>200</v>
      </c>
      <c r="M93" s="84">
        <f>IF(L93="Default",SUMIFS('MCC - Calculations'!$H$13:$H$14,'MCC - Calculations'!$D$13:$D$14,'MCC - Calculations'!$E$19),"")</f>
        <v>0</v>
      </c>
      <c r="N93" s="317" t="s">
        <v>200</v>
      </c>
      <c r="O93" s="345">
        <f>IF(N93="Default",SUMIFS('MCC - Calculations'!$I$13:$I$14,'MCC - Calculations'!$D$13:$D$14,'MCC - Calculations'!$E$19),"")</f>
        <v>0</v>
      </c>
      <c r="P93" s="317" t="s">
        <v>200</v>
      </c>
      <c r="Q93" s="84">
        <f>IF(P93="Default",SUMIFS('MCC - Calculations'!$J$13:$J$14,'MCC - Calculations'!$D$13:$D$14,'MCC - Calculations'!$E$19),"")</f>
        <v>0</v>
      </c>
      <c r="R93" s="317" t="s">
        <v>200</v>
      </c>
      <c r="S93" s="84">
        <f>IF(R93="Default",SUMIFS('MCC - Calculations'!$K$13:$K$14,'MCC - Calculations'!$D$13:$D$14,'MCC - Calculations'!$E$19),"")</f>
        <v>0</v>
      </c>
      <c r="T93" s="346"/>
      <c r="U93" s="317" t="s">
        <v>200</v>
      </c>
      <c r="V93" s="84">
        <f>IF(U93="Default",SUMIFS('MCC - Calculations'!$L$13:$L$14,'MCC - Calculations'!$D$13:$D$14,'MCC - Calculations'!$E$19),"")</f>
        <v>0</v>
      </c>
    </row>
    <row r="94" spans="1:22">
      <c r="A94" s="12"/>
      <c r="D94" s="168"/>
      <c r="E94" s="176"/>
      <c r="F94" s="177"/>
      <c r="G94" s="177"/>
      <c r="H94" s="178" t="str">
        <f t="shared" ref="H94" si="259">IF(H93="Local", "Enter Value", "")</f>
        <v/>
      </c>
      <c r="I94" s="200"/>
      <c r="J94" s="178" t="str">
        <f t="shared" ref="J94" si="260">IF(J93="Local", "Enter Value", "")</f>
        <v/>
      </c>
      <c r="K94" s="200"/>
      <c r="L94" s="178" t="str">
        <f t="shared" ref="L94" si="261">IF(L93="Local", "Enter Value", "")</f>
        <v/>
      </c>
      <c r="M94" s="344"/>
      <c r="N94" s="178" t="str">
        <f t="shared" ref="N94" si="262">IF(N93="Local", "Enter Value", "")</f>
        <v/>
      </c>
      <c r="O94" s="344"/>
      <c r="P94" s="178" t="str">
        <f t="shared" ref="P94" si="263">IF(P93="Local", "Enter Value", "")</f>
        <v/>
      </c>
      <c r="Q94" s="200"/>
      <c r="R94" s="178" t="str">
        <f t="shared" ref="R94" si="264">IF(R93="Local", "Enter Value", "")</f>
        <v/>
      </c>
      <c r="S94" s="200"/>
      <c r="T94" s="168"/>
      <c r="U94" s="178" t="str">
        <f t="shared" ref="U94" si="265">IF(U93="Local", "Enter Value", "")</f>
        <v/>
      </c>
      <c r="V94" s="344"/>
    </row>
    <row r="95" spans="1:22">
      <c r="A95" s="12"/>
      <c r="D95" s="167">
        <v>40</v>
      </c>
      <c r="E95" s="316" t="s">
        <v>204</v>
      </c>
      <c r="F95" s="175"/>
      <c r="G95" s="175"/>
      <c r="H95" s="317" t="s">
        <v>200</v>
      </c>
      <c r="I95" s="84" t="str">
        <f>IF(H95="Default",'MCC - Calculations'!$G102,"")</f>
        <v/>
      </c>
      <c r="J95" s="317" t="s">
        <v>200</v>
      </c>
      <c r="K95" s="84" t="str">
        <f>IF(J95="Default",'MCC - Calculations'!$H102,"")</f>
        <v/>
      </c>
      <c r="L95" s="317" t="s">
        <v>200</v>
      </c>
      <c r="M95" s="84">
        <f>IF(L95="Default",SUMIFS('MCC - Calculations'!$H$13:$H$14,'MCC - Calculations'!$D$13:$D$14,'MCC - Calculations'!$E$19),"")</f>
        <v>0</v>
      </c>
      <c r="N95" s="317" t="s">
        <v>200</v>
      </c>
      <c r="O95" s="345">
        <f>IF(N95="Default",SUMIFS('MCC - Calculations'!$I$13:$I$14,'MCC - Calculations'!$D$13:$D$14,'MCC - Calculations'!$E$19),"")</f>
        <v>0</v>
      </c>
      <c r="P95" s="317" t="s">
        <v>200</v>
      </c>
      <c r="Q95" s="84">
        <f>IF(P95="Default",SUMIFS('MCC - Calculations'!$J$13:$J$14,'MCC - Calculations'!$D$13:$D$14,'MCC - Calculations'!$E$19),"")</f>
        <v>0</v>
      </c>
      <c r="R95" s="317" t="s">
        <v>200</v>
      </c>
      <c r="S95" s="84">
        <f>IF(R95="Default",SUMIFS('MCC - Calculations'!$K$13:$K$14,'MCC - Calculations'!$D$13:$D$14,'MCC - Calculations'!$E$19),"")</f>
        <v>0</v>
      </c>
      <c r="T95" s="346"/>
      <c r="U95" s="317" t="s">
        <v>200</v>
      </c>
      <c r="V95" s="84">
        <f>IF(U95="Default",SUMIFS('MCC - Calculations'!$L$13:$L$14,'MCC - Calculations'!$D$13:$D$14,'MCC - Calculations'!$E$19),"")</f>
        <v>0</v>
      </c>
    </row>
    <row r="96" spans="1:22">
      <c r="A96" s="12"/>
      <c r="D96" s="168"/>
      <c r="E96" s="176"/>
      <c r="F96" s="177"/>
      <c r="G96" s="177"/>
      <c r="H96" s="178" t="str">
        <f t="shared" ref="H96" si="266">IF(H95="Local", "Enter Value", "")</f>
        <v/>
      </c>
      <c r="I96" s="200"/>
      <c r="J96" s="178" t="str">
        <f t="shared" ref="J96" si="267">IF(J95="Local", "Enter Value", "")</f>
        <v/>
      </c>
      <c r="K96" s="200"/>
      <c r="L96" s="178" t="str">
        <f t="shared" ref="L96" si="268">IF(L95="Local", "Enter Value", "")</f>
        <v/>
      </c>
      <c r="M96" s="344"/>
      <c r="N96" s="178" t="str">
        <f t="shared" ref="N96" si="269">IF(N95="Local", "Enter Value", "")</f>
        <v/>
      </c>
      <c r="O96" s="344"/>
      <c r="P96" s="178" t="str">
        <f t="shared" ref="P96" si="270">IF(P95="Local", "Enter Value", "")</f>
        <v/>
      </c>
      <c r="Q96" s="200"/>
      <c r="R96" s="178" t="str">
        <f t="shared" ref="R96" si="271">IF(R95="Local", "Enter Value", "")</f>
        <v/>
      </c>
      <c r="S96" s="200"/>
      <c r="T96" s="168"/>
      <c r="U96" s="178" t="str">
        <f t="shared" ref="U96" si="272">IF(U95="Local", "Enter Value", "")</f>
        <v/>
      </c>
      <c r="V96" s="344"/>
    </row>
    <row r="97" spans="1:22">
      <c r="A97" s="12"/>
      <c r="D97" s="167">
        <v>41</v>
      </c>
      <c r="E97" s="316" t="s">
        <v>204</v>
      </c>
      <c r="F97" s="175"/>
      <c r="G97" s="175"/>
      <c r="H97" s="317" t="s">
        <v>200</v>
      </c>
      <c r="I97" s="84" t="str">
        <f>IF(H97="Default",'MCC - Calculations'!$G104,"")</f>
        <v/>
      </c>
      <c r="J97" s="317" t="s">
        <v>200</v>
      </c>
      <c r="K97" s="84" t="str">
        <f>IF(J97="Default",'MCC - Calculations'!$H104,"")</f>
        <v/>
      </c>
      <c r="L97" s="317" t="s">
        <v>200</v>
      </c>
      <c r="M97" s="84">
        <f>IF(L97="Default",SUMIFS('MCC - Calculations'!$H$13:$H$14,'MCC - Calculations'!$D$13:$D$14,'MCC - Calculations'!$E$19),"")</f>
        <v>0</v>
      </c>
      <c r="N97" s="317" t="s">
        <v>200</v>
      </c>
      <c r="O97" s="345">
        <f>IF(N97="Default",SUMIFS('MCC - Calculations'!$I$13:$I$14,'MCC - Calculations'!$D$13:$D$14,'MCC - Calculations'!$E$19),"")</f>
        <v>0</v>
      </c>
      <c r="P97" s="317" t="s">
        <v>200</v>
      </c>
      <c r="Q97" s="84">
        <f>IF(P97="Default",SUMIFS('MCC - Calculations'!$J$13:$J$14,'MCC - Calculations'!$D$13:$D$14,'MCC - Calculations'!$E$19),"")</f>
        <v>0</v>
      </c>
      <c r="R97" s="317" t="s">
        <v>200</v>
      </c>
      <c r="S97" s="84">
        <f>IF(R97="Default",SUMIFS('MCC - Calculations'!$K$13:$K$14,'MCC - Calculations'!$D$13:$D$14,'MCC - Calculations'!$E$19),"")</f>
        <v>0</v>
      </c>
      <c r="T97" s="346"/>
      <c r="U97" s="317" t="s">
        <v>200</v>
      </c>
      <c r="V97" s="84">
        <f>IF(U97="Default",SUMIFS('MCC - Calculations'!$L$13:$L$14,'MCC - Calculations'!$D$13:$D$14,'MCC - Calculations'!$E$19),"")</f>
        <v>0</v>
      </c>
    </row>
    <row r="98" spans="1:22">
      <c r="A98" s="12"/>
      <c r="D98" s="168"/>
      <c r="E98" s="176"/>
      <c r="F98" s="177"/>
      <c r="G98" s="177"/>
      <c r="H98" s="178" t="str">
        <f t="shared" ref="H98" si="273">IF(H97="Local", "Enter Value", "")</f>
        <v/>
      </c>
      <c r="I98" s="200"/>
      <c r="J98" s="178" t="str">
        <f t="shared" ref="J98" si="274">IF(J97="Local", "Enter Value", "")</f>
        <v/>
      </c>
      <c r="K98" s="200"/>
      <c r="L98" s="178" t="str">
        <f t="shared" ref="L98" si="275">IF(L97="Local", "Enter Value", "")</f>
        <v/>
      </c>
      <c r="M98" s="344"/>
      <c r="N98" s="178" t="str">
        <f t="shared" ref="N98" si="276">IF(N97="Local", "Enter Value", "")</f>
        <v/>
      </c>
      <c r="O98" s="344"/>
      <c r="P98" s="178" t="str">
        <f t="shared" ref="P98" si="277">IF(P97="Local", "Enter Value", "")</f>
        <v/>
      </c>
      <c r="Q98" s="200"/>
      <c r="R98" s="178" t="str">
        <f t="shared" ref="R98" si="278">IF(R97="Local", "Enter Value", "")</f>
        <v/>
      </c>
      <c r="S98" s="200"/>
      <c r="T98" s="168"/>
      <c r="U98" s="178" t="str">
        <f t="shared" ref="U98" si="279">IF(U97="Local", "Enter Value", "")</f>
        <v/>
      </c>
      <c r="V98" s="344"/>
    </row>
    <row r="99" spans="1:22">
      <c r="A99" s="12"/>
      <c r="D99" s="167">
        <v>42</v>
      </c>
      <c r="E99" s="316" t="s">
        <v>204</v>
      </c>
      <c r="F99" s="175"/>
      <c r="G99" s="175"/>
      <c r="H99" s="317" t="s">
        <v>200</v>
      </c>
      <c r="I99" s="84" t="str">
        <f>IF(H99="Default",'MCC - Calculations'!$G106,"")</f>
        <v/>
      </c>
      <c r="J99" s="317" t="s">
        <v>200</v>
      </c>
      <c r="K99" s="84" t="str">
        <f>IF(J99="Default",'MCC - Calculations'!$H106,"")</f>
        <v/>
      </c>
      <c r="L99" s="317" t="s">
        <v>200</v>
      </c>
      <c r="M99" s="84">
        <f>IF(L99="Default",SUMIFS('MCC - Calculations'!$H$13:$H$14,'MCC - Calculations'!$D$13:$D$14,'MCC - Calculations'!$E$19),"")</f>
        <v>0</v>
      </c>
      <c r="N99" s="317" t="s">
        <v>200</v>
      </c>
      <c r="O99" s="345">
        <f>IF(N99="Default",SUMIFS('MCC - Calculations'!$I$13:$I$14,'MCC - Calculations'!$D$13:$D$14,'MCC - Calculations'!$E$19),"")</f>
        <v>0</v>
      </c>
      <c r="P99" s="317" t="s">
        <v>200</v>
      </c>
      <c r="Q99" s="84">
        <f>IF(P99="Default",SUMIFS('MCC - Calculations'!$J$13:$J$14,'MCC - Calculations'!$D$13:$D$14,'MCC - Calculations'!$E$19),"")</f>
        <v>0</v>
      </c>
      <c r="R99" s="317" t="s">
        <v>200</v>
      </c>
      <c r="S99" s="84">
        <f>IF(R99="Default",SUMIFS('MCC - Calculations'!$K$13:$K$14,'MCC - Calculations'!$D$13:$D$14,'MCC - Calculations'!$E$19),"")</f>
        <v>0</v>
      </c>
      <c r="T99" s="346"/>
      <c r="U99" s="317" t="s">
        <v>200</v>
      </c>
      <c r="V99" s="84">
        <f>IF(U99="Default",SUMIFS('MCC - Calculations'!$L$13:$L$14,'MCC - Calculations'!$D$13:$D$14,'MCC - Calculations'!$E$19),"")</f>
        <v>0</v>
      </c>
    </row>
    <row r="100" spans="1:22">
      <c r="A100" s="12"/>
      <c r="D100" s="168"/>
      <c r="E100" s="176"/>
      <c r="F100" s="177"/>
      <c r="G100" s="177"/>
      <c r="H100" s="178" t="str">
        <f t="shared" ref="H100" si="280">IF(H99="Local", "Enter Value", "")</f>
        <v/>
      </c>
      <c r="I100" s="200"/>
      <c r="J100" s="178" t="str">
        <f t="shared" ref="J100" si="281">IF(J99="Local", "Enter Value", "")</f>
        <v/>
      </c>
      <c r="K100" s="200"/>
      <c r="L100" s="178" t="str">
        <f t="shared" ref="L100" si="282">IF(L99="Local", "Enter Value", "")</f>
        <v/>
      </c>
      <c r="M100" s="344"/>
      <c r="N100" s="178" t="str">
        <f t="shared" ref="N100" si="283">IF(N99="Local", "Enter Value", "")</f>
        <v/>
      </c>
      <c r="O100" s="344"/>
      <c r="P100" s="178" t="str">
        <f t="shared" ref="P100" si="284">IF(P99="Local", "Enter Value", "")</f>
        <v/>
      </c>
      <c r="Q100" s="200"/>
      <c r="R100" s="178" t="str">
        <f t="shared" ref="R100" si="285">IF(R99="Local", "Enter Value", "")</f>
        <v/>
      </c>
      <c r="S100" s="200"/>
      <c r="T100" s="168"/>
      <c r="U100" s="178" t="str">
        <f t="shared" ref="U100" si="286">IF(U99="Local", "Enter Value", "")</f>
        <v/>
      </c>
      <c r="V100" s="344"/>
    </row>
    <row r="101" spans="1:22">
      <c r="A101" s="12"/>
      <c r="D101" s="167">
        <v>43</v>
      </c>
      <c r="E101" s="316" t="s">
        <v>204</v>
      </c>
      <c r="F101" s="175"/>
      <c r="G101" s="175"/>
      <c r="H101" s="317" t="s">
        <v>200</v>
      </c>
      <c r="I101" s="84" t="str">
        <f>IF(H101="Default",'MCC - Calculations'!$G108,"")</f>
        <v/>
      </c>
      <c r="J101" s="317" t="s">
        <v>200</v>
      </c>
      <c r="K101" s="84" t="str">
        <f>IF(J101="Default",'MCC - Calculations'!$H108,"")</f>
        <v/>
      </c>
      <c r="L101" s="317" t="s">
        <v>200</v>
      </c>
      <c r="M101" s="84">
        <f>IF(L101="Default",SUMIFS('MCC - Calculations'!$H$13:$H$14,'MCC - Calculations'!$D$13:$D$14,'MCC - Calculations'!$E$19),"")</f>
        <v>0</v>
      </c>
      <c r="N101" s="317" t="s">
        <v>200</v>
      </c>
      <c r="O101" s="345">
        <f>IF(N101="Default",SUMIFS('MCC - Calculations'!$I$13:$I$14,'MCC - Calculations'!$D$13:$D$14,'MCC - Calculations'!$E$19),"")</f>
        <v>0</v>
      </c>
      <c r="P101" s="317" t="s">
        <v>200</v>
      </c>
      <c r="Q101" s="84">
        <f>IF(P101="Default",SUMIFS('MCC - Calculations'!$J$13:$J$14,'MCC - Calculations'!$D$13:$D$14,'MCC - Calculations'!$E$19),"")</f>
        <v>0</v>
      </c>
      <c r="R101" s="317" t="s">
        <v>200</v>
      </c>
      <c r="S101" s="84">
        <f>IF(R101="Default",SUMIFS('MCC - Calculations'!$K$13:$K$14,'MCC - Calculations'!$D$13:$D$14,'MCC - Calculations'!$E$19),"")</f>
        <v>0</v>
      </c>
      <c r="T101" s="346"/>
      <c r="U101" s="317" t="s">
        <v>200</v>
      </c>
      <c r="V101" s="84">
        <f>IF(U101="Default",SUMIFS('MCC - Calculations'!$L$13:$L$14,'MCC - Calculations'!$D$13:$D$14,'MCC - Calculations'!$E$19),"")</f>
        <v>0</v>
      </c>
    </row>
    <row r="102" spans="1:22">
      <c r="A102" s="12"/>
      <c r="D102" s="168"/>
      <c r="E102" s="176"/>
      <c r="F102" s="177"/>
      <c r="G102" s="177"/>
      <c r="H102" s="178" t="str">
        <f t="shared" ref="H102" si="287">IF(H101="Local", "Enter Value", "")</f>
        <v/>
      </c>
      <c r="I102" s="200"/>
      <c r="J102" s="178" t="str">
        <f t="shared" ref="J102" si="288">IF(J101="Local", "Enter Value", "")</f>
        <v/>
      </c>
      <c r="K102" s="200"/>
      <c r="L102" s="178" t="str">
        <f t="shared" ref="L102" si="289">IF(L101="Local", "Enter Value", "")</f>
        <v/>
      </c>
      <c r="M102" s="344"/>
      <c r="N102" s="178" t="str">
        <f t="shared" ref="N102" si="290">IF(N101="Local", "Enter Value", "")</f>
        <v/>
      </c>
      <c r="O102" s="344"/>
      <c r="P102" s="178" t="str">
        <f t="shared" ref="P102" si="291">IF(P101="Local", "Enter Value", "")</f>
        <v/>
      </c>
      <c r="Q102" s="200"/>
      <c r="R102" s="178" t="str">
        <f t="shared" ref="R102" si="292">IF(R101="Local", "Enter Value", "")</f>
        <v/>
      </c>
      <c r="S102" s="200"/>
      <c r="T102" s="168"/>
      <c r="U102" s="178" t="str">
        <f t="shared" ref="U102" si="293">IF(U101="Local", "Enter Value", "")</f>
        <v/>
      </c>
      <c r="V102" s="344"/>
    </row>
    <row r="103" spans="1:22">
      <c r="A103" s="12"/>
      <c r="D103" s="167">
        <v>44</v>
      </c>
      <c r="E103" s="316" t="s">
        <v>204</v>
      </c>
      <c r="F103" s="175"/>
      <c r="G103" s="175"/>
      <c r="H103" s="317" t="s">
        <v>200</v>
      </c>
      <c r="I103" s="84" t="str">
        <f>IF(H103="Default",'MCC - Calculations'!$G110,"")</f>
        <v/>
      </c>
      <c r="J103" s="317" t="s">
        <v>200</v>
      </c>
      <c r="K103" s="84" t="str">
        <f>IF(J103="Default",'MCC - Calculations'!$H110,"")</f>
        <v/>
      </c>
      <c r="L103" s="317" t="s">
        <v>200</v>
      </c>
      <c r="M103" s="84">
        <f>IF(L103="Default",SUMIFS('MCC - Calculations'!$H$13:$H$14,'MCC - Calculations'!$D$13:$D$14,'MCC - Calculations'!$E$19),"")</f>
        <v>0</v>
      </c>
      <c r="N103" s="317" t="s">
        <v>200</v>
      </c>
      <c r="O103" s="345">
        <f>IF(N103="Default",SUMIFS('MCC - Calculations'!$I$13:$I$14,'MCC - Calculations'!$D$13:$D$14,'MCC - Calculations'!$E$19),"")</f>
        <v>0</v>
      </c>
      <c r="P103" s="317" t="s">
        <v>200</v>
      </c>
      <c r="Q103" s="84">
        <f>IF(P103="Default",SUMIFS('MCC - Calculations'!$J$13:$J$14,'MCC - Calculations'!$D$13:$D$14,'MCC - Calculations'!$E$19),"")</f>
        <v>0</v>
      </c>
      <c r="R103" s="317" t="s">
        <v>200</v>
      </c>
      <c r="S103" s="84">
        <f>IF(R103="Default",SUMIFS('MCC - Calculations'!$K$13:$K$14,'MCC - Calculations'!$D$13:$D$14,'MCC - Calculations'!$E$19),"")</f>
        <v>0</v>
      </c>
      <c r="T103" s="346"/>
      <c r="U103" s="317" t="s">
        <v>200</v>
      </c>
      <c r="V103" s="84">
        <f>IF(U103="Default",SUMIFS('MCC - Calculations'!$L$13:$L$14,'MCC - Calculations'!$D$13:$D$14,'MCC - Calculations'!$E$19),"")</f>
        <v>0</v>
      </c>
    </row>
    <row r="104" spans="1:22">
      <c r="A104" s="12"/>
      <c r="D104" s="168"/>
      <c r="E104" s="176"/>
      <c r="F104" s="177"/>
      <c r="G104" s="177"/>
      <c r="H104" s="178" t="str">
        <f t="shared" ref="H104" si="294">IF(H103="Local", "Enter Value", "")</f>
        <v/>
      </c>
      <c r="I104" s="200"/>
      <c r="J104" s="178" t="str">
        <f t="shared" ref="J104" si="295">IF(J103="Local", "Enter Value", "")</f>
        <v/>
      </c>
      <c r="K104" s="200"/>
      <c r="L104" s="178" t="str">
        <f t="shared" ref="L104" si="296">IF(L103="Local", "Enter Value", "")</f>
        <v/>
      </c>
      <c r="M104" s="344"/>
      <c r="N104" s="178" t="str">
        <f t="shared" ref="N104" si="297">IF(N103="Local", "Enter Value", "")</f>
        <v/>
      </c>
      <c r="O104" s="344"/>
      <c r="P104" s="178" t="str">
        <f t="shared" ref="P104" si="298">IF(P103="Local", "Enter Value", "")</f>
        <v/>
      </c>
      <c r="Q104" s="200"/>
      <c r="R104" s="178" t="str">
        <f t="shared" ref="R104" si="299">IF(R103="Local", "Enter Value", "")</f>
        <v/>
      </c>
      <c r="S104" s="200"/>
      <c r="T104" s="168"/>
      <c r="U104" s="178" t="str">
        <f t="shared" ref="U104" si="300">IF(U103="Local", "Enter Value", "")</f>
        <v/>
      </c>
      <c r="V104" s="344"/>
    </row>
    <row r="105" spans="1:22">
      <c r="A105" s="12"/>
      <c r="D105" s="167">
        <v>45</v>
      </c>
      <c r="E105" s="316" t="s">
        <v>204</v>
      </c>
      <c r="F105" s="175"/>
      <c r="G105" s="175"/>
      <c r="H105" s="317" t="s">
        <v>200</v>
      </c>
      <c r="I105" s="84" t="str">
        <f>IF(H105="Default",'MCC - Calculations'!$G112,"")</f>
        <v/>
      </c>
      <c r="J105" s="317" t="s">
        <v>200</v>
      </c>
      <c r="K105" s="84" t="str">
        <f>IF(J105="Default",'MCC - Calculations'!$H112,"")</f>
        <v/>
      </c>
      <c r="L105" s="317" t="s">
        <v>200</v>
      </c>
      <c r="M105" s="84">
        <f>IF(L105="Default",SUMIFS('MCC - Calculations'!$H$13:$H$14,'MCC - Calculations'!$D$13:$D$14,'MCC - Calculations'!$E$19),"")</f>
        <v>0</v>
      </c>
      <c r="N105" s="317" t="s">
        <v>200</v>
      </c>
      <c r="O105" s="345">
        <f>IF(N105="Default",SUMIFS('MCC - Calculations'!$I$13:$I$14,'MCC - Calculations'!$D$13:$D$14,'MCC - Calculations'!$E$19),"")</f>
        <v>0</v>
      </c>
      <c r="P105" s="317" t="s">
        <v>200</v>
      </c>
      <c r="Q105" s="84">
        <f>IF(P105="Default",SUMIFS('MCC - Calculations'!$J$13:$J$14,'MCC - Calculations'!$D$13:$D$14,'MCC - Calculations'!$E$19),"")</f>
        <v>0</v>
      </c>
      <c r="R105" s="317" t="s">
        <v>200</v>
      </c>
      <c r="S105" s="84">
        <f>IF(R105="Default",SUMIFS('MCC - Calculations'!$K$13:$K$14,'MCC - Calculations'!$D$13:$D$14,'MCC - Calculations'!$E$19),"")</f>
        <v>0</v>
      </c>
      <c r="T105" s="346"/>
      <c r="U105" s="317" t="s">
        <v>200</v>
      </c>
      <c r="V105" s="84">
        <f>IF(U105="Default",SUMIFS('MCC - Calculations'!$L$13:$L$14,'MCC - Calculations'!$D$13:$D$14,'MCC - Calculations'!$E$19),"")</f>
        <v>0</v>
      </c>
    </row>
    <row r="106" spans="1:22">
      <c r="A106" s="12"/>
      <c r="D106" s="168"/>
      <c r="E106" s="176"/>
      <c r="F106" s="177"/>
      <c r="G106" s="177"/>
      <c r="H106" s="178" t="str">
        <f t="shared" ref="H106" si="301">IF(H105="Local", "Enter Value", "")</f>
        <v/>
      </c>
      <c r="I106" s="200"/>
      <c r="J106" s="178" t="str">
        <f t="shared" ref="J106" si="302">IF(J105="Local", "Enter Value", "")</f>
        <v/>
      </c>
      <c r="K106" s="200"/>
      <c r="L106" s="178" t="str">
        <f t="shared" ref="L106" si="303">IF(L105="Local", "Enter Value", "")</f>
        <v/>
      </c>
      <c r="M106" s="344"/>
      <c r="N106" s="178" t="str">
        <f t="shared" ref="N106" si="304">IF(N105="Local", "Enter Value", "")</f>
        <v/>
      </c>
      <c r="O106" s="344"/>
      <c r="P106" s="178" t="str">
        <f t="shared" ref="P106" si="305">IF(P105="Local", "Enter Value", "")</f>
        <v/>
      </c>
      <c r="Q106" s="200"/>
      <c r="R106" s="178" t="str">
        <f t="shared" ref="R106" si="306">IF(R105="Local", "Enter Value", "")</f>
        <v/>
      </c>
      <c r="S106" s="200"/>
      <c r="T106" s="168"/>
      <c r="U106" s="178" t="str">
        <f t="shared" ref="U106" si="307">IF(U105="Local", "Enter Value", "")</f>
        <v/>
      </c>
      <c r="V106" s="344"/>
    </row>
    <row r="107" spans="1:22">
      <c r="A107" s="12"/>
      <c r="D107" s="167">
        <v>46</v>
      </c>
      <c r="E107" s="316" t="s">
        <v>204</v>
      </c>
      <c r="F107" s="175"/>
      <c r="G107" s="175"/>
      <c r="H107" s="317" t="s">
        <v>200</v>
      </c>
      <c r="I107" s="84" t="str">
        <f>IF(H107="Default",'MCC - Calculations'!$G114,"")</f>
        <v/>
      </c>
      <c r="J107" s="317" t="s">
        <v>200</v>
      </c>
      <c r="K107" s="84" t="str">
        <f>IF(J107="Default",'MCC - Calculations'!$H114,"")</f>
        <v/>
      </c>
      <c r="L107" s="317" t="s">
        <v>200</v>
      </c>
      <c r="M107" s="84">
        <f>IF(L107="Default",SUMIFS('MCC - Calculations'!$H$13:$H$14,'MCC - Calculations'!$D$13:$D$14,'MCC - Calculations'!$E$19),"")</f>
        <v>0</v>
      </c>
      <c r="N107" s="317" t="s">
        <v>200</v>
      </c>
      <c r="O107" s="345">
        <f>IF(N107="Default",SUMIFS('MCC - Calculations'!$I$13:$I$14,'MCC - Calculations'!$D$13:$D$14,'MCC - Calculations'!$E$19),"")</f>
        <v>0</v>
      </c>
      <c r="P107" s="317" t="s">
        <v>200</v>
      </c>
      <c r="Q107" s="84">
        <f>IF(P107="Default",SUMIFS('MCC - Calculations'!$J$13:$J$14,'MCC - Calculations'!$D$13:$D$14,'MCC - Calculations'!$E$19),"")</f>
        <v>0</v>
      </c>
      <c r="R107" s="317" t="s">
        <v>200</v>
      </c>
      <c r="S107" s="84">
        <f>IF(R107="Default",SUMIFS('MCC - Calculations'!$K$13:$K$14,'MCC - Calculations'!$D$13:$D$14,'MCC - Calculations'!$E$19),"")</f>
        <v>0</v>
      </c>
      <c r="T107" s="346"/>
      <c r="U107" s="317" t="s">
        <v>200</v>
      </c>
      <c r="V107" s="84">
        <f>IF(U107="Default",SUMIFS('MCC - Calculations'!$L$13:$L$14,'MCC - Calculations'!$D$13:$D$14,'MCC - Calculations'!$E$19),"")</f>
        <v>0</v>
      </c>
    </row>
    <row r="108" spans="1:22">
      <c r="A108" s="12"/>
      <c r="D108" s="168"/>
      <c r="E108" s="176"/>
      <c r="F108" s="177"/>
      <c r="G108" s="177"/>
      <c r="H108" s="178" t="str">
        <f t="shared" ref="H108" si="308">IF(H107="Local", "Enter Value", "")</f>
        <v/>
      </c>
      <c r="I108" s="200"/>
      <c r="J108" s="178" t="str">
        <f t="shared" ref="J108" si="309">IF(J107="Local", "Enter Value", "")</f>
        <v/>
      </c>
      <c r="K108" s="200"/>
      <c r="L108" s="178" t="str">
        <f t="shared" ref="L108" si="310">IF(L107="Local", "Enter Value", "")</f>
        <v/>
      </c>
      <c r="M108" s="344"/>
      <c r="N108" s="178" t="str">
        <f t="shared" ref="N108" si="311">IF(N107="Local", "Enter Value", "")</f>
        <v/>
      </c>
      <c r="O108" s="344"/>
      <c r="P108" s="178" t="str">
        <f t="shared" ref="P108" si="312">IF(P107="Local", "Enter Value", "")</f>
        <v/>
      </c>
      <c r="Q108" s="200"/>
      <c r="R108" s="178" t="str">
        <f t="shared" ref="R108" si="313">IF(R107="Local", "Enter Value", "")</f>
        <v/>
      </c>
      <c r="S108" s="200"/>
      <c r="T108" s="168"/>
      <c r="U108" s="178" t="str">
        <f t="shared" ref="U108" si="314">IF(U107="Local", "Enter Value", "")</f>
        <v/>
      </c>
      <c r="V108" s="344"/>
    </row>
    <row r="109" spans="1:22">
      <c r="A109" s="12"/>
      <c r="D109" s="167">
        <v>47</v>
      </c>
      <c r="E109" s="316" t="s">
        <v>204</v>
      </c>
      <c r="F109" s="175"/>
      <c r="G109" s="175"/>
      <c r="H109" s="317" t="s">
        <v>200</v>
      </c>
      <c r="I109" s="84" t="str">
        <f>IF(H109="Default",'MCC - Calculations'!$G116,"")</f>
        <v/>
      </c>
      <c r="J109" s="317" t="s">
        <v>200</v>
      </c>
      <c r="K109" s="84" t="str">
        <f>IF(J109="Default",'MCC - Calculations'!$H116,"")</f>
        <v/>
      </c>
      <c r="L109" s="317" t="s">
        <v>200</v>
      </c>
      <c r="M109" s="84">
        <f>IF(L109="Default",SUMIFS('MCC - Calculations'!$H$13:$H$14,'MCC - Calculations'!$D$13:$D$14,'MCC - Calculations'!$E$19),"")</f>
        <v>0</v>
      </c>
      <c r="N109" s="317" t="s">
        <v>200</v>
      </c>
      <c r="O109" s="345">
        <f>IF(N109="Default",SUMIFS('MCC - Calculations'!$I$13:$I$14,'MCC - Calculations'!$D$13:$D$14,'MCC - Calculations'!$E$19),"")</f>
        <v>0</v>
      </c>
      <c r="P109" s="317" t="s">
        <v>200</v>
      </c>
      <c r="Q109" s="84">
        <f>IF(P109="Default",SUMIFS('MCC - Calculations'!$J$13:$J$14,'MCC - Calculations'!$D$13:$D$14,'MCC - Calculations'!$E$19),"")</f>
        <v>0</v>
      </c>
      <c r="R109" s="317" t="s">
        <v>200</v>
      </c>
      <c r="S109" s="84">
        <f>IF(R109="Default",SUMIFS('MCC - Calculations'!$K$13:$K$14,'MCC - Calculations'!$D$13:$D$14,'MCC - Calculations'!$E$19),"")</f>
        <v>0</v>
      </c>
      <c r="T109" s="346"/>
      <c r="U109" s="317" t="s">
        <v>200</v>
      </c>
      <c r="V109" s="84">
        <f>IF(U109="Default",SUMIFS('MCC - Calculations'!$L$13:$L$14,'MCC - Calculations'!$D$13:$D$14,'MCC - Calculations'!$E$19),"")</f>
        <v>0</v>
      </c>
    </row>
    <row r="110" spans="1:22">
      <c r="A110" s="12"/>
      <c r="D110" s="168"/>
      <c r="E110" s="176"/>
      <c r="F110" s="177"/>
      <c r="G110" s="177"/>
      <c r="H110" s="178" t="str">
        <f t="shared" ref="H110" si="315">IF(H109="Local", "Enter Value", "")</f>
        <v/>
      </c>
      <c r="I110" s="200"/>
      <c r="J110" s="178" t="str">
        <f t="shared" ref="J110" si="316">IF(J109="Local", "Enter Value", "")</f>
        <v/>
      </c>
      <c r="K110" s="200"/>
      <c r="L110" s="178" t="str">
        <f t="shared" ref="L110" si="317">IF(L109="Local", "Enter Value", "")</f>
        <v/>
      </c>
      <c r="M110" s="344"/>
      <c r="N110" s="178" t="str">
        <f t="shared" ref="N110" si="318">IF(N109="Local", "Enter Value", "")</f>
        <v/>
      </c>
      <c r="O110" s="344"/>
      <c r="P110" s="178" t="str">
        <f t="shared" ref="P110" si="319">IF(P109="Local", "Enter Value", "")</f>
        <v/>
      </c>
      <c r="Q110" s="200"/>
      <c r="R110" s="178" t="str">
        <f t="shared" ref="R110" si="320">IF(R109="Local", "Enter Value", "")</f>
        <v/>
      </c>
      <c r="S110" s="200"/>
      <c r="T110" s="168"/>
      <c r="U110" s="178" t="str">
        <f t="shared" ref="U110" si="321">IF(U109="Local", "Enter Value", "")</f>
        <v/>
      </c>
      <c r="V110" s="344"/>
    </row>
    <row r="111" spans="1:22">
      <c r="A111" s="12"/>
      <c r="D111" s="167">
        <v>48</v>
      </c>
      <c r="E111" s="316" t="s">
        <v>204</v>
      </c>
      <c r="F111" s="175"/>
      <c r="G111" s="175"/>
      <c r="H111" s="317" t="s">
        <v>200</v>
      </c>
      <c r="I111" s="84" t="str">
        <f>IF(H111="Default",'MCC - Calculations'!$G118,"")</f>
        <v/>
      </c>
      <c r="J111" s="317" t="s">
        <v>200</v>
      </c>
      <c r="K111" s="84" t="str">
        <f>IF(J111="Default",'MCC - Calculations'!$H118,"")</f>
        <v/>
      </c>
      <c r="L111" s="317" t="s">
        <v>200</v>
      </c>
      <c r="M111" s="84">
        <f>IF(L111="Default",SUMIFS('MCC - Calculations'!$H$13:$H$14,'MCC - Calculations'!$D$13:$D$14,'MCC - Calculations'!$E$19),"")</f>
        <v>0</v>
      </c>
      <c r="N111" s="317" t="s">
        <v>200</v>
      </c>
      <c r="O111" s="345">
        <f>IF(N111="Default",SUMIFS('MCC - Calculations'!$I$13:$I$14,'MCC - Calculations'!$D$13:$D$14,'MCC - Calculations'!$E$19),"")</f>
        <v>0</v>
      </c>
      <c r="P111" s="317" t="s">
        <v>200</v>
      </c>
      <c r="Q111" s="84">
        <f>IF(P111="Default",SUMIFS('MCC - Calculations'!$J$13:$J$14,'MCC - Calculations'!$D$13:$D$14,'MCC - Calculations'!$E$19),"")</f>
        <v>0</v>
      </c>
      <c r="R111" s="317" t="s">
        <v>200</v>
      </c>
      <c r="S111" s="84">
        <f>IF(R111="Default",SUMIFS('MCC - Calculations'!$K$13:$K$14,'MCC - Calculations'!$D$13:$D$14,'MCC - Calculations'!$E$19),"")</f>
        <v>0</v>
      </c>
      <c r="T111" s="346"/>
      <c r="U111" s="317" t="s">
        <v>200</v>
      </c>
      <c r="V111" s="84">
        <f>IF(U111="Default",SUMIFS('MCC - Calculations'!$L$13:$L$14,'MCC - Calculations'!$D$13:$D$14,'MCC - Calculations'!$E$19),"")</f>
        <v>0</v>
      </c>
    </row>
    <row r="112" spans="1:22">
      <c r="A112" s="12"/>
      <c r="D112" s="168"/>
      <c r="E112" s="176"/>
      <c r="F112" s="177"/>
      <c r="G112" s="177"/>
      <c r="H112" s="178" t="str">
        <f t="shared" ref="H112" si="322">IF(H111="Local", "Enter Value", "")</f>
        <v/>
      </c>
      <c r="I112" s="200"/>
      <c r="J112" s="178" t="str">
        <f t="shared" ref="J112" si="323">IF(J111="Local", "Enter Value", "")</f>
        <v/>
      </c>
      <c r="K112" s="200"/>
      <c r="L112" s="178" t="str">
        <f t="shared" ref="L112" si="324">IF(L111="Local", "Enter Value", "")</f>
        <v/>
      </c>
      <c r="M112" s="344"/>
      <c r="N112" s="178" t="str">
        <f t="shared" ref="N112" si="325">IF(N111="Local", "Enter Value", "")</f>
        <v/>
      </c>
      <c r="O112" s="344"/>
      <c r="P112" s="178" t="str">
        <f t="shared" ref="P112" si="326">IF(P111="Local", "Enter Value", "")</f>
        <v/>
      </c>
      <c r="Q112" s="200"/>
      <c r="R112" s="178" t="str">
        <f t="shared" ref="R112" si="327">IF(R111="Local", "Enter Value", "")</f>
        <v/>
      </c>
      <c r="S112" s="200"/>
      <c r="T112" s="168"/>
      <c r="U112" s="178" t="str">
        <f t="shared" ref="U112" si="328">IF(U111="Local", "Enter Value", "")</f>
        <v/>
      </c>
      <c r="V112" s="344"/>
    </row>
    <row r="113" spans="1:25">
      <c r="A113" s="12"/>
      <c r="D113" s="167">
        <v>49</v>
      </c>
      <c r="E113" s="316" t="s">
        <v>204</v>
      </c>
      <c r="F113" s="175"/>
      <c r="G113" s="175"/>
      <c r="H113" s="317" t="s">
        <v>200</v>
      </c>
      <c r="I113" s="84" t="str">
        <f>IF(H113="Default",'MCC - Calculations'!$G120,"")</f>
        <v/>
      </c>
      <c r="J113" s="317" t="s">
        <v>200</v>
      </c>
      <c r="K113" s="84" t="str">
        <f>IF(J113="Default",'MCC - Calculations'!$H120,"")</f>
        <v/>
      </c>
      <c r="L113" s="317" t="s">
        <v>200</v>
      </c>
      <c r="M113" s="84">
        <f>IF(L113="Default",SUMIFS('MCC - Calculations'!$H$13:$H$14,'MCC - Calculations'!$D$13:$D$14,'MCC - Calculations'!$E$19),"")</f>
        <v>0</v>
      </c>
      <c r="N113" s="317" t="s">
        <v>200</v>
      </c>
      <c r="O113" s="345">
        <f>IF(N113="Default",SUMIFS('MCC - Calculations'!$I$13:$I$14,'MCC - Calculations'!$D$13:$D$14,'MCC - Calculations'!$E$19),"")</f>
        <v>0</v>
      </c>
      <c r="P113" s="317" t="s">
        <v>200</v>
      </c>
      <c r="Q113" s="84">
        <f>IF(P113="Default",SUMIFS('MCC - Calculations'!$J$13:$J$14,'MCC - Calculations'!$D$13:$D$14,'MCC - Calculations'!$E$19),"")</f>
        <v>0</v>
      </c>
      <c r="R113" s="317" t="s">
        <v>200</v>
      </c>
      <c r="S113" s="84">
        <f>IF(R113="Default",SUMIFS('MCC - Calculations'!$K$13:$K$14,'MCC - Calculations'!$D$13:$D$14,'MCC - Calculations'!$E$19),"")</f>
        <v>0</v>
      </c>
      <c r="T113" s="346"/>
      <c r="U113" s="317" t="s">
        <v>200</v>
      </c>
      <c r="V113" s="84">
        <f>IF(U113="Default",SUMIFS('MCC - Calculations'!$L$13:$L$14,'MCC - Calculations'!$D$13:$D$14,'MCC - Calculations'!$E$19),"")</f>
        <v>0</v>
      </c>
    </row>
    <row r="114" spans="1:25">
      <c r="A114" s="12"/>
      <c r="D114" s="168"/>
      <c r="E114" s="176"/>
      <c r="F114" s="177"/>
      <c r="G114" s="177"/>
      <c r="H114" s="178" t="str">
        <f t="shared" ref="H114" si="329">IF(H113="Local", "Enter Value", "")</f>
        <v/>
      </c>
      <c r="I114" s="200"/>
      <c r="J114" s="178" t="str">
        <f t="shared" ref="J114" si="330">IF(J113="Local", "Enter Value", "")</f>
        <v/>
      </c>
      <c r="K114" s="200"/>
      <c r="L114" s="178" t="str">
        <f t="shared" ref="L114" si="331">IF(L113="Local", "Enter Value", "")</f>
        <v/>
      </c>
      <c r="M114" s="344"/>
      <c r="N114" s="178" t="str">
        <f t="shared" ref="N114" si="332">IF(N113="Local", "Enter Value", "")</f>
        <v/>
      </c>
      <c r="O114" s="344"/>
      <c r="P114" s="178" t="str">
        <f t="shared" ref="P114" si="333">IF(P113="Local", "Enter Value", "")</f>
        <v/>
      </c>
      <c r="Q114" s="200"/>
      <c r="R114" s="178" t="str">
        <f t="shared" ref="R114" si="334">IF(R113="Local", "Enter Value", "")</f>
        <v/>
      </c>
      <c r="S114" s="200"/>
      <c r="T114" s="168"/>
      <c r="U114" s="178" t="str">
        <f t="shared" ref="U114" si="335">IF(U113="Local", "Enter Value", "")</f>
        <v/>
      </c>
      <c r="V114" s="344"/>
    </row>
    <row r="115" spans="1:25">
      <c r="A115" s="12"/>
      <c r="D115" s="167">
        <v>50</v>
      </c>
      <c r="E115" s="316" t="s">
        <v>204</v>
      </c>
      <c r="F115" s="175"/>
      <c r="G115" s="175"/>
      <c r="H115" s="317" t="s">
        <v>200</v>
      </c>
      <c r="I115" s="84" t="str">
        <f>IF(H115="Default",'MCC - Calculations'!$G122,"")</f>
        <v/>
      </c>
      <c r="J115" s="317" t="s">
        <v>200</v>
      </c>
      <c r="K115" s="84" t="str">
        <f>IF(J115="Default",'MCC - Calculations'!$H122,"")</f>
        <v/>
      </c>
      <c r="L115" s="317" t="s">
        <v>200</v>
      </c>
      <c r="M115" s="84">
        <f>IF(L115="Default",SUMIFS('MCC - Calculations'!$H$13:$H$14,'MCC - Calculations'!$D$13:$D$14,'MCC - Calculations'!$E$19),"")</f>
        <v>0</v>
      </c>
      <c r="N115" s="317" t="s">
        <v>200</v>
      </c>
      <c r="O115" s="345">
        <f>IF(N115="Default",SUMIFS('MCC - Calculations'!$I$13:$I$14,'MCC - Calculations'!$D$13:$D$14,'MCC - Calculations'!$E$19),"")</f>
        <v>0</v>
      </c>
      <c r="P115" s="317" t="s">
        <v>200</v>
      </c>
      <c r="Q115" s="84">
        <f>IF(P115="Default",SUMIFS('MCC - Calculations'!$J$13:$J$14,'MCC - Calculations'!$D$13:$D$14,'MCC - Calculations'!$E$19),"")</f>
        <v>0</v>
      </c>
      <c r="R115" s="317" t="s">
        <v>200</v>
      </c>
      <c r="S115" s="84">
        <f>IF(R115="Default",SUMIFS('MCC - Calculations'!$K$13:$K$14,'MCC - Calculations'!$D$13:$D$14,'MCC - Calculations'!$E$19),"")</f>
        <v>0</v>
      </c>
      <c r="T115" s="346"/>
      <c r="U115" s="317" t="s">
        <v>200</v>
      </c>
      <c r="V115" s="84">
        <f>IF(U115="Default",SUMIFS('MCC - Calculations'!$L$13:$L$14,'MCC - Calculations'!$D$13:$D$14,'MCC - Calculations'!$E$19),"")</f>
        <v>0</v>
      </c>
    </row>
    <row r="116" spans="1:25">
      <c r="A116" s="12"/>
      <c r="D116" s="168"/>
      <c r="E116" s="176"/>
      <c r="F116" s="177"/>
      <c r="G116" s="177"/>
      <c r="H116" s="178" t="str">
        <f t="shared" ref="H116" si="336">IF(H115="Local", "Enter Value", "")</f>
        <v/>
      </c>
      <c r="I116" s="200"/>
      <c r="J116" s="178" t="str">
        <f t="shared" ref="J116" si="337">IF(J115="Local", "Enter Value", "")</f>
        <v/>
      </c>
      <c r="K116" s="200"/>
      <c r="L116" s="178" t="str">
        <f t="shared" ref="L116" si="338">IF(L115="Local", "Enter Value", "")</f>
        <v/>
      </c>
      <c r="M116" s="344"/>
      <c r="N116" s="178" t="str">
        <f t="shared" ref="N116" si="339">IF(N115="Local", "Enter Value", "")</f>
        <v/>
      </c>
      <c r="O116" s="344"/>
      <c r="P116" s="178" t="str">
        <f t="shared" ref="P116" si="340">IF(P115="Local", "Enter Value", "")</f>
        <v/>
      </c>
      <c r="Q116" s="200"/>
      <c r="R116" s="178" t="str">
        <f t="shared" ref="R116" si="341">IF(R115="Local", "Enter Value", "")</f>
        <v/>
      </c>
      <c r="S116" s="200"/>
      <c r="T116" s="168"/>
      <c r="U116" s="178" t="str">
        <f t="shared" ref="U116" si="342">IF(U115="Local", "Enter Value", "")</f>
        <v/>
      </c>
      <c r="V116" s="344"/>
    </row>
    <row r="117" spans="1:25">
      <c r="A117" s="10"/>
      <c r="C117" s="10"/>
      <c r="D117" s="10"/>
      <c r="E117" s="10"/>
      <c r="F117" s="10"/>
      <c r="U117" s="10"/>
    </row>
    <row r="118" spans="1:25">
      <c r="A118" s="43"/>
      <c r="B118" s="31"/>
      <c r="C118" s="31"/>
      <c r="D118" s="44"/>
      <c r="E118" s="45" t="s">
        <v>23</v>
      </c>
      <c r="F118" s="39"/>
      <c r="G118" s="39"/>
      <c r="H118" s="39"/>
      <c r="I118" s="39"/>
      <c r="J118" s="39"/>
      <c r="K118" s="39"/>
      <c r="L118" s="39"/>
      <c r="M118" s="39"/>
      <c r="N118" s="39"/>
      <c r="O118" s="39"/>
      <c r="P118" s="39"/>
      <c r="Q118" s="39"/>
      <c r="R118" s="39"/>
      <c r="S118" s="39"/>
      <c r="T118" s="31"/>
      <c r="U118" s="31"/>
      <c r="V118" s="31"/>
      <c r="W118" s="31"/>
      <c r="X118" s="31"/>
      <c r="Y118" s="31"/>
    </row>
  </sheetData>
  <conditionalFormatting sqref="D17:V116">
    <cfRule type="expression" dxfId="33" priority="1">
      <formula>$D$14="Method not in use"</formula>
    </cfRule>
  </conditionalFormatting>
  <conditionalFormatting sqref="F17:V17">
    <cfRule type="expression" dxfId="32" priority="21">
      <formula>$E17="No"</formula>
    </cfRule>
  </conditionalFormatting>
  <conditionalFormatting sqref="F18:V18">
    <cfRule type="expression" dxfId="31" priority="17">
      <formula>$E17="No"</formula>
    </cfRule>
  </conditionalFormatting>
  <conditionalFormatting sqref="F19:V19 F21:V21 F23:V23 F25:V25 F27:V27 F29:V29 F31:V31 F33:V33 F35:V35 F37:V37 F39:V39 F41:V41 F43:V43 F45:V45 F47:V47 F49:V49 F51:V51 F53:V53 F55:V55 F57:V57 F59:V59 F61:V61 F63:V63 F65:V65 F67:V67 F69:V69 F71:V71 F73:V73 F75:V75 F77:V77 F79:V79 F81:V81 F83:V83 F85:V85 F87:V87 F89:V89 F91:V91 F93:V93 F95:V95 F97:V97 F99:V99 F101:V101 F103:V103 F105:V105 F107:V107 F109:V109 F111:V111 F113:V113 F115:V115">
    <cfRule type="expression" dxfId="30" priority="3">
      <formula>$E19="No"</formula>
    </cfRule>
  </conditionalFormatting>
  <conditionalFormatting sqref="F20:V20 F22:V22 F24:V24 F26:V26 F28:V28 F30:V30 F32:V32 F34:V34 F36:V36 F38:V38 F40:V40 F42:V42 F44:V44 F46:V46 F48:V48 F50:V50 F52:V52 F54:V54 F56:V56 F58:V58 F60:V60 F62:V62 F64:V64 F66:V66 F68:V68 F70:V70 F72:V72 F74:V74 F76:V76 F78:V78 F80:V80 F82:V82 F84:V84 F86:V86 F88:V88 F90:V90 F92:V92 F94:V94 F96:V96 F98:V98 F100:V100 F102:V102 F104:V104 F106:V106 F108:V108 F110:V110 F112:V112 F114:V114 F116:V116">
    <cfRule type="expression" dxfId="29" priority="2">
      <formula>$E19="No"</formula>
    </cfRule>
  </conditionalFormatting>
  <conditionalFormatting sqref="I17">
    <cfRule type="expression" dxfId="28" priority="108">
      <formula>H17="Local"</formula>
    </cfRule>
  </conditionalFormatting>
  <conditionalFormatting sqref="I18">
    <cfRule type="expression" dxfId="27" priority="173">
      <formula>H17="Default"</formula>
    </cfRule>
  </conditionalFormatting>
  <conditionalFormatting sqref="I19 I21 I23 I25 I27 I29 I31 I33 I35 I37 I39 I41 I43 I45 I47 I49 I51 I53 I55 I57 I59 I61 I63 I65 I67 I69 I71 I73 I75 I77 I79 I81 I83 I85 I87 I89 I91 I93 I95 I97 I99 I101 I103 I105 I107 I109 I111 I113 I115">
    <cfRule type="expression" dxfId="26" priority="9">
      <formula>H19="Local"</formula>
    </cfRule>
  </conditionalFormatting>
  <conditionalFormatting sqref="I20 I22 I24 I26 I28 I30 I32 I34 I36 I38 I40 I42 I44 I46 I48 I50 I52 I54 I56 I58 I60 I62 I64 I66 I68 I70 I72 I74 I76 I78 I80 I82 I84 I86 I88 I90 I92 I94 I96 I98 I100 I102 I104 I106 I108 I110 I112 I114 I116">
    <cfRule type="expression" dxfId="25" priority="16">
      <formula>H19="Default"</formula>
    </cfRule>
  </conditionalFormatting>
  <conditionalFormatting sqref="K17">
    <cfRule type="expression" dxfId="24" priority="107">
      <formula>J17="Local"</formula>
    </cfRule>
  </conditionalFormatting>
  <conditionalFormatting sqref="K18">
    <cfRule type="expression" dxfId="23" priority="103">
      <formula>J17="Default"</formula>
    </cfRule>
  </conditionalFormatting>
  <conditionalFormatting sqref="K19 K21 K23 K25 K27 K29 K31 K33 K35 K37 K39 K41 K43 K45 K47 K49 K51 K53 K55 K57 K59 K61 K63 K65 K67 K69 K71 K73 K75 K77 K79 K81 K83 K85 K87 K89 K91 K93 K95 K97 K99 K101 K103 K105 K107 K109 K111 K113 K115">
    <cfRule type="expression" dxfId="22" priority="8">
      <formula>J19="Local"</formula>
    </cfRule>
  </conditionalFormatting>
  <conditionalFormatting sqref="K20 K22 K24 K26 K28 K30 K32 K34 K36 K38 K40 K42 K44 K46 K48 K50 K52 K54 K56 K58 K60 K62 K64 K66 K68 K70 K72 K74 K76 K78 K80 K82 K84 K86 K88 K90 K92 K94 K96 K98 K100 K102 K104 K106 K108 K110 K112 K114 K116">
    <cfRule type="expression" dxfId="21" priority="4">
      <formula>J19="Default"</formula>
    </cfRule>
  </conditionalFormatting>
  <conditionalFormatting sqref="M17">
    <cfRule type="expression" dxfId="20" priority="106">
      <formula>L17="Local"</formula>
    </cfRule>
  </conditionalFormatting>
  <conditionalFormatting sqref="M18">
    <cfRule type="expression" dxfId="19" priority="171">
      <formula>L17="Default"</formula>
    </cfRule>
  </conditionalFormatting>
  <conditionalFormatting sqref="M19 M21 M23 M25 M27 M29 M31 M33 M35 M37 M39 M41 M43 M45 M47 M49 M51 M53 M55 M57 M59 M61 M63 M65 M67 M69 M71 M73 M75 M77 M79 M81 M83 M85 M87 M89 M91 M93 M95 M97 M99 M101 M103 M105 M107 M109 M111 M113 M115">
    <cfRule type="expression" dxfId="18" priority="7">
      <formula>L19="Local"</formula>
    </cfRule>
  </conditionalFormatting>
  <conditionalFormatting sqref="M20 M22 M24 M26 M28 M30 M32 M34 M36 M38 M40 M42 M44 M46 M48 M50 M52 M54 M56 M58 M60 M62 M64 M66 M68 M70 M72 M74 M76 M78 M80 M82 M84 M86 M88 M90 M92 M94 M96 M98 M100 M102 M104 M106 M108 M110 M112 M114 M116">
    <cfRule type="expression" dxfId="17" priority="14">
      <formula>L19="Default"</formula>
    </cfRule>
  </conditionalFormatting>
  <conditionalFormatting sqref="O17">
    <cfRule type="expression" dxfId="16" priority="105">
      <formula>N17="Local"</formula>
    </cfRule>
  </conditionalFormatting>
  <conditionalFormatting sqref="O18">
    <cfRule type="expression" dxfId="15" priority="170">
      <formula>N17="Default"</formula>
    </cfRule>
  </conditionalFormatting>
  <conditionalFormatting sqref="O19 O21 O23 O25 O27 O29 O31 O33 O35 O37 O39 O41 O43 O45 O47 O49 O51 O53 O55 O57 O59 O61 O63 O65 O67 O69 O71 O73 O75 O77 O79 O81 O83 O85 O87 O89 O91 O93 O95 O97 O99 O101 O103 O105 O107 O109 O111 O113 O115">
    <cfRule type="expression" dxfId="14" priority="6">
      <formula>N19="Local"</formula>
    </cfRule>
  </conditionalFormatting>
  <conditionalFormatting sqref="O20 O22 O24 O26 O28 O30 O32 O34 O36 O38 O40 O42 O44 O46 O48 O50 O52 O54 O56 O58 O60 O62 O64 O66 O68 O70 O72 O74 O76 O78 O80 O82 O84 O86 O88 O90 O92 O94 O96 O98 O100 O102 O104 O106 O108 O110 O112 O114 O116">
    <cfRule type="expression" dxfId="13" priority="13">
      <formula>N19="Default"</formula>
    </cfRule>
  </conditionalFormatting>
  <conditionalFormatting sqref="Q17 S17">
    <cfRule type="expression" dxfId="12" priority="104">
      <formula>P17="Local"</formula>
    </cfRule>
  </conditionalFormatting>
  <conditionalFormatting sqref="Q18">
    <cfRule type="expression" dxfId="11" priority="169">
      <formula>P17="Default"</formula>
    </cfRule>
  </conditionalFormatting>
  <conditionalFormatting sqref="Q19 S19 Q21 S21 Q23 S23 Q25 S25 Q27 S27 Q29 S29 Q31 S31 Q33 S33 Q35 S35 Q37 S37 Q39 S39 Q41 S41 Q43 S43 Q45 S45 Q47 S47 Q49 S49 Q51 S51 Q53 S53 Q55 S55 Q57 S57 Q59 S59 Q61 S61 Q63 S63 Q65 S65 Q67 S67 Q69 S69 Q71 S71 Q73 S73 Q75 S75 Q77 S77 Q79 S79 Q81 S81 Q83 S83 Q85 S85 Q87 S87 Q89 S89 Q91 S91 Q93 S93 Q95 S95 Q97 S97 Q99 S99 Q101 S101 Q103 S103 Q105 S105 Q107 S107 Q109 S109 Q111 S111 Q113 S113 Q115 S115">
    <cfRule type="expression" dxfId="10" priority="5">
      <formula>P19="Local"</formula>
    </cfRule>
  </conditionalFormatting>
  <conditionalFormatting sqref="Q20 Q22 Q24 Q26 Q28 Q30 Q32 Q34 Q36 Q38 Q40 Q42 Q44 Q46 Q48 Q50 Q52 Q54 Q56 Q58 Q60 Q62 Q64 Q66 Q68 Q70 Q72 Q74 Q76 Q78 Q80 Q82 Q84 Q86 Q88 Q90 Q92 Q94 Q96 Q98 Q100 Q102 Q104 Q106 Q108 Q110 Q112 Q114 Q116">
    <cfRule type="expression" dxfId="9" priority="12">
      <formula>P19="Default"</formula>
    </cfRule>
  </conditionalFormatting>
  <conditionalFormatting sqref="S18">
    <cfRule type="expression" dxfId="8" priority="168">
      <formula>R17="Default"</formula>
    </cfRule>
  </conditionalFormatting>
  <conditionalFormatting sqref="S20 S22 S24 S26 S28 S30 S32 S34 S36 S38 S40 S42 S44 S46 S48 S50 S52 S54 S56 S58 S60 S62 S64 S66 S68 S70 S72 S74 S76 S78 S80 S82 S84 S86 S88 S90 S92 S94 S96 S98 S100 S102 S104 S106 S108 S110 S112 S114 S116">
    <cfRule type="expression" dxfId="7" priority="11">
      <formula>R19="Default"</formula>
    </cfRule>
  </conditionalFormatting>
  <conditionalFormatting sqref="V18">
    <cfRule type="expression" dxfId="6" priority="167">
      <formula>U17="Default"</formula>
    </cfRule>
  </conditionalFormatting>
  <conditionalFormatting sqref="V20 V22 V24 V26 V28 V30 V32 V34 V36 V38 V40 V42 V44 V46 V48 V50 V52 V54 V56 V58 V60 V62 V64 V66 V68 V70 V72 V74 V76 V78 V80 V82 V84 V86 V88 V90 V92 V94 V96 V98 V100 V102 V104 V106 V108 V110 V112 V114 V116">
    <cfRule type="expression" dxfId="5" priority="10">
      <formula>U19="Default"</formula>
    </cfRule>
  </conditionalFormatting>
  <dataValidations count="1">
    <dataValidation type="decimal" allowBlank="1" showInputMessage="1" showErrorMessage="1" sqref="V17:V116" xr:uid="{CF6B839E-F6AB-45E2-BFFD-FF8715BE25AE}">
      <formula1>0</formula1>
      <formula2>1</formula2>
    </dataValidation>
  </dataValidations>
  <hyperlinks>
    <hyperlink ref="E14" location="Instructions!B62" display="3a" xr:uid="{39A9F784-D5B1-454A-A308-03707FC7D547}"/>
    <hyperlink ref="F14" location="Instructions!B63" display="3b" xr:uid="{E21A82FF-0904-4B08-9212-8616FBBA2CE9}"/>
    <hyperlink ref="G14" location="Instructions!B64" display="3c" xr:uid="{6E519F1F-C26C-4F4F-9B75-397FCBB07FA6}"/>
    <hyperlink ref="H14" location="Instructions!B65" display="3d" xr:uid="{9E00E538-8E45-4EBD-AD42-CA61237552B2}"/>
    <hyperlink ref="J14" location="Instructions!B66" display="3e" xr:uid="{3519E6BB-5575-48A0-B3E0-2ABEB246DC84}"/>
    <hyperlink ref="L14" location="Instructions!B67" display="3f" xr:uid="{F9DE30F0-EA33-4678-8BFD-2E625AC5DF5D}"/>
    <hyperlink ref="N14" location="Instructions!B68" display="3g" xr:uid="{19C5D372-7728-47C3-93F7-83FCF58A825B}"/>
    <hyperlink ref="P14" location="Instructions!B69" display="3h" xr:uid="{AF79CAEA-3B22-46B0-B0C1-6C3259455846}"/>
    <hyperlink ref="R14" location="Instructions!B70" display="3i" xr:uid="{E324A278-E812-42C7-B516-54880798A195}"/>
    <hyperlink ref="T14" location="Instructions!B71" display="3j" xr:uid="{5EE91BAB-B40D-471F-9773-FAFDE0F2BBB1}"/>
    <hyperlink ref="U14" location="Instructions!B72" display="3k" xr:uid="{41D65493-CEC2-4FD7-AF3D-0BC59A676364}"/>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35EBA16-DCC1-49AF-9F2C-1EFDD27CD41A}">
          <x14:formula1>
            <xm:f>Lists!$D$21:$D$22</xm:f>
          </x14:formula1>
          <xm:sqref>H17 R17 J17 L17 N17 P17 U17 H19 H21 H23 H25 H27 H29 H31 H33 H35 H37 H39 H41 H43 H45 H47 H49 H51 H53 H55 H57 H59 H61 H63 H65 H67 H69 H71 H73 H75 H77 H79 H81 H83 H85 H87 H89 H91 H93 H95 H97 H99 H101 H103 H105 H107 H109 H111 H113 H115 R19 R21 R23 R25 R27 R29 R31 R33 R35 R37 R39 R41 R43 R45 R47 R49 R51 R53 R55 R57 R59 R61 R63 R65 R67 R69 R71 R73 R75 R77 R79 R81 R83 R85 R87 R89 R91 R93 R95 R97 R99 R101 R103 R105 R107 R109 R111 R113 R115 J19 J21 J23 J25 J27 J29 J31 J33 J35 J37 J39 J41 J43 J45 J47 J49 J51 J53 J55 J57 J59 J61 J63 J65 J67 J69 J71 J73 J75 J77 J79 J81 J83 J85 J87 J89 J91 J93 J95 J97 J99 J101 J103 J105 J107 J109 J111 J113 J115 L19 L21 L23 L25 L27 L29 L31 L33 L35 L37 L39 L41 L43 L45 L47 L49 L51 L53 L55 L57 L59 L61 L63 L65 L67 L69 L71 L73 L75 L77 L79 L81 L83 L85 L87 L89 L91 L93 L95 L97 L99 L101 L103 L105 L107 L109 L111 L113 L115 N19 N21 N23 N25 N27 N29 N31 N33 N35 N37 N39 N41 N43 N45 N47 N49 N51 N53 N55 N57 N59 N61 N63 N65 N67 N69 N71 N73 N75 N77 N79 N81 N83 N85 N87 N89 N91 N93 N95 N97 N99 N101 N103 N105 N107 N109 N111 N113 N115 P19 P21 P23 P25 P27 P29 P31 P33 P35 P37 P39 P41 P43 P45 P47 P49 P51 P53 P55 P57 P59 P61 P63 P65 P67 P69 P71 P73 P75 P77 P79 P81 P83 P85 P87 P89 P91 P93 P95 P97 P99 P101 P103 P105 P107 P109 P111 P113 P115 U19 U21 U23 U25 U27 U29 U31 U33 U35 U37 U39 U41 U43 U45 U47 U49 U51 U53 U55 U57 U59 U61 U63 U65 U67 U69 U71 U73 U75 U77 U79 U81 U83 U85 U87 U89 U91 U93 U95 U97 U99 U101 U103 U105 U107 U109 U111 U113 U115</xm:sqref>
        </x14:dataValidation>
        <x14:dataValidation type="list" allowBlank="1" showInputMessage="1" showErrorMessage="1" xr:uid="{BDF0A9E8-8B67-453B-A8E8-297877D17B92}">
          <x14:formula1>
            <xm:f>Lists!$D$25:$D$26</xm:f>
          </x14:formula1>
          <xm:sqref>E17 E19 E33 E31 E29 E27 E25 E23 E21 E35 E37 E39 E41 E43 E45 E47 E49 E51 E53 E55 E57 E59 E61 E63 E65 E67 E69 E71 E73 E75 E77 E79 E81 E83 E85 E87 E89 E91 E93 E95 E97 E99 E101 E103 E105 E107 E109 E111 E113 E115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59788-C908-4E49-8F1C-229776204113}">
  <sheetPr codeName="Sheet9">
    <tabColor theme="5" tint="0.79998168889431442"/>
  </sheetPr>
  <dimension ref="A1:Y118"/>
  <sheetViews>
    <sheetView showGridLines="0" tabSelected="1" topLeftCell="E19" workbookViewId="0">
      <selection activeCell="M34" sqref="M34"/>
    </sheetView>
  </sheetViews>
  <sheetFormatPr defaultRowHeight="15.6"/>
  <cols>
    <col min="1" max="1" width="6.85546875" style="6" customWidth="1"/>
    <col min="2" max="2" width="1.5703125" style="7" customWidth="1"/>
    <col min="3" max="3" width="1.28515625" style="7" customWidth="1"/>
    <col min="4" max="4" width="23.7109375" style="7" customWidth="1"/>
    <col min="5" max="5" width="32.28515625" bestFit="1" customWidth="1"/>
    <col min="6" max="7" width="18.5703125" customWidth="1"/>
    <col min="8" max="8" width="1.42578125" customWidth="1"/>
    <col min="9" max="9" width="32.28515625" bestFit="1" customWidth="1"/>
    <col min="10" max="10" width="20.85546875" bestFit="1" customWidth="1"/>
    <col min="11" max="11" width="18.5703125" customWidth="1"/>
  </cols>
  <sheetData>
    <row r="1" spans="1:25" s="10" customFormat="1" ht="26.1">
      <c r="A1" s="34" t="s">
        <v>124</v>
      </c>
      <c r="B1" s="35"/>
      <c r="C1" s="35"/>
      <c r="D1" s="36"/>
      <c r="E1" s="38"/>
      <c r="F1" s="9"/>
      <c r="T1" s="7"/>
    </row>
    <row r="2" spans="1:25" s="10" customFormat="1" ht="18.95" customHeight="1">
      <c r="A2" s="37" t="s">
        <v>262</v>
      </c>
      <c r="B2" s="35"/>
      <c r="C2" s="35"/>
      <c r="D2" s="36"/>
      <c r="E2" s="38"/>
      <c r="F2" s="9"/>
      <c r="T2" s="7"/>
    </row>
    <row r="3" spans="1:25" s="10" customFormat="1">
      <c r="A3" s="6"/>
      <c r="B3" s="7"/>
      <c r="C3" s="7"/>
      <c r="D3" s="8"/>
      <c r="E3" s="9"/>
      <c r="F3" s="9"/>
      <c r="T3" s="7"/>
    </row>
    <row r="4" spans="1:25" s="10" customFormat="1">
      <c r="A4" s="43"/>
      <c r="B4" s="31"/>
      <c r="C4" s="31"/>
      <c r="D4" s="44" t="s">
        <v>227</v>
      </c>
      <c r="E4" s="38"/>
      <c r="F4" s="39"/>
      <c r="G4" s="39"/>
      <c r="H4" s="39"/>
      <c r="I4" s="39"/>
      <c r="J4" s="39"/>
      <c r="K4" s="39"/>
      <c r="L4" s="39"/>
      <c r="M4" s="39"/>
      <c r="N4" s="39"/>
      <c r="O4" s="39"/>
      <c r="P4" s="39"/>
      <c r="Q4" s="39"/>
      <c r="R4" s="39"/>
      <c r="S4" s="39"/>
      <c r="T4" s="31"/>
      <c r="U4" s="11"/>
      <c r="V4" s="11"/>
      <c r="W4" s="11"/>
      <c r="X4" s="11"/>
      <c r="Y4" s="11"/>
    </row>
    <row r="5" spans="1:25" s="10" customFormat="1">
      <c r="A5" s="6"/>
      <c r="B5" s="7"/>
      <c r="C5" s="7"/>
      <c r="D5" s="7"/>
      <c r="E5" s="8"/>
      <c r="F5" s="8"/>
      <c r="U5" s="7"/>
    </row>
    <row r="6" spans="1:25" s="10" customFormat="1">
      <c r="A6" s="6"/>
      <c r="B6" s="7"/>
      <c r="C6" s="7"/>
      <c r="D6" s="326" t="str" cm="1">
        <f t="array" aca="1" ref="D6" ca="1">HYPERLINK("#"&amp;CELL("address",Instructions),"Instructions")</f>
        <v>Instructions</v>
      </c>
      <c r="E6" s="8"/>
      <c r="F6" s="8"/>
      <c r="U6" s="7"/>
    </row>
    <row r="7" spans="1:25" s="10" customFormat="1">
      <c r="A7" s="6"/>
      <c r="B7" s="7"/>
      <c r="C7" s="7"/>
      <c r="D7" s="327" t="str" cm="1">
        <f t="array" aca="1" ref="D7" ca="1">HYPERLINK("#"&amp;CELL("address",Gen_Input),"General Inputs")</f>
        <v>General Inputs</v>
      </c>
      <c r="E7" s="8"/>
      <c r="F7" s="8"/>
      <c r="U7" s="7"/>
    </row>
    <row r="8" spans="1:25" s="10" customFormat="1">
      <c r="A8" s="6"/>
      <c r="B8" s="7"/>
      <c r="C8" s="7"/>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c r="E8" s="8"/>
      <c r="F8" s="8"/>
      <c r="U8" s="7"/>
    </row>
    <row r="9" spans="1:25" s="10" customFormat="1">
      <c r="A9" s="6"/>
      <c r="B9" s="7"/>
      <c r="C9" s="7"/>
      <c r="D9" s="327" t="str" cm="1">
        <f t="array" aca="1" ref="D9" ca="1">IF(MCC_Choice="No","",HYPERLINK("#"&amp;CELL("address",MCC_Input),"Marginal Capacity Costs Inputs"))</f>
        <v>Marginal Capacity Costs Inputs</v>
      </c>
      <c r="E9" s="8"/>
      <c r="F9" s="8"/>
      <c r="G9" s="23"/>
      <c r="U9" s="7"/>
    </row>
    <row r="10" spans="1:25" s="10" customFormat="1">
      <c r="A10" s="6"/>
      <c r="B10" s="7"/>
      <c r="C10" s="7"/>
      <c r="D10" s="326" t="str" cm="1">
        <f t="array" aca="1" ref="D10" ca="1">HYPERLINK("#"&amp;CELL("address",Outputs),"Outputs")</f>
        <v>Outputs</v>
      </c>
      <c r="E10" s="8"/>
      <c r="F10" s="8"/>
      <c r="U10" s="7"/>
    </row>
    <row r="11" spans="1:25" s="10" customFormat="1">
      <c r="A11" s="6"/>
      <c r="B11" s="7"/>
      <c r="C11" s="7"/>
      <c r="D11" s="326" t="str" cm="1">
        <f t="array" aca="1" ref="D11" ca="1">IF(MCC_Choice="No","",HYPERLINK("#"&amp;CELL("address",MCC_Outputs),"Marginal Capacity Costs Outputs"))</f>
        <v>Marginal Capacity Costs Outputs</v>
      </c>
      <c r="E11" s="8"/>
      <c r="F11" s="8"/>
      <c r="U11" s="7"/>
    </row>
    <row r="12" spans="1:25" s="10" customFormat="1">
      <c r="A12" s="6"/>
      <c r="B12" s="7"/>
      <c r="C12" s="7"/>
      <c r="D12" s="7"/>
      <c r="E12" s="8"/>
      <c r="F12" s="8"/>
      <c r="U12" s="7"/>
    </row>
    <row r="13" spans="1:25" s="10" customFormat="1">
      <c r="A13" s="43"/>
      <c r="B13" s="31"/>
      <c r="C13" s="31"/>
      <c r="D13" s="44" t="s">
        <v>124</v>
      </c>
      <c r="E13" s="45"/>
      <c r="F13" s="39"/>
      <c r="G13" s="39"/>
      <c r="H13" s="39"/>
      <c r="I13" s="51"/>
      <c r="J13" s="39"/>
      <c r="K13" s="39"/>
      <c r="L13" s="39"/>
      <c r="M13" s="39"/>
      <c r="N13" s="39"/>
      <c r="O13" s="39"/>
      <c r="P13" s="39"/>
      <c r="Q13" s="39"/>
      <c r="R13" s="39"/>
      <c r="S13" s="39"/>
      <c r="T13" s="31"/>
      <c r="U13" s="11"/>
      <c r="V13" s="11"/>
      <c r="W13" s="11"/>
      <c r="X13" s="11"/>
      <c r="Y13" s="11"/>
    </row>
    <row r="14" spans="1:25" s="10" customFormat="1">
      <c r="A14" s="6"/>
      <c r="B14" s="7"/>
      <c r="C14" s="7"/>
      <c r="D14" s="71"/>
      <c r="E14" s="72"/>
      <c r="I14" s="73"/>
      <c r="T14" s="7"/>
      <c r="U14" s="7"/>
      <c r="V14" s="7"/>
      <c r="W14" s="7"/>
      <c r="X14" s="7"/>
      <c r="Y14" s="7"/>
    </row>
    <row r="15" spans="1:25" s="10" customFormat="1">
      <c r="A15" s="6"/>
      <c r="B15" s="7"/>
      <c r="C15" s="7"/>
      <c r="D15" s="71"/>
      <c r="E15" s="314" t="s">
        <v>126</v>
      </c>
      <c r="F15" s="314" t="s">
        <v>129</v>
      </c>
      <c r="G15" s="314" t="s">
        <v>132</v>
      </c>
      <c r="H15" s="314"/>
      <c r="I15" s="314" t="s">
        <v>135</v>
      </c>
      <c r="J15" s="314" t="s">
        <v>138</v>
      </c>
      <c r="K15" s="314" t="s">
        <v>141</v>
      </c>
      <c r="T15" s="7"/>
      <c r="U15" s="7"/>
      <c r="V15" s="7"/>
      <c r="W15" s="7"/>
      <c r="X15" s="7"/>
      <c r="Y15" s="7"/>
    </row>
    <row r="16" spans="1:25">
      <c r="A16"/>
      <c r="B16"/>
      <c r="C16"/>
      <c r="D16"/>
      <c r="E16" s="75" t="s">
        <v>263</v>
      </c>
      <c r="F16" s="214" t="str">
        <f>IF(SUM(E18:G18)=1,"","Check total weights add up to 100%")</f>
        <v/>
      </c>
      <c r="I16" s="75" t="s">
        <v>264</v>
      </c>
    </row>
    <row r="17" spans="1:14">
      <c r="A17"/>
      <c r="B17"/>
      <c r="C17"/>
      <c r="D17"/>
      <c r="E17" s="57" t="s">
        <v>265</v>
      </c>
      <c r="F17" s="57" t="s">
        <v>266</v>
      </c>
      <c r="G17" s="57" t="s">
        <v>267</v>
      </c>
      <c r="I17" s="57" t="s">
        <v>268</v>
      </c>
      <c r="J17" s="57" t="s">
        <v>269</v>
      </c>
      <c r="K17" s="57" t="s">
        <v>270</v>
      </c>
    </row>
    <row r="18" spans="1:14">
      <c r="A18"/>
      <c r="B18"/>
      <c r="C18"/>
      <c r="D18" s="57" t="s">
        <v>271</v>
      </c>
      <c r="E18" s="336">
        <v>0.6</v>
      </c>
      <c r="F18" s="337">
        <v>0.15</v>
      </c>
      <c r="G18" s="337">
        <v>0.25</v>
      </c>
      <c r="I18" s="338"/>
      <c r="J18" s="337"/>
      <c r="K18" s="338"/>
      <c r="N18" s="41"/>
    </row>
    <row r="19" spans="1:14" ht="8.4499999999999993" customHeight="1">
      <c r="A19"/>
      <c r="B19"/>
      <c r="C19"/>
      <c r="D19"/>
      <c r="E19" s="10"/>
      <c r="F19" s="10"/>
      <c r="G19" s="10"/>
      <c r="I19" s="10"/>
      <c r="J19" s="10"/>
      <c r="K19" s="10"/>
    </row>
    <row r="20" spans="1:14">
      <c r="A20"/>
      <c r="B20"/>
      <c r="C20"/>
      <c r="D20" s="76">
        <v>2009</v>
      </c>
      <c r="E20" s="335">
        <v>138.5</v>
      </c>
      <c r="F20" s="335">
        <v>103.92992796280583</v>
      </c>
      <c r="G20" s="335">
        <v>86.6</v>
      </c>
      <c r="I20" s="335"/>
      <c r="J20" s="335"/>
      <c r="K20" s="335"/>
    </row>
    <row r="21" spans="1:14">
      <c r="A21"/>
      <c r="B21"/>
      <c r="C21"/>
      <c r="D21" s="76">
        <v>2010</v>
      </c>
      <c r="E21" s="335">
        <v>141.19999999999999</v>
      </c>
      <c r="F21" s="335">
        <v>119.25862749257533</v>
      </c>
      <c r="G21" s="335">
        <v>89.4</v>
      </c>
      <c r="I21" s="335"/>
      <c r="J21" s="335"/>
      <c r="K21" s="335"/>
    </row>
    <row r="22" spans="1:14">
      <c r="A22"/>
      <c r="B22"/>
      <c r="C22"/>
      <c r="D22" s="76">
        <v>2011</v>
      </c>
      <c r="E22" s="335">
        <v>144.69999999999999</v>
      </c>
      <c r="F22" s="335">
        <v>138.71612707906442</v>
      </c>
      <c r="G22" s="335">
        <v>93.4</v>
      </c>
      <c r="I22" s="335"/>
      <c r="J22" s="335"/>
      <c r="K22" s="335"/>
    </row>
    <row r="23" spans="1:14">
      <c r="A23"/>
      <c r="B23"/>
      <c r="C23"/>
      <c r="D23" s="76">
        <v>2012</v>
      </c>
      <c r="E23" s="335">
        <v>150.5</v>
      </c>
      <c r="F23" s="335">
        <v>141.82825976401202</v>
      </c>
      <c r="G23" s="335">
        <v>96.1</v>
      </c>
      <c r="I23" s="335"/>
      <c r="J23" s="335"/>
      <c r="K23" s="335"/>
    </row>
    <row r="24" spans="1:14">
      <c r="A24"/>
      <c r="B24"/>
      <c r="C24"/>
      <c r="D24" s="76">
        <v>2013</v>
      </c>
      <c r="E24" s="335">
        <v>153</v>
      </c>
      <c r="F24" s="335">
        <v>140.40518913870753</v>
      </c>
      <c r="G24" s="335">
        <v>98.5</v>
      </c>
      <c r="I24" s="335"/>
      <c r="J24" s="335"/>
      <c r="K24" s="335"/>
    </row>
    <row r="25" spans="1:14">
      <c r="A25"/>
      <c r="B25"/>
      <c r="C25"/>
      <c r="D25" s="76">
        <v>2014</v>
      </c>
      <c r="E25" s="335">
        <v>157.80000000000001</v>
      </c>
      <c r="F25" s="335">
        <v>133.45799887462027</v>
      </c>
      <c r="G25" s="335">
        <v>100</v>
      </c>
      <c r="I25" s="335"/>
      <c r="J25" s="335"/>
      <c r="K25" s="335"/>
    </row>
    <row r="26" spans="1:14">
      <c r="A26"/>
      <c r="B26"/>
      <c r="C26"/>
      <c r="D26" s="76">
        <v>2015</v>
      </c>
      <c r="E26" s="335">
        <v>157.30000000000001</v>
      </c>
      <c r="F26" s="335">
        <v>114.89845587367203</v>
      </c>
      <c r="G26" s="335">
        <v>100</v>
      </c>
      <c r="I26" s="335"/>
      <c r="J26" s="335"/>
      <c r="K26" s="335"/>
    </row>
    <row r="27" spans="1:14">
      <c r="A27"/>
      <c r="B27"/>
      <c r="C27"/>
      <c r="D27" s="76">
        <v>2016</v>
      </c>
      <c r="E27" s="335">
        <v>159.30000000000001</v>
      </c>
      <c r="F27" s="335">
        <v>110.12863033333333</v>
      </c>
      <c r="G27" s="335">
        <v>100.7</v>
      </c>
      <c r="I27" s="335"/>
      <c r="J27" s="335"/>
      <c r="K27" s="335"/>
    </row>
    <row r="28" spans="1:14">
      <c r="A28"/>
      <c r="B28"/>
      <c r="C28"/>
      <c r="D28" s="76">
        <v>2017</v>
      </c>
      <c r="E28" s="335">
        <v>162.1</v>
      </c>
      <c r="F28" s="335">
        <v>120.14923733333336</v>
      </c>
      <c r="G28" s="335">
        <v>103.4</v>
      </c>
      <c r="I28" s="335"/>
      <c r="J28" s="335"/>
      <c r="K28" s="335"/>
    </row>
    <row r="29" spans="1:14">
      <c r="A29"/>
      <c r="B29"/>
      <c r="C29"/>
      <c r="D29" s="76">
        <v>2018</v>
      </c>
      <c r="E29" s="335">
        <v>167</v>
      </c>
      <c r="F29" s="335">
        <v>129.98216641666667</v>
      </c>
      <c r="G29" s="335">
        <v>105.9</v>
      </c>
      <c r="I29" s="335"/>
      <c r="J29" s="335"/>
      <c r="K29" s="335"/>
    </row>
    <row r="30" spans="1:14">
      <c r="A30"/>
      <c r="B30"/>
      <c r="C30"/>
      <c r="D30" s="76">
        <v>2019</v>
      </c>
      <c r="E30" s="335">
        <v>172.3</v>
      </c>
      <c r="F30" s="335">
        <v>131.47546291666666</v>
      </c>
      <c r="G30" s="335">
        <v>107.8</v>
      </c>
      <c r="I30" s="335"/>
      <c r="J30" s="335"/>
      <c r="K30" s="335"/>
    </row>
    <row r="31" spans="1:14">
      <c r="A31"/>
      <c r="B31"/>
      <c r="C31"/>
      <c r="D31" s="76">
        <v>2020</v>
      </c>
      <c r="E31" s="335">
        <v>171.4</v>
      </c>
      <c r="F31" s="335">
        <v>119.13522325000002</v>
      </c>
      <c r="G31" s="335">
        <v>108.7</v>
      </c>
      <c r="I31" s="335"/>
      <c r="J31" s="335">
        <v>33.459053986075745</v>
      </c>
      <c r="K31" s="335"/>
    </row>
    <row r="32" spans="1:14">
      <c r="A32"/>
      <c r="B32"/>
      <c r="C32"/>
      <c r="D32" s="76">
        <v>2021</v>
      </c>
      <c r="E32" s="335">
        <v>174.5</v>
      </c>
      <c r="F32" s="335">
        <v>134.93700735533335</v>
      </c>
      <c r="G32" s="335">
        <v>111.6</v>
      </c>
      <c r="I32" s="335">
        <v>5.0180532091483654</v>
      </c>
      <c r="J32" s="335">
        <v>44.20450442846915</v>
      </c>
      <c r="K32" s="335">
        <v>2.5882219500718229</v>
      </c>
    </row>
    <row r="33" spans="1:11">
      <c r="A33"/>
      <c r="B33"/>
      <c r="C33"/>
      <c r="D33" s="76">
        <v>2022</v>
      </c>
      <c r="E33" s="335">
        <v>183.7</v>
      </c>
      <c r="F33" s="335">
        <v>177.65813166666669</v>
      </c>
      <c r="G33" s="335">
        <v>121.7</v>
      </c>
      <c r="I33" s="335">
        <v>6.1376094207100218</v>
      </c>
      <c r="J33" s="335">
        <v>72.546518826162909</v>
      </c>
      <c r="K33" s="335">
        <v>9.0667455547039033</v>
      </c>
    </row>
    <row r="34" spans="1:11">
      <c r="A34"/>
      <c r="B34"/>
      <c r="C34"/>
      <c r="D34" s="76">
        <v>2023</v>
      </c>
      <c r="E34" s="335">
        <v>197</v>
      </c>
      <c r="F34" s="335">
        <v>158.18871125000001</v>
      </c>
      <c r="G34" s="335">
        <v>130.5</v>
      </c>
      <c r="I34" s="335">
        <v>6.2162991679617363</v>
      </c>
      <c r="J34" s="335">
        <v>54.315319745597861</v>
      </c>
      <c r="K34" s="335">
        <v>7.3032807433557112</v>
      </c>
    </row>
    <row r="35" spans="1:11">
      <c r="A35"/>
      <c r="B35"/>
      <c r="C35"/>
      <c r="D35" s="76">
        <v>2024</v>
      </c>
      <c r="E35" s="335">
        <v>207.3</v>
      </c>
      <c r="F35" s="335">
        <v>148.32888483333338</v>
      </c>
      <c r="G35" s="335">
        <v>133.9</v>
      </c>
      <c r="I35" s="335">
        <v>4.9311939302832286</v>
      </c>
      <c r="J35" s="335">
        <v>49.269062621193889</v>
      </c>
      <c r="K35" s="335">
        <v>2.5301927741606001</v>
      </c>
    </row>
    <row r="36" spans="1:11">
      <c r="A36"/>
      <c r="B36"/>
      <c r="C36"/>
      <c r="D36" s="76">
        <v>2025</v>
      </c>
      <c r="E36" s="335"/>
      <c r="F36" s="335"/>
      <c r="G36" s="335"/>
      <c r="I36" s="335">
        <v>5.1680291454067051</v>
      </c>
      <c r="J36" s="335">
        <v>46.008728447909427</v>
      </c>
      <c r="K36" s="335">
        <v>3.4527688414550228</v>
      </c>
    </row>
    <row r="37" spans="1:11">
      <c r="A37"/>
      <c r="B37"/>
      <c r="C37"/>
      <c r="D37" s="76">
        <v>2026</v>
      </c>
      <c r="E37" s="335"/>
      <c r="F37" s="335"/>
      <c r="G37" s="335"/>
      <c r="I37" s="335">
        <v>3.3275238576496502</v>
      </c>
      <c r="J37" s="335">
        <v>46.282019335883945</v>
      </c>
      <c r="K37" s="335">
        <v>2.4801225431334784</v>
      </c>
    </row>
    <row r="38" spans="1:11">
      <c r="A38"/>
      <c r="B38"/>
      <c r="C38"/>
      <c r="D38" s="76">
        <v>2027</v>
      </c>
      <c r="E38" s="335"/>
      <c r="F38" s="335"/>
      <c r="G38" s="335"/>
      <c r="I38" s="335">
        <v>2.2513003483885408</v>
      </c>
      <c r="J38" s="335">
        <v>45.322813750510022</v>
      </c>
      <c r="K38" s="335">
        <v>2.0152390816676968</v>
      </c>
    </row>
    <row r="39" spans="1:11">
      <c r="A39"/>
      <c r="B39"/>
      <c r="C39"/>
      <c r="D39" s="76">
        <v>2028</v>
      </c>
      <c r="E39" s="335"/>
      <c r="F39" s="335"/>
      <c r="G39" s="335"/>
      <c r="I39" s="335">
        <v>2.0963305996869463</v>
      </c>
      <c r="J39" s="335">
        <v>44.879445126060332</v>
      </c>
      <c r="K39" s="335">
        <v>2.035043738253961</v>
      </c>
    </row>
    <row r="40" spans="1:11">
      <c r="A40"/>
      <c r="B40"/>
      <c r="C40"/>
      <c r="D40" s="76">
        <v>2029</v>
      </c>
      <c r="E40" s="335"/>
      <c r="F40" s="335"/>
      <c r="G40" s="335"/>
      <c r="I40" s="335">
        <v>2.2054320067955491</v>
      </c>
      <c r="J40" s="335">
        <v>44.394669496247154</v>
      </c>
      <c r="K40" s="335">
        <v>2.0381421351001627</v>
      </c>
    </row>
    <row r="41" spans="1:11">
      <c r="A41"/>
      <c r="B41"/>
      <c r="C41"/>
      <c r="D41" s="76">
        <v>2030</v>
      </c>
      <c r="E41" s="335"/>
      <c r="F41" s="335"/>
      <c r="G41" s="335"/>
      <c r="I41" s="335"/>
      <c r="J41" s="335"/>
      <c r="K41" s="335"/>
    </row>
    <row r="42" spans="1:11">
      <c r="A42"/>
      <c r="B42"/>
      <c r="C42"/>
      <c r="D42" s="76">
        <v>2031</v>
      </c>
      <c r="E42" s="335"/>
      <c r="F42" s="335"/>
      <c r="G42" s="335"/>
      <c r="I42" s="335"/>
      <c r="J42" s="335"/>
      <c r="K42" s="335"/>
    </row>
    <row r="43" spans="1:11">
      <c r="A43"/>
      <c r="B43"/>
      <c r="C43"/>
      <c r="D43" s="76">
        <v>2032</v>
      </c>
      <c r="E43" s="335"/>
      <c r="F43" s="335"/>
      <c r="G43" s="335"/>
      <c r="I43" s="335"/>
      <c r="J43" s="335"/>
      <c r="K43" s="335"/>
    </row>
    <row r="44" spans="1:11">
      <c r="A44"/>
      <c r="B44"/>
      <c r="C44"/>
      <c r="D44" s="76">
        <v>2033</v>
      </c>
      <c r="E44" s="335"/>
      <c r="F44" s="335"/>
      <c r="G44" s="335"/>
      <c r="I44" s="335"/>
      <c r="J44" s="335"/>
      <c r="K44" s="335"/>
    </row>
    <row r="45" spans="1:11">
      <c r="A45"/>
      <c r="B45"/>
      <c r="C45"/>
      <c r="D45" s="76">
        <v>2034</v>
      </c>
      <c r="E45" s="335"/>
      <c r="F45" s="335"/>
      <c r="G45" s="335"/>
      <c r="I45" s="335"/>
      <c r="J45" s="335"/>
      <c r="K45" s="335"/>
    </row>
    <row r="46" spans="1:11">
      <c r="A46"/>
      <c r="B46"/>
      <c r="C46"/>
      <c r="D46" s="76">
        <v>2035</v>
      </c>
      <c r="E46" s="335"/>
      <c r="F46" s="335"/>
      <c r="G46" s="335"/>
      <c r="I46" s="335"/>
      <c r="J46" s="335"/>
      <c r="K46" s="335"/>
    </row>
    <row r="47" spans="1:11" ht="14.45">
      <c r="A47"/>
      <c r="B47"/>
      <c r="C47"/>
      <c r="D47"/>
    </row>
    <row r="48" spans="1:11" ht="14.45">
      <c r="A48"/>
      <c r="B48"/>
      <c r="C48"/>
      <c r="D48"/>
    </row>
    <row r="49" customFormat="1" ht="14.45"/>
    <row r="50" customFormat="1" ht="14.45"/>
    <row r="51" customFormat="1" ht="14.45"/>
    <row r="52" customFormat="1" ht="14.45"/>
    <row r="53" customFormat="1" ht="14.45"/>
    <row r="54" customFormat="1" ht="14.45"/>
    <row r="55" customFormat="1" ht="14.45"/>
    <row r="56" customFormat="1" ht="14.45"/>
    <row r="57" customFormat="1" ht="14.45"/>
    <row r="58" customFormat="1" ht="14.45"/>
    <row r="59" customFormat="1" ht="14.45"/>
    <row r="60" customFormat="1" ht="14.45"/>
    <row r="61" customFormat="1" ht="14.45"/>
    <row r="62" customFormat="1" ht="14.45"/>
    <row r="63" customFormat="1" ht="14.45"/>
    <row r="64" customFormat="1" ht="14.45"/>
    <row r="65" customFormat="1" ht="14.45"/>
    <row r="66" customFormat="1" ht="14.45"/>
    <row r="67" customFormat="1" ht="14.45"/>
    <row r="68" customFormat="1" ht="14.45"/>
    <row r="69" customFormat="1" ht="14.45"/>
    <row r="70" customFormat="1" ht="14.45"/>
    <row r="71" customFormat="1" ht="14.45"/>
    <row r="72" customFormat="1" ht="14.45"/>
    <row r="73" customFormat="1" ht="14.45"/>
    <row r="74" customFormat="1" ht="14.45"/>
    <row r="75" customFormat="1" ht="14.45"/>
    <row r="76" customFormat="1" ht="14.45"/>
    <row r="77" customFormat="1" ht="14.45"/>
    <row r="78" customFormat="1" ht="14.45"/>
    <row r="79" customFormat="1" ht="14.45"/>
    <row r="80" customFormat="1" ht="14.45"/>
    <row r="81" customFormat="1" ht="14.45"/>
    <row r="82" customFormat="1" ht="14.45"/>
    <row r="83" customFormat="1" ht="14.45"/>
    <row r="84" customFormat="1" ht="14.45"/>
    <row r="85" customFormat="1" ht="14.45"/>
    <row r="86" customFormat="1" ht="14.45"/>
    <row r="87" customFormat="1" ht="14.45"/>
    <row r="88" customFormat="1" ht="14.45"/>
    <row r="89" customFormat="1" ht="14.45"/>
    <row r="90" customFormat="1" ht="14.45"/>
    <row r="91" customFormat="1" ht="14.45"/>
    <row r="92" customFormat="1" ht="14.45"/>
    <row r="93" customFormat="1" ht="14.45"/>
    <row r="94" customFormat="1" ht="14.45"/>
    <row r="95" customFormat="1" ht="14.45"/>
    <row r="96" customFormat="1" ht="14.45"/>
    <row r="97" customFormat="1" ht="14.45"/>
    <row r="98" customFormat="1" ht="14.45"/>
    <row r="99" customFormat="1" ht="14.45"/>
    <row r="100" customFormat="1" ht="14.45"/>
    <row r="101" customFormat="1" ht="14.45"/>
    <row r="102" customFormat="1" ht="14.45"/>
    <row r="103" customFormat="1" ht="14.45"/>
    <row r="104" customFormat="1" ht="14.45"/>
    <row r="105" customFormat="1" ht="14.45"/>
    <row r="106" customFormat="1" ht="14.45"/>
    <row r="107" customFormat="1" ht="14.45"/>
    <row r="108" customFormat="1" ht="14.45"/>
    <row r="109" customFormat="1" ht="14.45"/>
    <row r="110" customFormat="1" ht="14.45"/>
    <row r="111" customFormat="1" ht="14.45"/>
    <row r="112" customFormat="1" ht="14.45"/>
    <row r="113" customFormat="1" ht="14.45"/>
    <row r="114" customFormat="1" ht="14.45"/>
    <row r="115" customFormat="1" ht="14.45"/>
    <row r="116" customFormat="1" ht="14.45"/>
    <row r="117" customFormat="1" ht="14.45"/>
    <row r="118" customFormat="1" ht="14.45"/>
  </sheetData>
  <phoneticPr fontId="15" type="noConversion"/>
  <dataValidations count="2">
    <dataValidation type="decimal" errorStyle="warning" operator="greaterThanOrEqual" allowBlank="1" showInputMessage="1" showErrorMessage="1" errorTitle="Pleas enter numerical value" sqref="E20:G46 I20:K46" xr:uid="{915C8A0C-F445-456B-91A0-73F809C176E4}">
      <formula1>0</formula1>
    </dataValidation>
    <dataValidation type="decimal" errorStyle="warning" operator="greaterThanOrEqual" allowBlank="1" showInputMessage="1" showErrorMessage="1" errorTitle="Please enter numerical value" sqref="E18:G18 I18:K18" xr:uid="{5BBB37E4-8FEA-4EA0-857F-0BF1385CF315}">
      <formula1>0</formula1>
    </dataValidation>
  </dataValidations>
  <hyperlinks>
    <hyperlink ref="E15" location="Instructions!B78" display="4a" xr:uid="{D43663F0-205B-467C-ADAD-5A2971D9C681}"/>
    <hyperlink ref="F15" location="Instructions!B79" display="4b" xr:uid="{EFDB232D-F050-422A-825A-AC74872ADC1E}"/>
    <hyperlink ref="G15" location="Instructions!B80" display="4c" xr:uid="{7DF9F713-F60E-435C-8C83-B0C3831C3CDE}"/>
    <hyperlink ref="I15" location="Instructions!B81" display="4d" xr:uid="{B700A28D-383D-47C2-AE9E-CC980AA901D2}"/>
    <hyperlink ref="J15" location="Instructions!B82" display="4e" xr:uid="{94E03CF1-CE17-4056-93EF-A863DD808CA4}"/>
    <hyperlink ref="K15" location="Instructions!B83" display="4f" xr:uid="{520DB081-0B76-4510-8F1B-34F7FF323737}"/>
  </hyperlinks>
  <pageMargins left="0.7" right="0.7" top="0.75" bottom="0.75" header="0.3" footer="0.3"/>
  <pageSetup paperSize="9" orientation="portrait" horizontalDpi="300" verticalDpi="300" r:id="rId1"/>
  <headerFooter>
    <oddHeader>&amp;C&amp;"Calibri"&amp;10&amp;K000000 OFFICIAL&amp;1#_x000D_</oddHeader>
    <oddFooter>&amp;C_x000D_&amp;1#&amp;"Calibri"&amp;10&amp;K000000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6B19419F307448823302542208E3FB" ma:contentTypeVersion="17" ma:contentTypeDescription="Create a new document." ma:contentTypeScope="" ma:versionID="ae2cd9caed1729d4ca9a40954ae70d57">
  <xsd:schema xmlns:xsd="http://www.w3.org/2001/XMLSchema" xmlns:xs="http://www.w3.org/2001/XMLSchema" xmlns:p="http://schemas.microsoft.com/office/2006/metadata/properties" xmlns:ns2="4fea251c-3bdd-4d50-962b-ffa2ae250ba0" xmlns:ns3="15ff3d39-6e7b-4d70-9b7c-8d9fe85d0f29" xmlns:ns4="a8e6e662-0e9c-4cf1-a0d2-da13e090a504" targetNamespace="http://schemas.microsoft.com/office/2006/metadata/properties" ma:root="true" ma:fieldsID="6de915c4e33fb552787e18e515a74d87" ns2:_="" ns3:_="" ns4:_="">
    <xsd:import namespace="4fea251c-3bdd-4d50-962b-ffa2ae250ba0"/>
    <xsd:import namespace="15ff3d39-6e7b-4d70-9b7c-8d9fe85d0f29"/>
    <xsd:import namespace="a8e6e662-0e9c-4cf1-a0d2-da13e090a504"/>
    <xsd:element name="properties">
      <xsd:complexType>
        <xsd:sequence>
          <xsd:element name="documentManagement">
            <xsd:complexType>
              <xsd:all>
                <xsd:element ref="ns2:cd040aa6bc404ad9b486d28cbeeb00af" minOccurs="0"/>
                <xsd:element ref="ns3:TaxCatchAll" minOccurs="0"/>
                <xsd:element ref="ns3:TaxCatchAllLabel" minOccurs="0"/>
                <xsd:element ref="ns2:pad064494f8145a29a5775cf83bb0c2b" minOccurs="0"/>
                <xsd:element ref="ns3:Historical_x0020_Importance" minOccurs="0"/>
                <xsd:element ref="ns3:Security_x0020_Classification" minOccurs="0"/>
                <xsd:element ref="ns3:dlc_EmailBCC" minOccurs="0"/>
                <xsd:element ref="ns3:dlc_EmailCC" minOccurs="0"/>
                <xsd:element ref="ns3:dlc_EmailReceivedUTC" minOccurs="0"/>
                <xsd:element ref="ns3:dlc_EmailSentUTC" minOccurs="0"/>
                <xsd:element ref="ns3:dlc_EmailFrom" minOccurs="0"/>
                <xsd:element ref="ns3:dlc_EmailSubject" minOccurs="0"/>
                <xsd:element ref="ns3:dlc_EmailTo"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2:SharedWithUsers" minOccurs="0"/>
                <xsd:element ref="ns2:SharedWithDetails" minOccurs="0"/>
                <xsd:element ref="ns4:MediaServiceAutoKeyPoints" minOccurs="0"/>
                <xsd:element ref="ns4:MediaServiceKeyPoints" minOccurs="0"/>
                <xsd:element ref="ns4:MediaServiceDateTaken" minOccurs="0"/>
                <xsd:element ref="ns4:lcf76f155ced4ddcb4097134ff3c332f" minOccurs="0"/>
                <xsd:element ref="ns4:MediaLengthInSeconds" minOccurs="0"/>
                <xsd:element ref="ns4:MediaServiceObjectDetectorVersion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ea251c-3bdd-4d50-962b-ffa2ae250ba0" elementFormDefault="qualified">
    <xsd:import namespace="http://schemas.microsoft.com/office/2006/documentManagement/types"/>
    <xsd:import namespace="http://schemas.microsoft.com/office/infopath/2007/PartnerControls"/>
    <xsd:element name="cd040aa6bc404ad9b486d28cbeeb00af" ma:index="8" nillable="true" ma:taxonomy="true" ma:internalName="cd040aa6bc404ad9b486d28cbeeb00af" ma:taxonomyFieldName="CustomTag" ma:displayName="Custom Tag" ma:fieldId="{cd040aa6-bc40-4ad9-b486-d28cbeeb00af}" ma:sspId="5de26ec3-896b-4bef-bed1-ad194f885b2b" ma:termSetId="ee8c96b2-7516-4f4d-9be4-5120a7a27535" ma:anchorId="00000000-0000-0000-0000-000000000000" ma:open="true" ma:isKeyword="false">
      <xsd:complexType>
        <xsd:sequence>
          <xsd:element ref="pc:Terms" minOccurs="0" maxOccurs="1"/>
        </xsd:sequence>
      </xsd:complexType>
    </xsd:element>
    <xsd:element name="pad064494f8145a29a5775cf83bb0c2b" ma:index="12" nillable="true" ma:taxonomy="true" ma:internalName="pad064494f8145a29a5775cf83bb0c2b" ma:taxonomyFieldName="FinancialYear" ma:displayName="Financial Year" ma:fieldId="{9ad06449-4f81-45a2-9a57-75cf83bb0c2b}" ma:sspId="5de26ec3-896b-4bef-bed1-ad194f885b2b" ma:termSetId="ad0d7153-16bc-4f62-8559-37863dc2e057" ma:anchorId="00000000-0000-0000-0000-000000000000" ma:open="false" ma:isKeyword="false">
      <xsd:complexType>
        <xsd:sequence>
          <xsd:element ref="pc:Terms" minOccurs="0" maxOccurs="1"/>
        </xsd:sequence>
      </xsd:complexType>
    </xsd:element>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3d39-6e7b-4d70-9b7c-8d9fe85d0f29"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b4c99f6-05e4-48dc-9730-d579cd1256ad}" ma:internalName="TaxCatchAll" ma:showField="CatchAllData" ma:web="4fea251c-3bdd-4d50-962b-ffa2ae250ba0">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b4c99f6-05e4-48dc-9730-d579cd1256ad}" ma:internalName="TaxCatchAllLabel" ma:readOnly="true" ma:showField="CatchAllDataLabel" ma:web="4fea251c-3bdd-4d50-962b-ffa2ae250ba0">
      <xsd:complexType>
        <xsd:complexContent>
          <xsd:extension base="dms:MultiChoiceLookup">
            <xsd:sequence>
              <xsd:element name="Value" type="dms:Lookup" maxOccurs="unbounded" minOccurs="0" nillable="true"/>
            </xsd:sequence>
          </xsd:extension>
        </xsd:complexContent>
      </xsd:complexType>
    </xsd:element>
    <xsd:element name="Historical_x0020_Importance" ma:index="14" nillable="true" ma:displayName="Historical Importance" ma:default="0" ma:internalName="Historical_x0020_Importance">
      <xsd:simpleType>
        <xsd:restriction base="dms:Boolean"/>
      </xsd:simpleType>
    </xsd:element>
    <xsd:element name="Security_x0020_Classification" ma:index="15" nillable="true" ma:displayName="Security Classification" ma:default="Official" ma:format="Dropdown" ma:internalName="Security_x0020_Classification">
      <xsd:simpleType>
        <xsd:restriction base="dms:Choice">
          <xsd:enumeration value="Official Sensitive"/>
          <xsd:enumeration value="Official"/>
        </xsd:restriction>
      </xsd:simpleType>
    </xsd:element>
    <xsd:element name="dlc_EmailBCC" ma:index="16" nillable="true" ma:displayName="BCC" ma:description="" ma:internalName="dlc_EmailBCC">
      <xsd:simpleType>
        <xsd:restriction base="dms:Note">
          <xsd:maxLength value="1024"/>
        </xsd:restriction>
      </xsd:simpleType>
    </xsd:element>
    <xsd:element name="dlc_EmailCC" ma:index="17" nillable="true" ma:displayName="CC" ma:description="" ma:internalName="dlc_EmailCC">
      <xsd:simpleType>
        <xsd:restriction base="dms:Note">
          <xsd:maxLength value="1024"/>
        </xsd:restriction>
      </xsd:simpleType>
    </xsd:element>
    <xsd:element name="dlc_EmailReceivedUTC" ma:index="18" nillable="true" ma:displayName="Date Received" ma:description="" ma:internalName="dlc_EmailReceivedUTC">
      <xsd:simpleType>
        <xsd:restriction base="dms:DateTime"/>
      </xsd:simpleType>
    </xsd:element>
    <xsd:element name="dlc_EmailSentUTC" ma:index="19" nillable="true" ma:displayName="Date Sent" ma:description="" ma:internalName="dlc_EmailSentUTC">
      <xsd:simpleType>
        <xsd:restriction base="dms:DateTime"/>
      </xsd:simpleType>
    </xsd:element>
    <xsd:element name="dlc_EmailFrom" ma:index="20" nillable="true" ma:displayName="From" ma:description="" ma:internalName="dlc_EmailFrom">
      <xsd:simpleType>
        <xsd:restriction base="dms:Text">
          <xsd:maxLength value="255"/>
        </xsd:restriction>
      </xsd:simpleType>
    </xsd:element>
    <xsd:element name="dlc_EmailSubject" ma:index="21" nillable="true" ma:displayName="Email Subject" ma:description="" ma:internalName="dlc_EmailSubject">
      <xsd:simpleType>
        <xsd:restriction base="dms:Note"/>
      </xsd:simpleType>
    </xsd:element>
    <xsd:element name="dlc_EmailTo" ma:index="22" nillable="true" ma:displayName="To" ma:description="" ma:internalName="dlc_EmailTo">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e6e662-0e9c-4cf1-a0d2-da13e090a504"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AutoTags" ma:index="25" nillable="true" ma:displayName="Tags" ma:internalName="MediaServiceAutoTags"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AutoKeyPoints" ma:index="31" nillable="true" ma:displayName="MediaServiceAutoKeyPoints" ma:hidden="true" ma:internalName="MediaServiceAutoKeyPoints" ma:readOnly="true">
      <xsd:simpleType>
        <xsd:restriction base="dms:Note"/>
      </xsd:simpleType>
    </xsd:element>
    <xsd:element name="MediaServiceKeyPoints" ma:index="32" nillable="true" ma:displayName="KeyPoints" ma:internalName="MediaServiceKeyPoints" ma:readOnly="true">
      <xsd:simpleType>
        <xsd:restriction base="dms:Note">
          <xsd:maxLength value="255"/>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5de26ec3-896b-4bef-bed1-ad194f885b2b" ma:termSetId="09814cd3-568e-fe90-9814-8d621ff8fb84" ma:anchorId="fba54fb3-c3e1-fe81-a776-ca4b69148c4d" ma:open="true" ma:isKeyword="false">
      <xsd:complexType>
        <xsd:sequence>
          <xsd:element ref="pc:Terms" minOccurs="0" maxOccurs="1"/>
        </xsd:sequence>
      </xsd:complexType>
    </xsd:element>
    <xsd:element name="MediaLengthInSeconds" ma:index="36" nillable="true" ma:displayName="MediaLengthInSeconds" ma:hidden="true" ma:internalName="MediaLengthInSeconds" ma:readOnly="true">
      <xsd:simpleType>
        <xsd:restriction base="dms:Unknow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BillingMetadata" ma:index="3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lc_EmailTo xmlns="15ff3d39-6e7b-4d70-9b7c-8d9fe85d0f29" xsi:nil="true"/>
    <TaxCatchAll xmlns="15ff3d39-6e7b-4d70-9b7c-8d9fe85d0f29" xsi:nil="true"/>
    <dlc_EmailSubject xmlns="15ff3d39-6e7b-4d70-9b7c-8d9fe85d0f29" xsi:nil="true"/>
    <dlc_EmailCC xmlns="15ff3d39-6e7b-4d70-9b7c-8d9fe85d0f29" xsi:nil="true"/>
    <Historical_x0020_Importance xmlns="15ff3d39-6e7b-4d70-9b7c-8d9fe85d0f29">false</Historical_x0020_Importance>
    <dlc_EmailBCC xmlns="15ff3d39-6e7b-4d70-9b7c-8d9fe85d0f29" xsi:nil="true"/>
    <dlc_EmailFrom xmlns="15ff3d39-6e7b-4d70-9b7c-8d9fe85d0f29" xsi:nil="true"/>
    <dlc_EmailReceivedUTC xmlns="15ff3d39-6e7b-4d70-9b7c-8d9fe85d0f29" xsi:nil="true"/>
    <Security_x0020_Classification xmlns="15ff3d39-6e7b-4d70-9b7c-8d9fe85d0f29">Official</Security_x0020_Classification>
    <dlc_EmailSentUTC xmlns="15ff3d39-6e7b-4d70-9b7c-8d9fe85d0f29" xsi:nil="true"/>
    <lcf76f155ced4ddcb4097134ff3c332f xmlns="a8e6e662-0e9c-4cf1-a0d2-da13e090a504">
      <Terms xmlns="http://schemas.microsoft.com/office/infopath/2007/PartnerControls"/>
    </lcf76f155ced4ddcb4097134ff3c332f>
    <pad064494f8145a29a5775cf83bb0c2b xmlns="4fea251c-3bdd-4d50-962b-ffa2ae250ba0">
      <Terms xmlns="http://schemas.microsoft.com/office/infopath/2007/PartnerControls"/>
    </pad064494f8145a29a5775cf83bb0c2b>
    <cd040aa6bc404ad9b486d28cbeeb00af xmlns="4fea251c-3bdd-4d50-962b-ffa2ae250ba0">
      <Terms xmlns="http://schemas.microsoft.com/office/infopath/2007/PartnerControls"/>
    </cd040aa6bc404ad9b486d28cbeeb00af>
  </documentManagement>
</p:properties>
</file>

<file path=customXml/itemProps1.xml><?xml version="1.0" encoding="utf-8"?>
<ds:datastoreItem xmlns:ds="http://schemas.openxmlformats.org/officeDocument/2006/customXml" ds:itemID="{DF437A4F-088B-4F4C-B084-ABC7E0298CE8}"/>
</file>

<file path=customXml/itemProps2.xml><?xml version="1.0" encoding="utf-8"?>
<ds:datastoreItem xmlns:ds="http://schemas.openxmlformats.org/officeDocument/2006/customXml" ds:itemID="{695B238F-B6AB-4E27-9428-02EFEF7A09EF}"/>
</file>

<file path=customXml/itemProps3.xml><?xml version="1.0" encoding="utf-8"?>
<ds:datastoreItem xmlns:ds="http://schemas.openxmlformats.org/officeDocument/2006/customXml" ds:itemID="{F747F676-B144-48DC-9367-3251616CC12E}"/>
</file>

<file path=docMetadata/LabelInfo.xml><?xml version="1.0" encoding="utf-8"?>
<clbl:labelList xmlns:clbl="http://schemas.microsoft.com/office/2020/mipLabelMetadata">
  <clbl:label id="{f0c28fc3-7798-4269-87f4-d58050cd53cb}" enabled="1" method="Privileged" siteId="{28b782fb-41e1-48ea-bfc3-ad7558ce7136}"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SWANSTON Callum</dc:creator>
  <cp:keywords/>
  <dc:description/>
  <cp:lastModifiedBy/>
  <cp:revision/>
  <dcterms:created xsi:type="dcterms:W3CDTF">2023-02-13T08:35:00Z</dcterms:created>
  <dcterms:modified xsi:type="dcterms:W3CDTF">2025-11-27T12:07:07Z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0x010100366B19419F307448823302542208E3FB</vt:lpwstr>
  </property>
  <property fmtid="{D5CDD505-2E9C-101B-9397-08002B2CF9AE}" pid="3" name="CustomTag">
    <vt:lpwstr/>
  </property>
  <property fmtid="{D5CDD505-2E9C-101B-9397-08002B2CF9AE}" pid="4" name="FinancialYear">
    <vt:lpwstr/>
  </property>
  <property fmtid="{D5CDD505-2E9C-101B-9397-08002B2CF9AE}" pid="5" name="MediaServiceImageTags">
    <vt:lpwstr/>
  </property>
</Properties>
</file>