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iolanda_herea_energysecurity_gov_uk/Documents/Desktop/"/>
    </mc:Choice>
  </mc:AlternateContent>
  <xr:revisionPtr revIDLastSave="0" documentId="8_{A4DB34AF-D60E-4C78-894E-5CAAEFA1A125}" xr6:coauthVersionLast="47" xr6:coauthVersionMax="47" xr10:uidLastSave="{00000000-0000-0000-0000-000000000000}"/>
  <bookViews>
    <workbookView xWindow="-110" yWindow="-110" windowWidth="19420" windowHeight="1030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Activities'!#REF!</definedName>
    <definedName name="ID" localSheetId="1">#REF!</definedName>
    <definedName name="ID">#REF!</definedName>
    <definedName name="SAC_Season_Area" localSheetId="1">#REF!</definedName>
    <definedName name="SAC_Season_Area">#REF!</definedName>
    <definedName name="Summerimpact" localSheetId="1">#REF!</definedName>
    <definedName name="Summerimpact">#REF!</definedName>
    <definedName name="Winterimpact" localSheetId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14" l="1"/>
  <c r="O3" i="14"/>
  <c r="F51" i="24" l="1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A13" i="24" l="1" a="1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F7" i="24" l="1"/>
  <c r="F6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<sst xmlns="http://schemas.openxmlformats.org/spreadsheetml/2006/main" count="445" uniqueCount="199">
  <si>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</si>
  <si>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</si>
  <si>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</si>
  <si>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</si>
  <si>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</si>
  <si>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</si>
  <si>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</si>
  <si>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</si>
  <si>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</si>
  <si>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</si>
  <si>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</si>
  <si>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</si>
  <si>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</si>
  <si>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</si>
  <si>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</si>
  <si>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</si>
  <si>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</si>
  <si>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</si>
  <si>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</si>
  <si>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</si>
  <si>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</si>
  <si>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</si>
  <si>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</si>
  <si>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</si>
  <si>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Abatement/Mitigation
(MMO only)</t>
  </si>
  <si>
    <t>Any Other Comments</t>
  </si>
  <si>
    <t>Include in assessment?</t>
  </si>
  <si>
    <t>Include in Winter Calendar</t>
  </si>
  <si>
    <t>Include in Summer Calendar</t>
  </si>
  <si>
    <t>% of Winter SAC Impacted</t>
  </si>
  <si>
    <t>% of Summer SAC Impacted</t>
  </si>
  <si>
    <t>TrackerID</t>
  </si>
  <si>
    <t>Dogger Bank B -Monopiling (Unabated)</t>
  </si>
  <si>
    <t>SSE Renewables</t>
  </si>
  <si>
    <t>MMO</t>
  </si>
  <si>
    <t>Piling</t>
  </si>
  <si>
    <t>Summer</t>
  </si>
  <si>
    <t>DCO/2016/00024</t>
  </si>
  <si>
    <t>Completed</t>
  </si>
  <si>
    <t>No</t>
  </si>
  <si>
    <t>Dogger Bank C - Monopiling (Unabated)</t>
  </si>
  <si>
    <t>DCO/2016/00018</t>
  </si>
  <si>
    <t>Dogger Bank D - Geophysical Survey 1</t>
  </si>
  <si>
    <t>Geophysical Survey</t>
  </si>
  <si>
    <t>DCO/2023/00001</t>
  </si>
  <si>
    <t>EA3 - Pin Piling</t>
  </si>
  <si>
    <t>Scottish Power Renewables</t>
  </si>
  <si>
    <t>Pin Piling</t>
  </si>
  <si>
    <t>Both</t>
  </si>
  <si>
    <t>DCO/2018/00001</t>
  </si>
  <si>
    <t>EA3 - UXO Clearance (LO)</t>
  </si>
  <si>
    <t>UXO Low Order</t>
  </si>
  <si>
    <t>MLA/2023/00532/3</t>
  </si>
  <si>
    <t>NEP - EPCI 2 Geophysical Infield</t>
  </si>
  <si>
    <t>BP</t>
  </si>
  <si>
    <t>OPRED</t>
  </si>
  <si>
    <t xml:space="preserve">Various </t>
  </si>
  <si>
    <t>GS/1866</t>
  </si>
  <si>
    <t>N/A</t>
  </si>
  <si>
    <t>Sub-Bottom Profiler, Mu;tibeam Echosounder, Sidescan Sonar, Magnetometer</t>
  </si>
  <si>
    <t>NEP - EPCI 3 Geophysical Offshore Cable</t>
  </si>
  <si>
    <t>Various</t>
  </si>
  <si>
    <t>GS/1871</t>
  </si>
  <si>
    <t xml:space="preserve">Sub-Bottom Profiler, Multibeam, Sidecan Sonar, Magnetometer. Potentially two full route runs (148km) in 48 hours. </t>
  </si>
  <si>
    <t>Hornsea Three - UXO Clearance (Transmission) (LO)</t>
  </si>
  <si>
    <t>Orsted</t>
  </si>
  <si>
    <t>MLA/2024/00088/1</t>
  </si>
  <si>
    <t>Hornsea Three - UXO Clearance (Generation) (LO)</t>
  </si>
  <si>
    <t>MLA/2024/00675</t>
  </si>
  <si>
    <t>Hornsea Three - UXO Clearance (Transmission) (HO)</t>
  </si>
  <si>
    <t>UXO High Order</t>
  </si>
  <si>
    <t>BBC</t>
  </si>
  <si>
    <t>Only X1 HO detonation was required as part of this campagin.</t>
  </si>
  <si>
    <t>Pegasus West - Pipeline and Site Geophysical Survey (Sub-Bottom Profiler)</t>
  </si>
  <si>
    <t>INEOS</t>
  </si>
  <si>
    <t>GS/1886/0</t>
  </si>
  <si>
    <t>Sub-Bottom Profiler</t>
  </si>
  <si>
    <t>NEP - Phase 1 2DHR</t>
  </si>
  <si>
    <t>Seismic Survey</t>
  </si>
  <si>
    <t>42/25, 42/30, 43/21, 43/26</t>
  </si>
  <si>
    <t>GS/1853</t>
  </si>
  <si>
    <t>160 cu in</t>
  </si>
  <si>
    <t>2D High-Resolution Seismic</t>
  </si>
  <si>
    <t>Sofia - Monopiling (Abated)</t>
  </si>
  <si>
    <t>Sofia Offshore Wind Farm Ltd</t>
  </si>
  <si>
    <t>Piling Abated</t>
  </si>
  <si>
    <t>DCO/2013/00011</t>
  </si>
  <si>
    <t>Sofia - Monopiling (Unabated)</t>
  </si>
  <si>
    <t>Sizewell C - Nearshore (Subtidal) UXO Investigations</t>
  </si>
  <si>
    <t>Sizewell C Ltd</t>
  </si>
  <si>
    <t>Winter</t>
  </si>
  <si>
    <t>MLA/2024/00601</t>
  </si>
  <si>
    <t xml:space="preserve">Sofia have confirmed that no geophysical surveys will be conducted in 2025. </t>
  </si>
  <si>
    <t>Cyngus - Conductor Driving of the 44/12a-AFF Well</t>
  </si>
  <si>
    <t>Ithaca (NE) E&amp;P Ltd</t>
  </si>
  <si>
    <t>Other</t>
  </si>
  <si>
    <t>44/12</t>
  </si>
  <si>
    <t>DR/2500/5</t>
  </si>
  <si>
    <t>90 KJ</t>
  </si>
  <si>
    <t>Conductor driving with 15km EDR</t>
  </si>
  <si>
    <t>Cyngus - Conductor Driving of the 44/12a-AJ Well</t>
  </si>
  <si>
    <t>DR/2528/0</t>
  </si>
  <si>
    <t>Cyngus - Conductor Driving of the 44/12a-Slot 1 Well</t>
  </si>
  <si>
    <t>DR/2532/0</t>
  </si>
  <si>
    <t>Cyngus - Conductor Driving of the 44/12a-Slot 6 Well</t>
  </si>
  <si>
    <t>DR/2533/0</t>
  </si>
  <si>
    <t>NEP - EPCI 1 Geophysical Pipeline</t>
  </si>
  <si>
    <t>GS/1913</t>
  </si>
  <si>
    <t>Approved</t>
  </si>
  <si>
    <t xml:space="preserve">N/A </t>
  </si>
  <si>
    <t>Geophysical Unexploded Ordnance Survey utilising Sub-Bottom Profiler, Sidescan Sonar, Multibeam Echo Sounder and Magnetometer</t>
  </si>
  <si>
    <t>Expansion Seismic Part 1 (CS007) (NEP Expansion Stores)</t>
  </si>
  <si>
    <t>GS/1867</t>
  </si>
  <si>
    <t>400 cu in</t>
  </si>
  <si>
    <t>3D Seismic Survey, Multibeam Echosounder, Acoustic Doppler Current Profiler</t>
  </si>
  <si>
    <t>Baker and Abbey Site Surveys (Sub-Bottom Profiler)</t>
  </si>
  <si>
    <t>Petrogas</t>
  </si>
  <si>
    <t>GS/1900/0</t>
  </si>
  <si>
    <t>Submitted</t>
  </si>
  <si>
    <t>Sub-Bottom Profiler Survey</t>
  </si>
  <si>
    <t xml:space="preserve">Sizewell C - Pin Piling </t>
  </si>
  <si>
    <t>EDF Energy</t>
  </si>
  <si>
    <t>DCO/2013/00021</t>
  </si>
  <si>
    <t>Soft / slow start and marine mammal obervers</t>
  </si>
  <si>
    <t xml:space="preserve">55 piling days within a 180 day window </t>
  </si>
  <si>
    <t>Yes</t>
  </si>
  <si>
    <t xml:space="preserve">30 piling days within a 180 day window </t>
  </si>
  <si>
    <t>Hornsea Three - Pin Piling</t>
  </si>
  <si>
    <t>Pin Piling Abated</t>
  </si>
  <si>
    <t>DCO/2016/00001</t>
  </si>
  <si>
    <t>Proposed</t>
  </si>
  <si>
    <t>Single bubble curtain</t>
  </si>
  <si>
    <t xml:space="preserve">4 piling days within a 41 day window </t>
  </si>
  <si>
    <t xml:space="preserve">Ithaca - Conductor Piling </t>
  </si>
  <si>
    <t>Ithaca</t>
  </si>
  <si>
    <t>Conductor Piling</t>
  </si>
  <si>
    <t>Soft start, marine mammal observer</t>
  </si>
  <si>
    <t>Conductor piling</t>
  </si>
  <si>
    <t>Hoton Platform - New Well Conductor</t>
  </si>
  <si>
    <t>Perenco</t>
  </si>
  <si>
    <t>None</t>
  </si>
  <si>
    <t>Platypus</t>
  </si>
  <si>
    <t>GS/1976/0</t>
  </si>
  <si>
    <t>Harbour Energy - Geophysical Survey</t>
  </si>
  <si>
    <t xml:space="preserve">Awaiting further information from the developer. </t>
  </si>
  <si>
    <t>East Anglia Two - UXO Clearance (LO)</t>
  </si>
  <si>
    <t>DCO/2022/00005</t>
  </si>
  <si>
    <t xml:space="preserve">With the new EDRs, this activity no longer overlaps with the SNS SAC. Currently awaiting confirmation from case teams whether or not a SIP is required. If a SIP is not required, ask Becca if this activity should be removed from the tracker. </t>
  </si>
  <si>
    <t>East Anglia Two - UXO Clearance (HO)</t>
  </si>
  <si>
    <t>DC0/2022/00005</t>
  </si>
  <si>
    <t>Bubble Curtain</t>
  </si>
  <si>
    <t>NEP Phase 1 UXO Clearance (LO)</t>
  </si>
  <si>
    <t>MMO/PAM as required, compiance with permit conditions aligned with JNCC guidelines</t>
  </si>
  <si>
    <t>Main UXO clearance planned fro winter months outside the SAC. Contingency for 'low order' clearance of up to 10 chance encountered UXO during construction</t>
  </si>
  <si>
    <t>NEP Phase 1 UXO Clearance (HO Contingency)</t>
  </si>
  <si>
    <t>Main UXO clearance planned fro winter months outside the SAC. Contingency for 'high order' clearance of up to 3 chance encountered UXO during construction</t>
  </si>
  <si>
    <t>NEP Expansion Pipeline Routing Geophysical Survey</t>
  </si>
  <si>
    <t>NEP Phase 1 Pin Piling Monitoring Equipment</t>
  </si>
  <si>
    <t>Instalation methodology tbc. Pin piling worst case assumption</t>
  </si>
  <si>
    <t>NEP Expansion (C5025) Seismic Survey</t>
  </si>
  <si>
    <t>400 cuin source, MMO/PAM as required, compiance with permit conditions aligned with JNCC guidelines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</si>
  <si>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</si>
  <si>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</si>
  <si>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</si>
  <si>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2D High Resolution Shallow Siesmic Survey</t>
  </si>
  <si>
    <t>Dana Petroleum</t>
  </si>
  <si>
    <t>Norfolk Vanguard West - UXO Clearance (HO)</t>
  </si>
  <si>
    <t>RWE Renewables UK</t>
  </si>
  <si>
    <t>MLA/2025/00512</t>
  </si>
  <si>
    <t>Data has been provided with and without NAS. Without NAS the area overlap would be 938.31.</t>
  </si>
  <si>
    <t>East Anglia Three - Monopiling (Abated Scenario 1)</t>
  </si>
  <si>
    <t>MENCK Hammer</t>
  </si>
  <si>
    <t xml:space="preserve">Worst case scenario - X2 piles per day. This is outlined in the SIP, but is logisitcially and operationally unlikely. </t>
  </si>
  <si>
    <t>Hornsea Three - Contingency UXO Clearance (Transmission &amp; Generation) (LO)</t>
  </si>
  <si>
    <t>MLA/2025/00366</t>
  </si>
  <si>
    <t>MMMP ( MMObs, PAM, ADD's), 500m safety zone, Ntms, post-clearance MBES surveys</t>
  </si>
  <si>
    <t xml:space="preserve">LO deflagration only. 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</si>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</sst>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FFFFFF"/>
      <name val="Calibri Light"/>
      <family val="2"/>
    </font>
    <font>
      <b/>
      <sz val="14"/>
      <color rgb="FFFFFFFF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sz val="11"/>
      <color rgb="FF00000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05496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ED7D31"/>
        <bgColor rgb="FF000000"/>
      </patternFill>
    </fill>
    <fill>
      <patternFill patternType="solid">
        <fgColor rgb="FFA5A5A5"/>
        <bgColor rgb="FF000000"/>
      </patternFill>
    </fill>
    <fill>
      <patternFill patternType="lightUp">
        <fgColor rgb="FFE2EFDA"/>
        <bgColor rgb="FFEFF6EA"/>
      </patternFill>
    </fill>
    <fill>
      <patternFill patternType="solid">
        <fgColor rgb="FFFFFFFF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C9C9C9"/>
        <bgColor rgb="FF000000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8EA9DB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8EA9DB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86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14" fontId="5" fillId="2" borderId="10" xfId="0" applyNumberFormat="1" applyFont="1" applyFill="1" applyBorder="1" applyAlignment="1" applyProtection="1">
      <alignment horizontal="center" vertical="center"/>
      <protection locked="0"/>
    </xf>
    <xf numFmtId="14" fontId="5" fillId="2" borderId="8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2" borderId="12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9" fillId="2" borderId="13" xfId="0" applyFont="1" applyFill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4" borderId="0" xfId="0" applyFont="1" applyFill="1" applyAlignment="1">
      <alignment wrapText="1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3" fillId="0" borderId="0" xfId="0" applyFont="1" applyAlignment="1">
      <alignment horizontal="center" vertical="center" wrapText="1"/>
    </xf>
    <xf numFmtId="0" fontId="9" fillId="2" borderId="14" xfId="0" applyFont="1" applyFill="1" applyBorder="1" applyAlignment="1">
      <alignment vertical="center" wrapText="1"/>
    </xf>
    <xf numFmtId="0" fontId="9" fillId="2" borderId="12" xfId="0" applyFont="1" applyFill="1" applyBorder="1" applyAlignment="1">
      <alignment vertical="center" wrapText="1"/>
    </xf>
    <xf numFmtId="14" fontId="7" fillId="0" borderId="0" xfId="0" applyNumberFormat="1" applyFont="1" applyAlignment="1">
      <alignment horizontal="center" vertical="center" wrapText="1"/>
    </xf>
    <xf numFmtId="14" fontId="2" fillId="2" borderId="8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14" fontId="2" fillId="2" borderId="16" xfId="0" applyNumberFormat="1" applyFont="1" applyFill="1" applyBorder="1" applyAlignment="1">
      <alignment horizontal="center" vertical="center" wrapText="1"/>
    </xf>
    <xf numFmtId="10" fontId="12" fillId="0" borderId="0" xfId="1" applyNumberFormat="1" applyFont="1" applyAlignment="1">
      <alignment horizontal="center" vertical="center"/>
    </xf>
    <xf numFmtId="10" fontId="10" fillId="5" borderId="5" xfId="1" applyNumberFormat="1" applyFont="1" applyFill="1" applyBorder="1" applyAlignment="1">
      <alignment horizontal="center" vertical="center" wrapText="1"/>
    </xf>
    <xf numFmtId="10" fontId="10" fillId="5" borderId="2" xfId="1" applyNumberFormat="1" applyFont="1" applyFill="1" applyBorder="1" applyAlignment="1">
      <alignment horizontal="center" vertical="center" wrapText="1"/>
    </xf>
    <xf numFmtId="0" fontId="10" fillId="5" borderId="17" xfId="0" applyFont="1" applyFill="1" applyBorder="1" applyAlignment="1" applyProtection="1">
      <alignment horizontal="center" vertical="center" wrapText="1"/>
      <protection locked="0"/>
    </xf>
    <xf numFmtId="14" fontId="10" fillId="5" borderId="17" xfId="0" applyNumberFormat="1" applyFont="1" applyFill="1" applyBorder="1" applyAlignment="1" applyProtection="1">
      <alignment horizontal="center" vertical="center" wrapText="1"/>
      <protection locked="0"/>
    </xf>
    <xf numFmtId="0" fontId="15" fillId="6" borderId="18" xfId="0" applyFont="1" applyFill="1" applyBorder="1" applyAlignment="1">
      <alignment wrapText="1"/>
    </xf>
    <xf numFmtId="0" fontId="15" fillId="6" borderId="19" xfId="0" applyFont="1" applyFill="1" applyBorder="1" applyAlignment="1">
      <alignment wrapText="1"/>
    </xf>
    <xf numFmtId="0" fontId="15" fillId="7" borderId="19" xfId="0" applyFont="1" applyFill="1" applyBorder="1" applyAlignment="1">
      <alignment wrapText="1"/>
    </xf>
    <xf numFmtId="0" fontId="15" fillId="8" borderId="0" xfId="0" applyFont="1" applyFill="1" applyAlignment="1">
      <alignment wrapText="1"/>
    </xf>
    <xf numFmtId="0" fontId="15" fillId="8" borderId="20" xfId="0" applyFont="1" applyFill="1" applyBorder="1" applyAlignment="1">
      <alignment wrapText="1"/>
    </xf>
    <xf numFmtId="0" fontId="15" fillId="9" borderId="19" xfId="0" applyFont="1" applyFill="1" applyBorder="1" applyAlignment="1">
      <alignment wrapText="1"/>
    </xf>
    <xf numFmtId="0" fontId="16" fillId="6" borderId="0" xfId="0" applyFont="1" applyFill="1" applyAlignment="1">
      <alignment wrapText="1"/>
    </xf>
    <xf numFmtId="0" fontId="17" fillId="10" borderId="0" xfId="0" applyFont="1" applyFill="1"/>
    <xf numFmtId="0" fontId="17" fillId="10" borderId="0" xfId="0" applyFont="1" applyFill="1" applyAlignment="1">
      <alignment wrapText="1"/>
    </xf>
    <xf numFmtId="14" fontId="17" fillId="10" borderId="0" xfId="0" applyNumberFormat="1" applyFont="1" applyFill="1"/>
    <xf numFmtId="14" fontId="17" fillId="10" borderId="0" xfId="0" applyNumberFormat="1" applyFont="1" applyFill="1" applyAlignment="1">
      <alignment wrapText="1"/>
    </xf>
    <xf numFmtId="0" fontId="18" fillId="10" borderId="0" xfId="0" applyFont="1" applyFill="1" applyAlignment="1">
      <alignment wrapText="1"/>
    </xf>
    <xf numFmtId="0" fontId="19" fillId="11" borderId="0" xfId="0" applyFont="1" applyFill="1"/>
    <xf numFmtId="0" fontId="16" fillId="6" borderId="21" xfId="0" applyFont="1" applyFill="1" applyBorder="1" applyAlignment="1">
      <alignment wrapText="1"/>
    </xf>
    <xf numFmtId="0" fontId="19" fillId="11" borderId="21" xfId="0" applyFont="1" applyFill="1" applyBorder="1" applyAlignment="1">
      <alignment wrapText="1"/>
    </xf>
    <xf numFmtId="0" fontId="17" fillId="14" borderId="0" xfId="0" applyFont="1" applyFill="1" applyAlignment="1">
      <alignment wrapText="1"/>
    </xf>
    <xf numFmtId="0" fontId="17" fillId="15" borderId="0" xfId="0" applyFont="1" applyFill="1" applyAlignment="1">
      <alignment wrapText="1"/>
    </xf>
    <xf numFmtId="0" fontId="19" fillId="12" borderId="0" xfId="0" applyFont="1" applyFill="1"/>
    <xf numFmtId="14" fontId="19" fillId="13" borderId="0" xfId="0" applyNumberFormat="1" applyFont="1" applyFill="1"/>
    <xf numFmtId="0" fontId="19" fillId="13" borderId="0" xfId="0" applyFont="1" applyFill="1"/>
    <xf numFmtId="0" fontId="19" fillId="13" borderId="0" xfId="0" applyFont="1" applyFill="1" applyAlignment="1">
      <alignment wrapText="1"/>
    </xf>
    <xf numFmtId="0" fontId="17" fillId="14" borderId="0" xfId="0" applyFont="1" applyFill="1"/>
    <xf numFmtId="0" fontId="19" fillId="14" borderId="0" xfId="0" applyFont="1" applyFill="1"/>
    <xf numFmtId="0" fontId="17" fillId="13" borderId="0" xfId="0" applyFont="1" applyFill="1"/>
    <xf numFmtId="0" fontId="19" fillId="11" borderId="0" xfId="0" applyFont="1" applyFill="1" applyAlignment="1">
      <alignment wrapText="1"/>
    </xf>
    <xf numFmtId="0" fontId="19" fillId="12" borderId="0" xfId="0" applyFont="1" applyFill="1" applyAlignment="1">
      <alignment wrapText="1"/>
    </xf>
    <xf numFmtId="14" fontId="19" fillId="13" borderId="0" xfId="0" applyNumberFormat="1" applyFont="1" applyFill="1" applyAlignment="1">
      <alignment wrapText="1"/>
    </xf>
    <xf numFmtId="0" fontId="17" fillId="13" borderId="0" xfId="0" applyFont="1" applyFill="1" applyAlignment="1">
      <alignment wrapText="1"/>
    </xf>
    <xf numFmtId="0" fontId="19" fillId="14" borderId="0" xfId="0" applyFont="1" applyFill="1" applyAlignment="1">
      <alignment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14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13">
  <autoFilter ref="B12:J51" xr:uid="{02B4AB80-8AC4-47D5-8C15-7A71D7753D4B}"/>
  <tableColumns count="9">
    <tableColumn id="1" xr3:uid="{89973DC1-CE94-4249-BAA1-87C40CF0932A}" name="Project name" dataDxfId="12">
      <calculatedColumnFormula>IFERROR(_xlfn.XLOOKUP(A13,#REF!,#REF!),"")</calculatedColumnFormula>
    </tableColumn>
    <tableColumn id="2" xr3:uid="{3F54B527-6D35-48DF-9B5A-F52425B1A0BF}" name="Activity Type" dataDxfId="11">
      <calculatedColumnFormula>IFERROR(_xlfn.XLOOKUP(A13,#REF!,#REF!),"")</calculatedColumnFormula>
    </tableColumn>
    <tableColumn id="3" xr3:uid="{B9B4775D-287F-4987-A48A-F9A2D9397551}" name="Proposed Start Date" dataDxfId="10">
      <calculatedColumnFormula>IFERROR(_xlfn.XLOOKUP(A13,#REF!,#REF!),"")</calculatedColumnFormula>
    </tableColumn>
    <tableColumn id="4" xr3:uid="{7F51CC69-4F0D-4AC1-AAF7-0D1D7DC1BE5F}" name="Proposed End Date" dataDxfId="9">
      <calculatedColumnFormula>IFERROR(_xlfn.XLOOKUP(A13,#REF!,#REF!),"")</calculatedColumnFormula>
    </tableColumn>
    <tableColumn id="5" xr3:uid="{C540FF98-981C-4A62-840F-411477A4FCD3}" name="Proposed days" dataDxfId="8">
      <calculatedColumnFormula>IFERROR(_xlfn.XLOOKUP(A13,#REF!,#REF!),"")</calculatedColumnFormula>
    </tableColumn>
    <tableColumn id="6" xr3:uid="{6946745A-C847-42CC-BF90-C703D45644D2}" name="Impact on SAC (km2)" dataDxfId="7">
      <calculatedColumnFormula array="1">IFERROR(_xlfn.XLOOKUP(A13,#REF!,IF(C2="Summer",#REF!,#REF!)),"")</calculatedColumnFormula>
    </tableColumn>
    <tableColumn id="7" xr3:uid="{5F47B047-ED83-4085-ADCA-C1093A901B5D}" name="Impact on SAC (%)" dataDxfId="6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5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4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Y48"/>
  <sheetViews>
    <sheetView tabSelected="1" topLeftCell="A14" zoomScale="93" zoomScaleNormal="93" workbookViewId="0">
      <selection activeCell="N20" sqref="N20"/>
    </sheetView>
  </sheetViews>
  <sheetFormatPr defaultRowHeight="14.5" x14ac:dyDescent="0.35"/>
  <cols>
    <col min="1" max="1" width="68.7265625" style="19" customWidth="1"/>
    <col min="2" max="2" width="31.81640625" style="19" customWidth="1"/>
    <col min="3" max="3" width="19.7265625" style="19" bestFit="1" customWidth="1"/>
    <col min="4" max="4" width="18.54296875" style="19" bestFit="1" customWidth="1"/>
    <col min="5" max="5" width="21.7265625" style="19" customWidth="1"/>
    <col min="6" max="6" width="20.54296875" style="19" customWidth="1"/>
    <col min="7" max="7" width="26.453125" style="19" customWidth="1"/>
    <col min="8" max="8" width="19.26953125" style="19" customWidth="1"/>
    <col min="9" max="10" width="16.453125" style="19" customWidth="1"/>
    <col min="11" max="13" width="18.453125" style="19" customWidth="1"/>
    <col min="14" max="14" width="30" style="19" customWidth="1"/>
    <col min="15" max="15" width="18.453125" style="19" customWidth="1"/>
    <col min="16" max="17" width="18.453125" style="19" hidden="1" customWidth="1"/>
    <col min="18" max="18" width="30.26953125" style="19" customWidth="1"/>
    <col min="19" max="19" width="22.26953125" customWidth="1"/>
    <col min="20" max="20" width="14.7265625" customWidth="1"/>
    <col min="21" max="22" width="16.54296875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5" ht="8.25" customHeight="1" x14ac:dyDescent="0.35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5" ht="62.65" customHeight="1" x14ac:dyDescent="0.35">
      <c r="A2" s="68" t="s">
        <v>0</v>
      </c>
      <c r="B2" s="6"/>
      <c r="C2" s="70" t="s">
        <v>1</v>
      </c>
      <c r="D2" s="71"/>
      <c r="E2" s="72"/>
      <c r="F2" s="18"/>
      <c r="G2" s="73" t="s">
        <v>2</v>
      </c>
      <c r="H2" s="7">
        <v>45931</v>
      </c>
      <c r="I2" s="75" t="s">
        <v>3</v>
      </c>
      <c r="J2" s="9">
        <v>46113</v>
      </c>
      <c r="K2"/>
      <c r="L2" s="14" t="s">
        <v>4</v>
      </c>
      <c r="M2" s="15">
        <v>27028</v>
      </c>
      <c r="N2" s="16" t="s">
        <v>5</v>
      </c>
      <c r="O2" s="17">
        <f>J3-J2+1</f>
        <v>183</v>
      </c>
      <c r="P2"/>
      <c r="Q2"/>
      <c r="R2"/>
    </row>
    <row r="3" spans="1:25" ht="61.15" customHeight="1" x14ac:dyDescent="0.35">
      <c r="A3" s="69"/>
      <c r="B3" s="6"/>
      <c r="C3" s="77" t="s">
        <v>6</v>
      </c>
      <c r="D3" s="78"/>
      <c r="E3" s="79"/>
      <c r="F3" s="18"/>
      <c r="G3" s="74"/>
      <c r="H3" s="8">
        <v>46112</v>
      </c>
      <c r="I3" s="76"/>
      <c r="J3" s="10">
        <v>46295</v>
      </c>
      <c r="K3"/>
      <c r="L3" s="11" t="s">
        <v>7</v>
      </c>
      <c r="M3" s="12">
        <v>12696</v>
      </c>
      <c r="N3" s="13" t="s">
        <v>8</v>
      </c>
      <c r="O3" s="5">
        <f>H3-H2+1</f>
        <v>182</v>
      </c>
      <c r="P3"/>
      <c r="Q3"/>
      <c r="R3"/>
    </row>
    <row r="4" spans="1:25" ht="30.65" customHeight="1" x14ac:dyDescent="0.35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5" s="4" customFormat="1" ht="74.150000000000006" customHeight="1" x14ac:dyDescent="0.35">
      <c r="A5" s="39" t="s">
        <v>9</v>
      </c>
      <c r="B5" s="40" t="s">
        <v>10</v>
      </c>
      <c r="C5" s="40" t="s">
        <v>11</v>
      </c>
      <c r="D5" s="40" t="s">
        <v>12</v>
      </c>
      <c r="E5" s="40" t="s">
        <v>13</v>
      </c>
      <c r="F5" s="40" t="s">
        <v>14</v>
      </c>
      <c r="G5" s="41" t="s">
        <v>15</v>
      </c>
      <c r="H5" s="41" t="s">
        <v>16</v>
      </c>
      <c r="I5" s="41" t="s">
        <v>17</v>
      </c>
      <c r="J5" s="42" t="s">
        <v>18</v>
      </c>
      <c r="K5" s="42" t="s">
        <v>19</v>
      </c>
      <c r="L5" s="42" t="s">
        <v>20</v>
      </c>
      <c r="M5" s="42" t="s">
        <v>21</v>
      </c>
      <c r="N5" s="42" t="s">
        <v>22</v>
      </c>
      <c r="O5" s="42" t="s">
        <v>23</v>
      </c>
      <c r="P5" s="42" t="s">
        <v>24</v>
      </c>
      <c r="Q5" s="42" t="s">
        <v>25</v>
      </c>
      <c r="R5" s="43" t="s">
        <v>26</v>
      </c>
      <c r="S5" s="44" t="s">
        <v>27</v>
      </c>
      <c r="T5" s="44" t="s">
        <v>28</v>
      </c>
      <c r="U5" s="44" t="s">
        <v>29</v>
      </c>
      <c r="V5" s="44" t="s">
        <v>30</v>
      </c>
      <c r="W5" s="44" t="s">
        <v>31</v>
      </c>
      <c r="X5"/>
      <c r="Y5"/>
    </row>
    <row r="6" spans="1:25" s="1" customFormat="1" ht="39" customHeight="1" x14ac:dyDescent="0.45">
      <c r="A6" s="45" t="s">
        <v>32</v>
      </c>
      <c r="B6" s="46" t="s">
        <v>33</v>
      </c>
      <c r="C6" s="46" t="s">
        <v>34</v>
      </c>
      <c r="D6" s="46" t="s">
        <v>35</v>
      </c>
      <c r="E6" s="47" t="s">
        <v>36</v>
      </c>
      <c r="F6" s="47"/>
      <c r="G6" s="46" t="s">
        <v>37</v>
      </c>
      <c r="H6" s="46"/>
      <c r="I6" s="47" t="s">
        <v>38</v>
      </c>
      <c r="J6" s="48">
        <v>45853</v>
      </c>
      <c r="K6" s="48">
        <v>45764</v>
      </c>
      <c r="L6" s="48">
        <v>45765</v>
      </c>
      <c r="M6" s="46">
        <v>2</v>
      </c>
      <c r="N6" s="46">
        <v>2873</v>
      </c>
      <c r="O6" s="47"/>
      <c r="P6" s="46"/>
      <c r="Q6" s="46"/>
      <c r="R6" s="46" t="s">
        <v>39</v>
      </c>
      <c r="S6" s="47" t="b">
        <v>0</v>
      </c>
      <c r="T6" s="47" t="b">
        <v>1</v>
      </c>
      <c r="U6" s="46">
        <v>0</v>
      </c>
      <c r="V6" s="46">
        <v>10.63</v>
      </c>
      <c r="W6" s="47">
        <v>6</v>
      </c>
      <c r="X6"/>
      <c r="Y6"/>
    </row>
    <row r="7" spans="1:25" s="1" customFormat="1" ht="39" customHeight="1" x14ac:dyDescent="0.45">
      <c r="A7" s="45" t="s">
        <v>40</v>
      </c>
      <c r="B7" s="47" t="s">
        <v>33</v>
      </c>
      <c r="C7" s="47" t="s">
        <v>34</v>
      </c>
      <c r="D7" s="47" t="s">
        <v>35</v>
      </c>
      <c r="E7" s="47" t="s">
        <v>36</v>
      </c>
      <c r="F7" s="47"/>
      <c r="G7" s="47" t="s">
        <v>41</v>
      </c>
      <c r="H7" s="47"/>
      <c r="I7" s="47" t="s">
        <v>38</v>
      </c>
      <c r="J7" s="48">
        <v>45953</v>
      </c>
      <c r="K7" s="48">
        <v>45872</v>
      </c>
      <c r="L7" s="48">
        <v>45885</v>
      </c>
      <c r="M7" s="47">
        <v>3</v>
      </c>
      <c r="N7" s="47">
        <v>150.69999999999999</v>
      </c>
      <c r="O7" s="47"/>
      <c r="P7" s="47"/>
      <c r="Q7" s="47"/>
      <c r="R7" s="47" t="s">
        <v>39</v>
      </c>
      <c r="S7" s="47" t="b">
        <v>0</v>
      </c>
      <c r="T7" s="47" t="b">
        <v>1</v>
      </c>
      <c r="U7" s="46">
        <v>0</v>
      </c>
      <c r="V7" s="46">
        <v>0.56000000000000005</v>
      </c>
      <c r="W7" s="47">
        <v>7</v>
      </c>
      <c r="X7"/>
      <c r="Y7"/>
    </row>
    <row r="8" spans="1:25" s="1" customFormat="1" ht="39" customHeight="1" x14ac:dyDescent="0.45">
      <c r="A8" s="45" t="s">
        <v>42</v>
      </c>
      <c r="B8" s="47" t="s">
        <v>33</v>
      </c>
      <c r="C8" s="47" t="s">
        <v>34</v>
      </c>
      <c r="D8" s="47" t="s">
        <v>43</v>
      </c>
      <c r="E8" s="47" t="s">
        <v>36</v>
      </c>
      <c r="F8" s="47"/>
      <c r="G8" s="47" t="s">
        <v>44</v>
      </c>
      <c r="H8" s="47"/>
      <c r="I8" s="47" t="s">
        <v>38</v>
      </c>
      <c r="J8" s="49">
        <v>45853</v>
      </c>
      <c r="K8" s="48">
        <v>45787</v>
      </c>
      <c r="L8" s="48">
        <v>45789</v>
      </c>
      <c r="M8" s="47">
        <v>3</v>
      </c>
      <c r="N8" s="47">
        <v>0.2</v>
      </c>
      <c r="O8" s="47"/>
      <c r="P8" s="47"/>
      <c r="Q8" s="47"/>
      <c r="R8" s="47" t="s">
        <v>39</v>
      </c>
      <c r="S8" s="47" t="b">
        <v>0</v>
      </c>
      <c r="T8" s="47" t="b">
        <v>1</v>
      </c>
      <c r="U8" s="46">
        <v>0</v>
      </c>
      <c r="V8" s="46">
        <v>0</v>
      </c>
      <c r="W8" s="47">
        <v>9</v>
      </c>
      <c r="X8"/>
      <c r="Y8"/>
    </row>
    <row r="9" spans="1:25" s="1" customFormat="1" ht="39" customHeight="1" x14ac:dyDescent="0.45">
      <c r="A9" s="45" t="s">
        <v>45</v>
      </c>
      <c r="B9" s="47" t="s">
        <v>46</v>
      </c>
      <c r="C9" s="47" t="s">
        <v>34</v>
      </c>
      <c r="D9" s="47" t="s">
        <v>47</v>
      </c>
      <c r="E9" s="47" t="s">
        <v>48</v>
      </c>
      <c r="F9" s="47"/>
      <c r="G9" s="47" t="s">
        <v>49</v>
      </c>
      <c r="H9" s="47"/>
      <c r="I9" s="47" t="s">
        <v>38</v>
      </c>
      <c r="J9" s="49">
        <v>45909</v>
      </c>
      <c r="K9" s="49">
        <v>45880</v>
      </c>
      <c r="L9" s="49">
        <v>45880</v>
      </c>
      <c r="M9" s="47">
        <v>1</v>
      </c>
      <c r="N9" s="47">
        <v>706</v>
      </c>
      <c r="O9" s="47"/>
      <c r="P9" s="47"/>
      <c r="Q9" s="47"/>
      <c r="R9" s="47" t="s">
        <v>39</v>
      </c>
      <c r="S9" s="47" t="b">
        <v>0</v>
      </c>
      <c r="T9" s="47" t="b">
        <v>1</v>
      </c>
      <c r="U9" s="47">
        <v>0</v>
      </c>
      <c r="V9" s="47">
        <v>2.61</v>
      </c>
      <c r="W9" s="47">
        <v>12</v>
      </c>
      <c r="X9"/>
      <c r="Y9"/>
    </row>
    <row r="10" spans="1:25" s="1" customFormat="1" ht="39" customHeight="1" x14ac:dyDescent="0.45">
      <c r="A10" s="45" t="s">
        <v>50</v>
      </c>
      <c r="B10" s="47" t="s">
        <v>46</v>
      </c>
      <c r="C10" s="47" t="s">
        <v>34</v>
      </c>
      <c r="D10" s="47" t="s">
        <v>51</v>
      </c>
      <c r="E10" s="47" t="s">
        <v>48</v>
      </c>
      <c r="F10" s="47"/>
      <c r="G10" s="47" t="s">
        <v>52</v>
      </c>
      <c r="H10" s="47"/>
      <c r="I10" s="47" t="s">
        <v>38</v>
      </c>
      <c r="J10" s="49">
        <v>45853</v>
      </c>
      <c r="K10" s="49">
        <v>45481</v>
      </c>
      <c r="L10" s="49">
        <v>45774</v>
      </c>
      <c r="M10" s="47">
        <v>55</v>
      </c>
      <c r="N10" s="47">
        <v>79</v>
      </c>
      <c r="O10" s="47"/>
      <c r="P10" s="47"/>
      <c r="Q10" s="47"/>
      <c r="R10" s="47" t="s">
        <v>39</v>
      </c>
      <c r="S10" s="47" t="b">
        <v>1</v>
      </c>
      <c r="T10" s="47" t="b">
        <v>1</v>
      </c>
      <c r="U10" s="47">
        <v>0.62</v>
      </c>
      <c r="V10" s="47">
        <v>0.28999999999999998</v>
      </c>
      <c r="W10" s="47">
        <v>14</v>
      </c>
      <c r="X10"/>
      <c r="Y10"/>
    </row>
    <row r="11" spans="1:25" s="1" customFormat="1" ht="39" customHeight="1" x14ac:dyDescent="0.45">
      <c r="A11" s="45" t="s">
        <v>53</v>
      </c>
      <c r="B11" s="46" t="s">
        <v>54</v>
      </c>
      <c r="C11" s="46" t="s">
        <v>55</v>
      </c>
      <c r="D11" s="46" t="s">
        <v>43</v>
      </c>
      <c r="E11" s="46" t="s">
        <v>36</v>
      </c>
      <c r="F11" s="46" t="s">
        <v>56</v>
      </c>
      <c r="G11" s="46" t="s">
        <v>57</v>
      </c>
      <c r="H11" s="46"/>
      <c r="I11" s="47" t="s">
        <v>38</v>
      </c>
      <c r="J11" s="48">
        <v>45867</v>
      </c>
      <c r="K11" s="48">
        <v>45762</v>
      </c>
      <c r="L11" s="48">
        <v>45784</v>
      </c>
      <c r="M11" s="46">
        <v>20</v>
      </c>
      <c r="N11" s="46">
        <v>115</v>
      </c>
      <c r="O11" s="46" t="s">
        <v>58</v>
      </c>
      <c r="P11" s="46"/>
      <c r="Q11" s="47" t="s">
        <v>59</v>
      </c>
      <c r="R11" s="47" t="s">
        <v>39</v>
      </c>
      <c r="S11" s="47" t="b">
        <v>0</v>
      </c>
      <c r="T11" s="46" t="b">
        <v>1</v>
      </c>
      <c r="U11" s="46">
        <v>0</v>
      </c>
      <c r="V11" s="46">
        <v>0.43</v>
      </c>
      <c r="W11" s="47">
        <v>16</v>
      </c>
      <c r="X11"/>
      <c r="Y11"/>
    </row>
    <row r="12" spans="1:25" s="1" customFormat="1" ht="39" customHeight="1" x14ac:dyDescent="0.45">
      <c r="A12" s="45" t="s">
        <v>60</v>
      </c>
      <c r="B12" s="46" t="s">
        <v>54</v>
      </c>
      <c r="C12" s="46" t="s">
        <v>55</v>
      </c>
      <c r="D12" s="46" t="s">
        <v>43</v>
      </c>
      <c r="E12" s="46" t="s">
        <v>36</v>
      </c>
      <c r="F12" s="46" t="s">
        <v>61</v>
      </c>
      <c r="G12" s="46" t="s">
        <v>62</v>
      </c>
      <c r="H12" s="46"/>
      <c r="I12" s="47" t="s">
        <v>38</v>
      </c>
      <c r="J12" s="48">
        <v>45867</v>
      </c>
      <c r="K12" s="48">
        <v>45769</v>
      </c>
      <c r="L12" s="48">
        <v>45786</v>
      </c>
      <c r="M12" s="46">
        <v>12</v>
      </c>
      <c r="N12" s="46">
        <v>121</v>
      </c>
      <c r="O12" s="46" t="s">
        <v>58</v>
      </c>
      <c r="P12" s="46"/>
      <c r="Q12" s="47" t="s">
        <v>63</v>
      </c>
      <c r="R12" s="47" t="s">
        <v>39</v>
      </c>
      <c r="S12" s="47" t="b">
        <v>0</v>
      </c>
      <c r="T12" s="46" t="b">
        <v>1</v>
      </c>
      <c r="U12" s="46">
        <v>0</v>
      </c>
      <c r="V12" s="46">
        <v>0.45</v>
      </c>
      <c r="W12" s="47">
        <v>17</v>
      </c>
      <c r="X12"/>
      <c r="Y12"/>
    </row>
    <row r="13" spans="1:25" s="1" customFormat="1" ht="39" customHeight="1" x14ac:dyDescent="0.45">
      <c r="A13" s="45" t="s">
        <v>64</v>
      </c>
      <c r="B13" s="47" t="s">
        <v>65</v>
      </c>
      <c r="C13" s="47" t="s">
        <v>34</v>
      </c>
      <c r="D13" s="47" t="s">
        <v>51</v>
      </c>
      <c r="E13" s="47" t="s">
        <v>36</v>
      </c>
      <c r="F13" s="47"/>
      <c r="G13" s="47" t="s">
        <v>66</v>
      </c>
      <c r="H13" s="47"/>
      <c r="I13" s="47" t="s">
        <v>38</v>
      </c>
      <c r="J13" s="49">
        <v>45853</v>
      </c>
      <c r="K13" s="48">
        <v>45566</v>
      </c>
      <c r="L13" s="48">
        <v>45762</v>
      </c>
      <c r="M13" s="47">
        <v>24</v>
      </c>
      <c r="N13" s="47">
        <v>79</v>
      </c>
      <c r="O13" s="47"/>
      <c r="P13" s="47"/>
      <c r="Q13" s="47"/>
      <c r="R13" s="47" t="s">
        <v>39</v>
      </c>
      <c r="S13" s="47" t="b">
        <v>0</v>
      </c>
      <c r="T13" s="46" t="b">
        <v>1</v>
      </c>
      <c r="U13" s="46">
        <v>0</v>
      </c>
      <c r="V13" s="46">
        <v>0.28999999999999998</v>
      </c>
      <c r="W13" s="47">
        <v>21</v>
      </c>
      <c r="X13"/>
      <c r="Y13"/>
    </row>
    <row r="14" spans="1:25" ht="39" customHeight="1" x14ac:dyDescent="0.45">
      <c r="A14" s="45" t="s">
        <v>67</v>
      </c>
      <c r="B14" s="47" t="s">
        <v>65</v>
      </c>
      <c r="C14" s="47" t="s">
        <v>34</v>
      </c>
      <c r="D14" s="47" t="s">
        <v>51</v>
      </c>
      <c r="E14" s="47" t="s">
        <v>36</v>
      </c>
      <c r="F14" s="47"/>
      <c r="G14" s="47" t="s">
        <v>68</v>
      </c>
      <c r="H14" s="47"/>
      <c r="I14" s="47" t="s">
        <v>38</v>
      </c>
      <c r="J14" s="49">
        <v>45929</v>
      </c>
      <c r="K14" s="48">
        <v>45876</v>
      </c>
      <c r="L14" s="48">
        <v>45907</v>
      </c>
      <c r="M14" s="47">
        <v>27</v>
      </c>
      <c r="N14" s="47">
        <v>79</v>
      </c>
      <c r="O14" s="47"/>
      <c r="P14" s="47"/>
      <c r="Q14" s="47"/>
      <c r="R14" s="47" t="s">
        <v>39</v>
      </c>
      <c r="S14" s="47" t="b">
        <v>0</v>
      </c>
      <c r="T14" s="46" t="b">
        <v>1</v>
      </c>
      <c r="U14" s="46">
        <v>0</v>
      </c>
      <c r="V14" s="46">
        <v>0.28999999999999998</v>
      </c>
      <c r="W14" s="47">
        <v>22</v>
      </c>
    </row>
    <row r="15" spans="1:25" s="3" customFormat="1" ht="39" customHeight="1" x14ac:dyDescent="0.45">
      <c r="A15" s="45" t="s">
        <v>69</v>
      </c>
      <c r="B15" s="47" t="s">
        <v>65</v>
      </c>
      <c r="C15" s="47" t="s">
        <v>34</v>
      </c>
      <c r="D15" s="47" t="s">
        <v>70</v>
      </c>
      <c r="E15" s="47" t="s">
        <v>36</v>
      </c>
      <c r="F15" s="47"/>
      <c r="G15" s="47" t="s">
        <v>66</v>
      </c>
      <c r="H15" s="47"/>
      <c r="I15" s="47" t="s">
        <v>38</v>
      </c>
      <c r="J15" s="49">
        <v>45853</v>
      </c>
      <c r="K15" s="48">
        <v>45603</v>
      </c>
      <c r="L15" s="48">
        <v>45603</v>
      </c>
      <c r="M15" s="47">
        <v>1</v>
      </c>
      <c r="N15" s="47">
        <v>707</v>
      </c>
      <c r="O15" s="47"/>
      <c r="P15" s="47" t="s">
        <v>71</v>
      </c>
      <c r="Q15" s="47" t="s">
        <v>72</v>
      </c>
      <c r="R15" s="47" t="s">
        <v>39</v>
      </c>
      <c r="S15" s="47" t="b">
        <v>0</v>
      </c>
      <c r="T15" s="46" t="b">
        <v>1</v>
      </c>
      <c r="U15" s="46">
        <v>0</v>
      </c>
      <c r="V15" s="46">
        <v>2.62</v>
      </c>
      <c r="W15" s="47">
        <v>23</v>
      </c>
      <c r="X15"/>
      <c r="Y15"/>
    </row>
    <row r="16" spans="1:25" s="3" customFormat="1" ht="39" customHeight="1" x14ac:dyDescent="0.45">
      <c r="A16" s="45" t="s">
        <v>73</v>
      </c>
      <c r="B16" s="46" t="s">
        <v>74</v>
      </c>
      <c r="C16" s="46" t="s">
        <v>55</v>
      </c>
      <c r="D16" s="46" t="s">
        <v>43</v>
      </c>
      <c r="E16" s="46"/>
      <c r="F16" s="46"/>
      <c r="G16" s="46" t="s">
        <v>75</v>
      </c>
      <c r="H16" s="46"/>
      <c r="I16" s="46" t="s">
        <v>38</v>
      </c>
      <c r="J16" s="48">
        <v>45867</v>
      </c>
      <c r="K16" s="48">
        <v>45768</v>
      </c>
      <c r="L16" s="48">
        <v>45803</v>
      </c>
      <c r="M16" s="46">
        <v>36</v>
      </c>
      <c r="N16" s="46">
        <v>471</v>
      </c>
      <c r="O16" s="46"/>
      <c r="P16" s="46"/>
      <c r="Q16" s="47" t="s">
        <v>76</v>
      </c>
      <c r="R16" s="46" t="s">
        <v>39</v>
      </c>
      <c r="S16" s="47" t="b">
        <v>0</v>
      </c>
      <c r="T16" s="46" t="b">
        <v>1</v>
      </c>
      <c r="U16" s="46">
        <v>0</v>
      </c>
      <c r="V16" s="46">
        <v>1.74</v>
      </c>
      <c r="W16" s="47">
        <v>27</v>
      </c>
      <c r="X16"/>
      <c r="Y16"/>
    </row>
    <row r="17" spans="1:25" ht="39" customHeight="1" x14ac:dyDescent="0.45">
      <c r="A17" s="45" t="s">
        <v>77</v>
      </c>
      <c r="B17" s="47" t="s">
        <v>54</v>
      </c>
      <c r="C17" s="47" t="s">
        <v>55</v>
      </c>
      <c r="D17" s="47" t="s">
        <v>78</v>
      </c>
      <c r="E17" s="47" t="s">
        <v>36</v>
      </c>
      <c r="F17" s="47" t="s">
        <v>79</v>
      </c>
      <c r="G17" s="47" t="s">
        <v>80</v>
      </c>
      <c r="H17" s="50"/>
      <c r="I17" s="47" t="s">
        <v>38</v>
      </c>
      <c r="J17" s="48">
        <v>45867</v>
      </c>
      <c r="K17" s="48">
        <v>45748</v>
      </c>
      <c r="L17" s="48">
        <v>45756</v>
      </c>
      <c r="M17" s="47">
        <v>8</v>
      </c>
      <c r="N17" s="47">
        <v>798</v>
      </c>
      <c r="O17" s="47" t="s">
        <v>81</v>
      </c>
      <c r="P17" s="47"/>
      <c r="Q17" s="47" t="s">
        <v>82</v>
      </c>
      <c r="R17" s="47" t="s">
        <v>39</v>
      </c>
      <c r="S17" s="47" t="b">
        <v>0</v>
      </c>
      <c r="T17" s="46" t="b">
        <v>1</v>
      </c>
      <c r="U17" s="46">
        <v>0</v>
      </c>
      <c r="V17" s="46">
        <v>2.95</v>
      </c>
      <c r="W17" s="47">
        <v>28</v>
      </c>
    </row>
    <row r="18" spans="1:25" ht="39" customHeight="1" x14ac:dyDescent="0.45">
      <c r="A18" s="45" t="s">
        <v>83</v>
      </c>
      <c r="B18" s="47" t="s">
        <v>84</v>
      </c>
      <c r="C18" s="47" t="s">
        <v>34</v>
      </c>
      <c r="D18" s="46" t="s">
        <v>85</v>
      </c>
      <c r="E18" s="46" t="s">
        <v>36</v>
      </c>
      <c r="F18" s="46"/>
      <c r="G18" s="47" t="s">
        <v>86</v>
      </c>
      <c r="H18" s="47"/>
      <c r="I18" s="47" t="s">
        <v>38</v>
      </c>
      <c r="J18" s="49">
        <v>45853</v>
      </c>
      <c r="K18" s="48">
        <v>45749</v>
      </c>
      <c r="L18" s="49">
        <v>45823</v>
      </c>
      <c r="M18" s="46">
        <v>23</v>
      </c>
      <c r="N18" s="46">
        <v>871.58</v>
      </c>
      <c r="O18" s="46"/>
      <c r="P18" s="46" t="s">
        <v>71</v>
      </c>
      <c r="Q18" s="47"/>
      <c r="R18" s="47" t="s">
        <v>39</v>
      </c>
      <c r="S18" s="47" t="b">
        <v>0</v>
      </c>
      <c r="T18" s="46" t="b">
        <v>1</v>
      </c>
      <c r="U18" s="46">
        <v>0</v>
      </c>
      <c r="V18" s="46">
        <v>3.22</v>
      </c>
      <c r="W18" s="47">
        <v>31</v>
      </c>
    </row>
    <row r="19" spans="1:25" ht="102.65" customHeight="1" x14ac:dyDescent="0.45">
      <c r="A19" s="45" t="s">
        <v>87</v>
      </c>
      <c r="B19" s="47" t="s">
        <v>84</v>
      </c>
      <c r="C19" s="47" t="s">
        <v>34</v>
      </c>
      <c r="D19" s="46" t="s">
        <v>35</v>
      </c>
      <c r="E19" s="46" t="s">
        <v>36</v>
      </c>
      <c r="F19" s="46"/>
      <c r="G19" s="47" t="s">
        <v>86</v>
      </c>
      <c r="H19" s="47"/>
      <c r="I19" s="47" t="s">
        <v>38</v>
      </c>
      <c r="J19" s="49">
        <v>45853</v>
      </c>
      <c r="K19" s="48">
        <v>45777</v>
      </c>
      <c r="L19" s="49">
        <v>45851</v>
      </c>
      <c r="M19" s="46">
        <v>4</v>
      </c>
      <c r="N19" s="46">
        <v>1928.38</v>
      </c>
      <c r="O19" s="46"/>
      <c r="P19" s="46"/>
      <c r="Q19" s="47"/>
      <c r="R19" s="47" t="s">
        <v>39</v>
      </c>
      <c r="S19" s="47" t="b">
        <v>0</v>
      </c>
      <c r="T19" s="46" t="b">
        <v>1</v>
      </c>
      <c r="U19" s="46">
        <v>0</v>
      </c>
      <c r="V19" s="46">
        <v>7.13</v>
      </c>
      <c r="W19" s="47">
        <v>32</v>
      </c>
    </row>
    <row r="20" spans="1:25" s="3" customFormat="1" ht="107.15" customHeight="1" x14ac:dyDescent="0.45">
      <c r="A20" s="45" t="s">
        <v>88</v>
      </c>
      <c r="B20" s="46" t="s">
        <v>89</v>
      </c>
      <c r="C20" s="46" t="s">
        <v>34</v>
      </c>
      <c r="D20" s="46" t="s">
        <v>43</v>
      </c>
      <c r="E20" s="46" t="s">
        <v>90</v>
      </c>
      <c r="F20" s="46"/>
      <c r="G20" s="46" t="s">
        <v>91</v>
      </c>
      <c r="H20" s="46"/>
      <c r="I20" s="46" t="s">
        <v>38</v>
      </c>
      <c r="J20" s="48">
        <v>45853</v>
      </c>
      <c r="K20" s="48">
        <v>45741</v>
      </c>
      <c r="L20" s="48">
        <v>45794</v>
      </c>
      <c r="M20" s="46">
        <v>81</v>
      </c>
      <c r="N20" s="46">
        <v>434</v>
      </c>
      <c r="O20" s="46"/>
      <c r="P20" s="46"/>
      <c r="Q20" s="47" t="s">
        <v>92</v>
      </c>
      <c r="R20" s="46" t="s">
        <v>39</v>
      </c>
      <c r="S20" s="46" t="b">
        <v>1</v>
      </c>
      <c r="T20" s="46" t="b">
        <v>0</v>
      </c>
      <c r="U20" s="46">
        <v>3.42</v>
      </c>
      <c r="V20" s="46">
        <v>0</v>
      </c>
      <c r="W20" s="47">
        <v>40</v>
      </c>
      <c r="X20"/>
      <c r="Y20"/>
    </row>
    <row r="21" spans="1:25" s="3" customFormat="1" ht="39" customHeight="1" x14ac:dyDescent="0.45">
      <c r="A21" s="45" t="s">
        <v>93</v>
      </c>
      <c r="B21" s="46" t="s">
        <v>94</v>
      </c>
      <c r="C21" s="46" t="s">
        <v>55</v>
      </c>
      <c r="D21" s="46" t="s">
        <v>95</v>
      </c>
      <c r="E21" s="46" t="s">
        <v>36</v>
      </c>
      <c r="F21" s="46" t="s">
        <v>96</v>
      </c>
      <c r="G21" s="46" t="s">
        <v>97</v>
      </c>
      <c r="H21" s="46"/>
      <c r="I21" s="46" t="s">
        <v>38</v>
      </c>
      <c r="J21" s="48">
        <v>45867</v>
      </c>
      <c r="K21" s="48">
        <v>45768</v>
      </c>
      <c r="L21" s="48">
        <v>45771</v>
      </c>
      <c r="M21" s="46">
        <v>1</v>
      </c>
      <c r="N21" s="46">
        <v>706</v>
      </c>
      <c r="O21" s="46" t="s">
        <v>98</v>
      </c>
      <c r="P21" s="46"/>
      <c r="Q21" s="47" t="s">
        <v>99</v>
      </c>
      <c r="R21" s="46" t="s">
        <v>39</v>
      </c>
      <c r="S21" s="46" t="b">
        <v>0</v>
      </c>
      <c r="T21" s="46" t="b">
        <v>1</v>
      </c>
      <c r="U21" s="46">
        <v>0</v>
      </c>
      <c r="V21" s="46">
        <v>2.61</v>
      </c>
      <c r="W21" s="47">
        <v>45</v>
      </c>
      <c r="X21"/>
      <c r="Y21"/>
    </row>
    <row r="22" spans="1:25" s="3" customFormat="1" ht="39" customHeight="1" x14ac:dyDescent="0.45">
      <c r="A22" s="45" t="s">
        <v>100</v>
      </c>
      <c r="B22" s="46" t="s">
        <v>94</v>
      </c>
      <c r="C22" s="46" t="s">
        <v>55</v>
      </c>
      <c r="D22" s="46" t="s">
        <v>95</v>
      </c>
      <c r="E22" s="46" t="s">
        <v>36</v>
      </c>
      <c r="F22" s="46" t="s">
        <v>96</v>
      </c>
      <c r="G22" s="46" t="s">
        <v>101</v>
      </c>
      <c r="H22" s="46"/>
      <c r="I22" s="46" t="s">
        <v>38</v>
      </c>
      <c r="J22" s="48">
        <v>45867</v>
      </c>
      <c r="K22" s="48">
        <v>45768</v>
      </c>
      <c r="L22" s="48">
        <v>45771</v>
      </c>
      <c r="M22" s="46">
        <v>1</v>
      </c>
      <c r="N22" s="46">
        <v>706</v>
      </c>
      <c r="O22" s="46" t="s">
        <v>98</v>
      </c>
      <c r="P22" s="46"/>
      <c r="Q22" s="47" t="s">
        <v>99</v>
      </c>
      <c r="R22" s="46" t="s">
        <v>39</v>
      </c>
      <c r="S22" s="46" t="b">
        <v>0</v>
      </c>
      <c r="T22" s="46" t="b">
        <v>1</v>
      </c>
      <c r="U22" s="46">
        <v>0</v>
      </c>
      <c r="V22" s="46">
        <v>2.61</v>
      </c>
      <c r="W22" s="47">
        <v>46</v>
      </c>
      <c r="X22"/>
      <c r="Y22"/>
    </row>
    <row r="23" spans="1:25" s="3" customFormat="1" ht="39" customHeight="1" x14ac:dyDescent="0.45">
      <c r="A23" s="45" t="s">
        <v>102</v>
      </c>
      <c r="B23" s="46" t="s">
        <v>94</v>
      </c>
      <c r="C23" s="46" t="s">
        <v>55</v>
      </c>
      <c r="D23" s="46" t="s">
        <v>95</v>
      </c>
      <c r="E23" s="46" t="s">
        <v>36</v>
      </c>
      <c r="F23" s="46" t="s">
        <v>96</v>
      </c>
      <c r="G23" s="46" t="s">
        <v>103</v>
      </c>
      <c r="H23" s="46"/>
      <c r="I23" s="46" t="s">
        <v>38</v>
      </c>
      <c r="J23" s="48">
        <v>45867</v>
      </c>
      <c r="K23" s="48">
        <v>45768</v>
      </c>
      <c r="L23" s="48">
        <v>45771</v>
      </c>
      <c r="M23" s="46">
        <v>1</v>
      </c>
      <c r="N23" s="46">
        <v>706</v>
      </c>
      <c r="O23" s="46" t="s">
        <v>98</v>
      </c>
      <c r="P23" s="46"/>
      <c r="Q23" s="47" t="s">
        <v>99</v>
      </c>
      <c r="R23" s="46" t="s">
        <v>39</v>
      </c>
      <c r="S23" s="46" t="b">
        <v>0</v>
      </c>
      <c r="T23" s="46" t="b">
        <v>1</v>
      </c>
      <c r="U23" s="46">
        <v>0</v>
      </c>
      <c r="V23" s="46">
        <v>2.61</v>
      </c>
      <c r="W23" s="47">
        <v>47</v>
      </c>
      <c r="X23"/>
      <c r="Y23"/>
    </row>
    <row r="24" spans="1:25" s="3" customFormat="1" ht="39" customHeight="1" x14ac:dyDescent="0.45">
      <c r="A24" s="45" t="s">
        <v>104</v>
      </c>
      <c r="B24" s="46" t="s">
        <v>94</v>
      </c>
      <c r="C24" s="46" t="s">
        <v>55</v>
      </c>
      <c r="D24" s="46" t="s">
        <v>95</v>
      </c>
      <c r="E24" s="46" t="s">
        <v>36</v>
      </c>
      <c r="F24" s="46" t="s">
        <v>96</v>
      </c>
      <c r="G24" s="46" t="s">
        <v>105</v>
      </c>
      <c r="H24" s="46"/>
      <c r="I24" s="46" t="s">
        <v>38</v>
      </c>
      <c r="J24" s="48">
        <v>45867</v>
      </c>
      <c r="K24" s="48">
        <v>45768</v>
      </c>
      <c r="L24" s="48">
        <v>45771</v>
      </c>
      <c r="M24" s="46">
        <v>1</v>
      </c>
      <c r="N24" s="46">
        <v>706</v>
      </c>
      <c r="O24" s="46" t="s">
        <v>98</v>
      </c>
      <c r="P24" s="46"/>
      <c r="Q24" s="46" t="s">
        <v>99</v>
      </c>
      <c r="R24" s="46" t="s">
        <v>39</v>
      </c>
      <c r="S24" s="46" t="b">
        <v>0</v>
      </c>
      <c r="T24" s="46" t="b">
        <v>1</v>
      </c>
      <c r="U24" s="46">
        <v>0</v>
      </c>
      <c r="V24" s="46">
        <v>2.61</v>
      </c>
      <c r="W24" s="47">
        <v>48</v>
      </c>
      <c r="X24"/>
      <c r="Y24"/>
    </row>
    <row r="25" spans="1:25" s="3" customFormat="1" ht="46.5" customHeight="1" x14ac:dyDescent="0.45">
      <c r="A25" s="45" t="s">
        <v>106</v>
      </c>
      <c r="B25" s="51" t="s">
        <v>54</v>
      </c>
      <c r="C25" s="51" t="s">
        <v>55</v>
      </c>
      <c r="D25" s="51" t="s">
        <v>43</v>
      </c>
      <c r="E25" s="51" t="s">
        <v>48</v>
      </c>
      <c r="F25" s="51" t="s">
        <v>61</v>
      </c>
      <c r="G25" s="56" t="s">
        <v>107</v>
      </c>
      <c r="H25" s="56"/>
      <c r="I25" s="56" t="s">
        <v>108</v>
      </c>
      <c r="J25" s="57">
        <v>45867</v>
      </c>
      <c r="K25" s="57">
        <v>45866</v>
      </c>
      <c r="L25" s="57">
        <v>45931</v>
      </c>
      <c r="M25" s="58">
        <v>18</v>
      </c>
      <c r="N25" s="58">
        <v>99</v>
      </c>
      <c r="O25" s="58" t="s">
        <v>109</v>
      </c>
      <c r="P25" s="58"/>
      <c r="Q25" s="59" t="s">
        <v>110</v>
      </c>
      <c r="R25" s="58" t="s">
        <v>39</v>
      </c>
      <c r="S25" s="60" t="b">
        <v>1</v>
      </c>
      <c r="T25" s="61" t="b">
        <v>1</v>
      </c>
      <c r="U25" s="60">
        <v>0.78</v>
      </c>
      <c r="V25" s="60">
        <v>0.37</v>
      </c>
      <c r="W25" s="54">
        <v>49</v>
      </c>
      <c r="X25"/>
      <c r="Y25"/>
    </row>
    <row r="26" spans="1:25" ht="39" customHeight="1" x14ac:dyDescent="0.45">
      <c r="A26" s="45" t="s">
        <v>111</v>
      </c>
      <c r="B26" s="51" t="s">
        <v>54</v>
      </c>
      <c r="C26" s="51" t="s">
        <v>55</v>
      </c>
      <c r="D26" s="51" t="s">
        <v>78</v>
      </c>
      <c r="E26" s="51" t="s">
        <v>36</v>
      </c>
      <c r="F26" s="51" t="s">
        <v>61</v>
      </c>
      <c r="G26" s="56" t="s">
        <v>112</v>
      </c>
      <c r="H26" s="56"/>
      <c r="I26" s="56" t="s">
        <v>108</v>
      </c>
      <c r="J26" s="57">
        <v>45867</v>
      </c>
      <c r="K26" s="57">
        <v>45870</v>
      </c>
      <c r="L26" s="57">
        <v>45902</v>
      </c>
      <c r="M26" s="58">
        <v>32</v>
      </c>
      <c r="N26" s="58">
        <v>744</v>
      </c>
      <c r="O26" s="58" t="s">
        <v>113</v>
      </c>
      <c r="P26" s="58"/>
      <c r="Q26" s="59" t="s">
        <v>114</v>
      </c>
      <c r="R26" s="58" t="s">
        <v>39</v>
      </c>
      <c r="S26" s="60" t="b">
        <v>0</v>
      </c>
      <c r="T26" s="61" t="b">
        <v>1</v>
      </c>
      <c r="U26" s="60">
        <v>0</v>
      </c>
      <c r="V26" s="60">
        <v>2.75</v>
      </c>
      <c r="W26" s="55">
        <v>51</v>
      </c>
    </row>
    <row r="27" spans="1:25" ht="39" customHeight="1" x14ac:dyDescent="0.45">
      <c r="A27" s="45" t="s">
        <v>115</v>
      </c>
      <c r="B27" s="51" t="s">
        <v>116</v>
      </c>
      <c r="C27" s="51" t="s">
        <v>55</v>
      </c>
      <c r="D27" s="51" t="s">
        <v>43</v>
      </c>
      <c r="E27" s="51" t="s">
        <v>48</v>
      </c>
      <c r="F27" s="51" t="s">
        <v>61</v>
      </c>
      <c r="G27" s="56" t="s">
        <v>117</v>
      </c>
      <c r="H27" s="56"/>
      <c r="I27" s="56" t="s">
        <v>118</v>
      </c>
      <c r="J27" s="57">
        <v>45853</v>
      </c>
      <c r="K27" s="57">
        <v>45839</v>
      </c>
      <c r="L27" s="57">
        <v>45992</v>
      </c>
      <c r="M27" s="58">
        <v>2</v>
      </c>
      <c r="N27" s="58">
        <v>12</v>
      </c>
      <c r="O27" s="58"/>
      <c r="P27" s="58"/>
      <c r="Q27" s="58" t="s">
        <v>119</v>
      </c>
      <c r="R27" s="58" t="s">
        <v>39</v>
      </c>
      <c r="S27" s="60" t="b">
        <v>1</v>
      </c>
      <c r="T27" s="61" t="b">
        <v>1</v>
      </c>
      <c r="U27" s="60">
        <v>0.09</v>
      </c>
      <c r="V27" s="60">
        <v>0.04</v>
      </c>
      <c r="W27" s="54">
        <v>52</v>
      </c>
    </row>
    <row r="28" spans="1:25" ht="39" customHeight="1" x14ac:dyDescent="0.45">
      <c r="A28" s="45" t="s">
        <v>120</v>
      </c>
      <c r="B28" s="51" t="s">
        <v>121</v>
      </c>
      <c r="C28" s="51" t="s">
        <v>34</v>
      </c>
      <c r="D28" s="51" t="s">
        <v>47</v>
      </c>
      <c r="E28" s="51" t="s">
        <v>90</v>
      </c>
      <c r="F28" s="51"/>
      <c r="G28" s="56" t="s">
        <v>122</v>
      </c>
      <c r="H28" s="56"/>
      <c r="I28" s="56" t="s">
        <v>118</v>
      </c>
      <c r="J28" s="57">
        <v>45951</v>
      </c>
      <c r="K28" s="57">
        <v>45962</v>
      </c>
      <c r="L28" s="57">
        <v>46111</v>
      </c>
      <c r="M28" s="58">
        <v>55</v>
      </c>
      <c r="N28" s="58">
        <v>0.1</v>
      </c>
      <c r="O28" s="58"/>
      <c r="P28" s="59" t="s">
        <v>123</v>
      </c>
      <c r="Q28" s="59" t="s">
        <v>124</v>
      </c>
      <c r="R28" s="58" t="s">
        <v>125</v>
      </c>
      <c r="S28" s="60" t="b">
        <v>1</v>
      </c>
      <c r="T28" s="61" t="b">
        <v>0</v>
      </c>
      <c r="U28" s="60">
        <v>0</v>
      </c>
      <c r="V28" s="60">
        <v>0</v>
      </c>
      <c r="W28" s="54">
        <v>53</v>
      </c>
    </row>
    <row r="29" spans="1:25" ht="39" customHeight="1" x14ac:dyDescent="0.45">
      <c r="A29" s="45" t="s">
        <v>120</v>
      </c>
      <c r="B29" s="51" t="s">
        <v>121</v>
      </c>
      <c r="C29" s="51" t="s">
        <v>34</v>
      </c>
      <c r="D29" s="51" t="s">
        <v>47</v>
      </c>
      <c r="E29" s="51" t="s">
        <v>90</v>
      </c>
      <c r="F29" s="51"/>
      <c r="G29" s="56" t="s">
        <v>122</v>
      </c>
      <c r="H29" s="56"/>
      <c r="I29" s="56" t="s">
        <v>118</v>
      </c>
      <c r="J29" s="57">
        <v>45951</v>
      </c>
      <c r="K29" s="57">
        <v>46142</v>
      </c>
      <c r="L29" s="57">
        <v>46446</v>
      </c>
      <c r="M29" s="58">
        <v>30</v>
      </c>
      <c r="N29" s="58">
        <v>0.1</v>
      </c>
      <c r="O29" s="58"/>
      <c r="P29" s="59" t="s">
        <v>123</v>
      </c>
      <c r="Q29" s="59" t="s">
        <v>126</v>
      </c>
      <c r="R29" s="58" t="s">
        <v>125</v>
      </c>
      <c r="S29" s="60" t="b">
        <v>1</v>
      </c>
      <c r="T29" s="61" t="b">
        <v>0</v>
      </c>
      <c r="U29" s="60">
        <v>0</v>
      </c>
      <c r="V29" s="60">
        <v>0</v>
      </c>
      <c r="W29" s="55">
        <v>54</v>
      </c>
    </row>
    <row r="30" spans="1:25" ht="39" customHeight="1" x14ac:dyDescent="0.45">
      <c r="A30" s="45" t="s">
        <v>127</v>
      </c>
      <c r="B30" s="51" t="s">
        <v>65</v>
      </c>
      <c r="C30" s="51" t="s">
        <v>34</v>
      </c>
      <c r="D30" s="51" t="s">
        <v>128</v>
      </c>
      <c r="E30" s="51" t="s">
        <v>36</v>
      </c>
      <c r="F30" s="51"/>
      <c r="G30" s="56" t="s">
        <v>129</v>
      </c>
      <c r="H30" s="56"/>
      <c r="I30" s="56" t="s">
        <v>130</v>
      </c>
      <c r="J30" s="57">
        <v>45908</v>
      </c>
      <c r="K30" s="57">
        <v>46083</v>
      </c>
      <c r="L30" s="57">
        <v>46123</v>
      </c>
      <c r="M30" s="58">
        <v>4</v>
      </c>
      <c r="N30" s="58">
        <v>36.9</v>
      </c>
      <c r="O30" s="58"/>
      <c r="P30" s="58" t="s">
        <v>131</v>
      </c>
      <c r="Q30" s="59" t="s">
        <v>132</v>
      </c>
      <c r="R30" s="58" t="s">
        <v>125</v>
      </c>
      <c r="S30" s="60" t="b">
        <v>0</v>
      </c>
      <c r="T30" s="61" t="b">
        <v>1</v>
      </c>
      <c r="U30" s="60">
        <v>0</v>
      </c>
      <c r="V30" s="60">
        <v>0.14000000000000001</v>
      </c>
      <c r="W30" s="54">
        <v>55</v>
      </c>
    </row>
    <row r="31" spans="1:25" ht="39" customHeight="1" x14ac:dyDescent="0.45">
      <c r="A31" s="45" t="s">
        <v>133</v>
      </c>
      <c r="B31" s="51" t="s">
        <v>134</v>
      </c>
      <c r="C31" s="51" t="s">
        <v>55</v>
      </c>
      <c r="D31" s="51" t="s">
        <v>135</v>
      </c>
      <c r="E31" s="51" t="s">
        <v>36</v>
      </c>
      <c r="F31" s="51"/>
      <c r="G31" s="56"/>
      <c r="H31" s="56"/>
      <c r="I31" s="56" t="s">
        <v>130</v>
      </c>
      <c r="J31" s="57">
        <v>45908</v>
      </c>
      <c r="K31" s="57">
        <v>46204</v>
      </c>
      <c r="L31" s="57">
        <v>46295</v>
      </c>
      <c r="M31" s="58">
        <v>3</v>
      </c>
      <c r="N31" s="58">
        <v>706.9</v>
      </c>
      <c r="O31" s="58"/>
      <c r="P31" s="59" t="s">
        <v>136</v>
      </c>
      <c r="Q31" s="59" t="s">
        <v>137</v>
      </c>
      <c r="R31" s="58" t="s">
        <v>125</v>
      </c>
      <c r="S31" s="60" t="b">
        <v>0</v>
      </c>
      <c r="T31" s="61" t="b">
        <v>1</v>
      </c>
      <c r="U31" s="60">
        <v>0</v>
      </c>
      <c r="V31" s="60">
        <v>2.62</v>
      </c>
      <c r="W31" s="54">
        <v>56</v>
      </c>
    </row>
    <row r="32" spans="1:25" ht="39" customHeight="1" x14ac:dyDescent="0.45">
      <c r="A32" s="45" t="s">
        <v>138</v>
      </c>
      <c r="B32" s="51" t="s">
        <v>139</v>
      </c>
      <c r="C32" s="51" t="s">
        <v>55</v>
      </c>
      <c r="D32" s="51" t="s">
        <v>135</v>
      </c>
      <c r="E32" s="51" t="s">
        <v>36</v>
      </c>
      <c r="F32" s="51"/>
      <c r="G32" s="56"/>
      <c r="H32" s="56"/>
      <c r="I32" s="56" t="s">
        <v>130</v>
      </c>
      <c r="J32" s="57">
        <v>45908</v>
      </c>
      <c r="K32" s="57">
        <v>46082</v>
      </c>
      <c r="L32" s="57">
        <v>46173</v>
      </c>
      <c r="M32" s="58">
        <v>3</v>
      </c>
      <c r="N32" s="58">
        <v>706</v>
      </c>
      <c r="O32" s="58"/>
      <c r="P32" s="58" t="s">
        <v>140</v>
      </c>
      <c r="Q32" s="58" t="s">
        <v>137</v>
      </c>
      <c r="R32" s="58" t="s">
        <v>125</v>
      </c>
      <c r="S32" s="60" t="b">
        <v>0</v>
      </c>
      <c r="T32" s="61" t="b">
        <v>1</v>
      </c>
      <c r="U32" s="60">
        <v>0</v>
      </c>
      <c r="V32" s="60">
        <v>2.61</v>
      </c>
      <c r="W32" s="55">
        <v>57</v>
      </c>
    </row>
    <row r="33" spans="1:23" ht="39" customHeight="1" x14ac:dyDescent="0.45">
      <c r="A33" s="45" t="s">
        <v>141</v>
      </c>
      <c r="B33" s="51" t="s">
        <v>139</v>
      </c>
      <c r="C33" s="51" t="s">
        <v>55</v>
      </c>
      <c r="D33" s="51" t="s">
        <v>43</v>
      </c>
      <c r="E33" s="51" t="s">
        <v>36</v>
      </c>
      <c r="F33" s="51"/>
      <c r="G33" s="56" t="s">
        <v>142</v>
      </c>
      <c r="H33" s="56"/>
      <c r="I33" s="56" t="s">
        <v>108</v>
      </c>
      <c r="J33" s="57">
        <v>45915</v>
      </c>
      <c r="K33" s="57">
        <v>45915</v>
      </c>
      <c r="L33" s="57">
        <v>45930</v>
      </c>
      <c r="M33" s="58">
        <v>15</v>
      </c>
      <c r="N33" s="58">
        <v>275.2</v>
      </c>
      <c r="O33" s="58"/>
      <c r="P33" s="58"/>
      <c r="Q33" s="58"/>
      <c r="R33" s="58" t="s">
        <v>39</v>
      </c>
      <c r="S33" s="60" t="b">
        <v>0</v>
      </c>
      <c r="T33" s="61" t="b">
        <v>1</v>
      </c>
      <c r="U33" s="60">
        <v>0</v>
      </c>
      <c r="V33" s="60">
        <v>1.02</v>
      </c>
      <c r="W33" s="54">
        <v>61</v>
      </c>
    </row>
    <row r="34" spans="1:23" ht="44.5" x14ac:dyDescent="0.45">
      <c r="A34" s="45" t="s">
        <v>143</v>
      </c>
      <c r="B34" s="51"/>
      <c r="C34" s="51" t="s">
        <v>55</v>
      </c>
      <c r="D34" s="51" t="s">
        <v>43</v>
      </c>
      <c r="E34" s="51" t="s">
        <v>90</v>
      </c>
      <c r="F34" s="51"/>
      <c r="G34" s="56"/>
      <c r="H34" s="56"/>
      <c r="I34" s="56" t="s">
        <v>130</v>
      </c>
      <c r="J34" s="57">
        <v>45951</v>
      </c>
      <c r="K34" s="57">
        <v>46023</v>
      </c>
      <c r="L34" s="57">
        <v>46203</v>
      </c>
      <c r="M34" s="58"/>
      <c r="N34" s="58"/>
      <c r="O34" s="58"/>
      <c r="P34" s="58"/>
      <c r="Q34" s="59" t="s">
        <v>144</v>
      </c>
      <c r="R34" s="58" t="s">
        <v>125</v>
      </c>
      <c r="S34" s="60" t="b">
        <v>1</v>
      </c>
      <c r="T34" s="61" t="b">
        <v>0</v>
      </c>
      <c r="U34" s="60">
        <v>0</v>
      </c>
      <c r="V34" s="60">
        <v>0</v>
      </c>
      <c r="W34" s="54">
        <v>62</v>
      </c>
    </row>
    <row r="35" spans="1:23" ht="189.5" x14ac:dyDescent="0.45">
      <c r="A35" s="45" t="s">
        <v>145</v>
      </c>
      <c r="B35" s="51" t="s">
        <v>46</v>
      </c>
      <c r="C35" s="51" t="s">
        <v>34</v>
      </c>
      <c r="D35" s="51" t="s">
        <v>51</v>
      </c>
      <c r="E35" s="51" t="s">
        <v>48</v>
      </c>
      <c r="F35" s="51"/>
      <c r="G35" s="56" t="s">
        <v>146</v>
      </c>
      <c r="H35" s="56"/>
      <c r="I35" s="56" t="s">
        <v>130</v>
      </c>
      <c r="J35" s="57">
        <v>45986</v>
      </c>
      <c r="K35" s="57">
        <v>46143</v>
      </c>
      <c r="L35" s="57">
        <v>46234</v>
      </c>
      <c r="M35" s="58">
        <v>80</v>
      </c>
      <c r="N35" s="58">
        <v>0</v>
      </c>
      <c r="O35" s="58"/>
      <c r="P35" s="58" t="s">
        <v>58</v>
      </c>
      <c r="Q35" s="59" t="s">
        <v>147</v>
      </c>
      <c r="R35" s="58" t="s">
        <v>39</v>
      </c>
      <c r="S35" s="60" t="b">
        <v>0</v>
      </c>
      <c r="T35" s="61" t="b">
        <v>1</v>
      </c>
      <c r="U35" s="60">
        <v>0</v>
      </c>
      <c r="V35" s="60">
        <v>0</v>
      </c>
      <c r="W35" s="55">
        <v>63</v>
      </c>
    </row>
    <row r="36" spans="1:23" ht="189.5" x14ac:dyDescent="0.45">
      <c r="A36" s="45" t="s">
        <v>148</v>
      </c>
      <c r="B36" s="51" t="s">
        <v>46</v>
      </c>
      <c r="C36" s="51" t="s">
        <v>34</v>
      </c>
      <c r="D36" s="51" t="s">
        <v>70</v>
      </c>
      <c r="E36" s="51" t="s">
        <v>48</v>
      </c>
      <c r="F36" s="51"/>
      <c r="G36" s="56" t="s">
        <v>149</v>
      </c>
      <c r="H36" s="56"/>
      <c r="I36" s="56" t="s">
        <v>130</v>
      </c>
      <c r="J36" s="57">
        <v>45986</v>
      </c>
      <c r="K36" s="57">
        <v>46143</v>
      </c>
      <c r="L36" s="57">
        <v>46234</v>
      </c>
      <c r="M36" s="58">
        <v>3</v>
      </c>
      <c r="N36" s="58">
        <v>0</v>
      </c>
      <c r="O36" s="58"/>
      <c r="P36" s="58" t="s">
        <v>150</v>
      </c>
      <c r="Q36" s="59" t="s">
        <v>147</v>
      </c>
      <c r="R36" s="58" t="s">
        <v>39</v>
      </c>
      <c r="S36" s="60" t="b">
        <v>0</v>
      </c>
      <c r="T36" s="61" t="b">
        <v>1</v>
      </c>
      <c r="U36" s="60">
        <v>0</v>
      </c>
      <c r="V36" s="60">
        <v>0</v>
      </c>
      <c r="W36" s="54">
        <v>64</v>
      </c>
    </row>
    <row r="37" spans="1:23" ht="131.5" x14ac:dyDescent="0.45">
      <c r="A37" s="45" t="s">
        <v>151</v>
      </c>
      <c r="B37" s="51" t="s">
        <v>54</v>
      </c>
      <c r="C37" s="51" t="s">
        <v>55</v>
      </c>
      <c r="D37" s="51" t="s">
        <v>51</v>
      </c>
      <c r="E37" s="51" t="s">
        <v>36</v>
      </c>
      <c r="F37" s="51"/>
      <c r="G37" s="56"/>
      <c r="H37" s="56"/>
      <c r="I37" s="56"/>
      <c r="J37" s="57">
        <v>45966</v>
      </c>
      <c r="K37" s="57">
        <v>46113</v>
      </c>
      <c r="L37" s="57">
        <v>46295</v>
      </c>
      <c r="M37" s="58">
        <v>10</v>
      </c>
      <c r="N37" s="58">
        <v>100</v>
      </c>
      <c r="O37" s="58"/>
      <c r="P37" s="59" t="s">
        <v>152</v>
      </c>
      <c r="Q37" s="59" t="s">
        <v>153</v>
      </c>
      <c r="R37" s="58" t="s">
        <v>125</v>
      </c>
      <c r="S37" s="60" t="b">
        <v>0</v>
      </c>
      <c r="T37" s="61" t="b">
        <v>1</v>
      </c>
      <c r="U37" s="60">
        <v>0</v>
      </c>
      <c r="V37" s="60">
        <v>0.37</v>
      </c>
      <c r="W37" s="54">
        <v>65</v>
      </c>
    </row>
    <row r="38" spans="1:23" ht="131.5" x14ac:dyDescent="0.45">
      <c r="A38" s="45" t="s">
        <v>154</v>
      </c>
      <c r="B38" s="51" t="s">
        <v>54</v>
      </c>
      <c r="C38" s="51" t="s">
        <v>55</v>
      </c>
      <c r="D38" s="51" t="s">
        <v>70</v>
      </c>
      <c r="E38" s="51" t="s">
        <v>36</v>
      </c>
      <c r="F38" s="51"/>
      <c r="G38" s="56"/>
      <c r="H38" s="56"/>
      <c r="I38" s="56"/>
      <c r="J38" s="57">
        <v>45966</v>
      </c>
      <c r="K38" s="57">
        <v>46113</v>
      </c>
      <c r="L38" s="57">
        <v>46295</v>
      </c>
      <c r="M38" s="58">
        <v>3</v>
      </c>
      <c r="N38" s="58">
        <v>1950</v>
      </c>
      <c r="O38" s="58"/>
      <c r="P38" s="59" t="s">
        <v>152</v>
      </c>
      <c r="Q38" s="59" t="s">
        <v>155</v>
      </c>
      <c r="R38" s="58" t="s">
        <v>125</v>
      </c>
      <c r="S38" s="60" t="b">
        <v>0</v>
      </c>
      <c r="T38" s="61" t="b">
        <v>1</v>
      </c>
      <c r="U38" s="60">
        <v>0</v>
      </c>
      <c r="V38" s="60">
        <v>7.21</v>
      </c>
      <c r="W38" s="55">
        <v>66</v>
      </c>
    </row>
    <row r="39" spans="1:23" ht="88" x14ac:dyDescent="0.45">
      <c r="A39" s="45" t="s">
        <v>156</v>
      </c>
      <c r="B39" s="51" t="s">
        <v>54</v>
      </c>
      <c r="C39" s="51" t="s">
        <v>55</v>
      </c>
      <c r="D39" s="51" t="s">
        <v>43</v>
      </c>
      <c r="E39" s="51" t="s">
        <v>36</v>
      </c>
      <c r="F39" s="51"/>
      <c r="G39" s="56"/>
      <c r="H39" s="56"/>
      <c r="I39" s="56"/>
      <c r="J39" s="57">
        <v>45966</v>
      </c>
      <c r="K39" s="57">
        <v>46143</v>
      </c>
      <c r="L39" s="57">
        <v>46203</v>
      </c>
      <c r="M39" s="58">
        <v>5</v>
      </c>
      <c r="N39" s="58">
        <v>650</v>
      </c>
      <c r="O39" s="58"/>
      <c r="P39" s="59" t="s">
        <v>152</v>
      </c>
      <c r="Q39" s="59"/>
      <c r="R39" s="58" t="s">
        <v>125</v>
      </c>
      <c r="S39" s="60" t="b">
        <v>0</v>
      </c>
      <c r="T39" s="61" t="b">
        <v>1</v>
      </c>
      <c r="U39" s="60">
        <v>0</v>
      </c>
      <c r="V39" s="60">
        <v>2.4</v>
      </c>
      <c r="W39" s="54">
        <v>67</v>
      </c>
    </row>
    <row r="40" spans="1:23" ht="88" x14ac:dyDescent="0.45">
      <c r="A40" s="45" t="s">
        <v>157</v>
      </c>
      <c r="B40" s="51" t="s">
        <v>54</v>
      </c>
      <c r="C40" s="51" t="s">
        <v>55</v>
      </c>
      <c r="D40" s="51" t="s">
        <v>47</v>
      </c>
      <c r="E40" s="51" t="s">
        <v>36</v>
      </c>
      <c r="F40" s="51"/>
      <c r="G40" s="56"/>
      <c r="H40" s="56"/>
      <c r="I40" s="56"/>
      <c r="J40" s="57">
        <v>45966</v>
      </c>
      <c r="K40" s="57">
        <v>46204</v>
      </c>
      <c r="L40" s="57">
        <v>46265</v>
      </c>
      <c r="M40" s="58">
        <v>6</v>
      </c>
      <c r="N40" s="58">
        <v>700</v>
      </c>
      <c r="O40" s="58"/>
      <c r="P40" s="59" t="s">
        <v>152</v>
      </c>
      <c r="Q40" s="59" t="s">
        <v>158</v>
      </c>
      <c r="R40" s="58" t="s">
        <v>125</v>
      </c>
      <c r="S40" s="60" t="b">
        <v>0</v>
      </c>
      <c r="T40" s="61" t="b">
        <v>1</v>
      </c>
      <c r="U40" s="60">
        <v>0</v>
      </c>
      <c r="V40" s="60">
        <v>2.59</v>
      </c>
      <c r="W40" s="54">
        <v>68</v>
      </c>
    </row>
    <row r="41" spans="1:23" ht="102.5" x14ac:dyDescent="0.45">
      <c r="A41" s="45" t="s">
        <v>159</v>
      </c>
      <c r="B41" s="51" t="s">
        <v>54</v>
      </c>
      <c r="C41" s="51" t="s">
        <v>55</v>
      </c>
      <c r="D41" s="51" t="s">
        <v>78</v>
      </c>
      <c r="E41" s="51" t="s">
        <v>36</v>
      </c>
      <c r="F41" s="51"/>
      <c r="G41" s="56"/>
      <c r="H41" s="56"/>
      <c r="I41" s="56"/>
      <c r="J41" s="57">
        <v>45966</v>
      </c>
      <c r="K41" s="57">
        <v>46113</v>
      </c>
      <c r="L41" s="57">
        <v>46203</v>
      </c>
      <c r="M41" s="58">
        <v>18</v>
      </c>
      <c r="N41" s="58">
        <v>800</v>
      </c>
      <c r="O41" s="58"/>
      <c r="P41" s="59" t="s">
        <v>160</v>
      </c>
      <c r="Q41" s="59"/>
      <c r="R41" s="58" t="s">
        <v>125</v>
      </c>
      <c r="S41" s="60" t="b">
        <v>0</v>
      </c>
      <c r="T41" s="61" t="b">
        <v>1</v>
      </c>
      <c r="U41" s="60">
        <v>0</v>
      </c>
      <c r="V41" s="60">
        <v>2.96</v>
      </c>
      <c r="W41" s="55">
        <v>69</v>
      </c>
    </row>
    <row r="42" spans="1:23" ht="102.5" x14ac:dyDescent="0.45">
      <c r="A42" s="45" t="s">
        <v>161</v>
      </c>
      <c r="B42" s="51" t="s">
        <v>54</v>
      </c>
      <c r="C42" s="51" t="s">
        <v>55</v>
      </c>
      <c r="D42" s="51" t="s">
        <v>78</v>
      </c>
      <c r="E42" s="51" t="s">
        <v>36</v>
      </c>
      <c r="F42" s="51"/>
      <c r="G42" s="56"/>
      <c r="H42" s="56"/>
      <c r="I42" s="56"/>
      <c r="J42" s="57">
        <v>45966</v>
      </c>
      <c r="K42" s="57">
        <v>46113</v>
      </c>
      <c r="L42" s="57">
        <v>46295</v>
      </c>
      <c r="M42" s="58">
        <v>3</v>
      </c>
      <c r="N42" s="58">
        <v>450</v>
      </c>
      <c r="O42" s="58"/>
      <c r="P42" s="59" t="s">
        <v>162</v>
      </c>
      <c r="Q42" s="59"/>
      <c r="R42" s="58" t="s">
        <v>125</v>
      </c>
      <c r="S42" s="60" t="b">
        <v>0</v>
      </c>
      <c r="T42" s="61" t="b">
        <v>1</v>
      </c>
      <c r="U42" s="60">
        <v>0</v>
      </c>
      <c r="V42" s="60">
        <v>1.66</v>
      </c>
      <c r="W42" s="54">
        <v>70</v>
      </c>
    </row>
    <row r="43" spans="1:23" ht="102.5" x14ac:dyDescent="0.45">
      <c r="A43" s="45" t="s">
        <v>163</v>
      </c>
      <c r="B43" s="51" t="s">
        <v>54</v>
      </c>
      <c r="C43" s="51" t="s">
        <v>55</v>
      </c>
      <c r="D43" s="51" t="s">
        <v>78</v>
      </c>
      <c r="E43" s="51" t="s">
        <v>36</v>
      </c>
      <c r="F43" s="51"/>
      <c r="G43" s="56"/>
      <c r="H43" s="56"/>
      <c r="I43" s="56"/>
      <c r="J43" s="57">
        <v>45966</v>
      </c>
      <c r="K43" s="57">
        <v>46113</v>
      </c>
      <c r="L43" s="57">
        <v>46203</v>
      </c>
      <c r="M43" s="58">
        <v>2</v>
      </c>
      <c r="N43" s="58">
        <v>800</v>
      </c>
      <c r="O43" s="58"/>
      <c r="P43" s="59" t="s">
        <v>160</v>
      </c>
      <c r="Q43" s="59"/>
      <c r="R43" s="58" t="s">
        <v>125</v>
      </c>
      <c r="S43" s="60" t="b">
        <v>0</v>
      </c>
      <c r="T43" s="61" t="b">
        <v>1</v>
      </c>
      <c r="U43" s="60">
        <v>0</v>
      </c>
      <c r="V43" s="60">
        <v>2.96</v>
      </c>
      <c r="W43" s="54">
        <v>71</v>
      </c>
    </row>
    <row r="44" spans="1:23" ht="18.5" x14ac:dyDescent="0.45">
      <c r="A44" s="45" t="s">
        <v>164</v>
      </c>
      <c r="B44" s="51" t="s">
        <v>165</v>
      </c>
      <c r="C44" s="51" t="s">
        <v>55</v>
      </c>
      <c r="D44" s="51" t="s">
        <v>43</v>
      </c>
      <c r="E44" s="51" t="s">
        <v>36</v>
      </c>
      <c r="F44" s="51"/>
      <c r="G44" s="56"/>
      <c r="H44" s="56"/>
      <c r="I44" s="56" t="s">
        <v>130</v>
      </c>
      <c r="J44" s="57">
        <v>45979</v>
      </c>
      <c r="K44" s="57">
        <v>46113</v>
      </c>
      <c r="L44" s="57">
        <v>46172</v>
      </c>
      <c r="M44" s="58">
        <v>4</v>
      </c>
      <c r="N44" s="58"/>
      <c r="O44" s="58"/>
      <c r="P44" s="58"/>
      <c r="Q44" s="58"/>
      <c r="R44" s="58" t="s">
        <v>125</v>
      </c>
      <c r="S44" s="60" t="b">
        <v>0</v>
      </c>
      <c r="T44" s="61" t="b">
        <v>1</v>
      </c>
      <c r="U44" s="60">
        <v>0</v>
      </c>
      <c r="V44" s="60">
        <v>0</v>
      </c>
      <c r="W44" s="55">
        <v>72</v>
      </c>
    </row>
    <row r="45" spans="1:23" ht="88" x14ac:dyDescent="0.45">
      <c r="A45" s="45" t="s">
        <v>166</v>
      </c>
      <c r="B45" s="51" t="s">
        <v>167</v>
      </c>
      <c r="C45" s="51" t="s">
        <v>34</v>
      </c>
      <c r="D45" s="51" t="s">
        <v>70</v>
      </c>
      <c r="E45" s="51" t="s">
        <v>36</v>
      </c>
      <c r="F45" s="51"/>
      <c r="G45" s="56" t="s">
        <v>168</v>
      </c>
      <c r="H45" s="56"/>
      <c r="I45" s="56" t="s">
        <v>118</v>
      </c>
      <c r="J45" s="57">
        <v>45951</v>
      </c>
      <c r="K45" s="57">
        <v>46113</v>
      </c>
      <c r="L45" s="57">
        <v>46233</v>
      </c>
      <c r="M45" s="58">
        <v>1</v>
      </c>
      <c r="N45" s="58">
        <v>380.13</v>
      </c>
      <c r="O45" s="58"/>
      <c r="P45" s="59"/>
      <c r="Q45" s="59" t="s">
        <v>169</v>
      </c>
      <c r="R45" s="62" t="s">
        <v>39</v>
      </c>
      <c r="S45" s="60" t="b">
        <v>0</v>
      </c>
      <c r="T45" s="61" t="b">
        <v>1</v>
      </c>
      <c r="U45" s="60">
        <v>0</v>
      </c>
      <c r="V45" s="60">
        <v>1.41</v>
      </c>
      <c r="W45" s="54">
        <v>73</v>
      </c>
    </row>
    <row r="46" spans="1:23" ht="102.5" x14ac:dyDescent="0.45">
      <c r="A46" s="45" t="s">
        <v>170</v>
      </c>
      <c r="B46" s="51" t="s">
        <v>46</v>
      </c>
      <c r="C46" s="51" t="s">
        <v>34</v>
      </c>
      <c r="D46" s="51" t="s">
        <v>85</v>
      </c>
      <c r="E46" s="51" t="s">
        <v>48</v>
      </c>
      <c r="F46" s="51"/>
      <c r="G46" s="56" t="s">
        <v>49</v>
      </c>
      <c r="H46" s="56"/>
      <c r="I46" s="56" t="s">
        <v>108</v>
      </c>
      <c r="J46" s="57">
        <v>45986</v>
      </c>
      <c r="K46" s="57">
        <v>45798</v>
      </c>
      <c r="L46" s="57">
        <v>45930</v>
      </c>
      <c r="M46" s="58">
        <v>100</v>
      </c>
      <c r="N46" s="58"/>
      <c r="O46" s="58"/>
      <c r="P46" s="58" t="s">
        <v>171</v>
      </c>
      <c r="Q46" s="59" t="s">
        <v>172</v>
      </c>
      <c r="R46" s="62" t="s">
        <v>39</v>
      </c>
      <c r="S46" s="60" t="b">
        <v>0</v>
      </c>
      <c r="T46" s="61" t="b">
        <v>1</v>
      </c>
      <c r="U46" s="60">
        <v>0</v>
      </c>
      <c r="V46" s="60">
        <v>0</v>
      </c>
      <c r="W46" s="54">
        <v>74</v>
      </c>
    </row>
    <row r="47" spans="1:23" ht="88" x14ac:dyDescent="0.45">
      <c r="A47" s="45" t="s">
        <v>166</v>
      </c>
      <c r="B47" s="51" t="s">
        <v>167</v>
      </c>
      <c r="C47" s="51" t="s">
        <v>34</v>
      </c>
      <c r="D47" s="51" t="s">
        <v>70</v>
      </c>
      <c r="E47" s="51" t="s">
        <v>36</v>
      </c>
      <c r="F47" s="51"/>
      <c r="G47" s="56" t="s">
        <v>168</v>
      </c>
      <c r="H47" s="56"/>
      <c r="I47" s="56" t="s">
        <v>118</v>
      </c>
      <c r="J47" s="57">
        <v>45951</v>
      </c>
      <c r="K47" s="57">
        <v>46113</v>
      </c>
      <c r="L47" s="57">
        <v>46233</v>
      </c>
      <c r="M47" s="58">
        <v>1</v>
      </c>
      <c r="N47" s="58">
        <v>380.13</v>
      </c>
      <c r="O47" s="58"/>
      <c r="P47" s="59"/>
      <c r="Q47" s="59" t="s">
        <v>169</v>
      </c>
      <c r="R47" s="62" t="s">
        <v>39</v>
      </c>
      <c r="S47" s="60" t="b">
        <v>0</v>
      </c>
      <c r="T47" s="61" t="b">
        <v>1</v>
      </c>
      <c r="U47" s="60">
        <v>0</v>
      </c>
      <c r="V47" s="60">
        <v>1.41</v>
      </c>
      <c r="W47" s="55">
        <v>75</v>
      </c>
    </row>
    <row r="48" spans="1:23" ht="73.5" x14ac:dyDescent="0.45">
      <c r="A48" s="52" t="s">
        <v>173</v>
      </c>
      <c r="B48" s="53" t="s">
        <v>65</v>
      </c>
      <c r="C48" s="53" t="s">
        <v>34</v>
      </c>
      <c r="D48" s="53" t="s">
        <v>51</v>
      </c>
      <c r="E48" s="63" t="s">
        <v>36</v>
      </c>
      <c r="F48" s="63"/>
      <c r="G48" s="64" t="s">
        <v>174</v>
      </c>
      <c r="H48" s="64"/>
      <c r="I48" s="64" t="s">
        <v>118</v>
      </c>
      <c r="J48" s="65">
        <v>45993</v>
      </c>
      <c r="K48" s="65">
        <v>45992</v>
      </c>
      <c r="L48" s="65">
        <v>47026</v>
      </c>
      <c r="M48" s="59">
        <v>9</v>
      </c>
      <c r="N48" s="59">
        <v>79</v>
      </c>
      <c r="O48" s="59"/>
      <c r="P48" s="59" t="s">
        <v>175</v>
      </c>
      <c r="Q48" s="59" t="s">
        <v>176</v>
      </c>
      <c r="R48" s="66" t="s">
        <v>125</v>
      </c>
      <c r="S48" s="54" t="b">
        <v>0</v>
      </c>
      <c r="T48" s="67" t="b">
        <v>1</v>
      </c>
      <c r="U48" s="54">
        <v>0</v>
      </c>
      <c r="V48" s="54">
        <v>0.28999999999999998</v>
      </c>
      <c r="W48" s="54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4" type="noConversion"/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4" t="s">
        <v>177</v>
      </c>
      <c r="C2" s="37" t="s">
        <v>36</v>
      </c>
      <c r="E2" s="14" t="s">
        <v>178</v>
      </c>
      <c r="F2" s="33">
        <f>IF(C2="Summer",'Noisy Activities'!J2,'Noisy Activities'!H2)</f>
        <v>46113</v>
      </c>
      <c r="G2" s="16" t="s">
        <v>179</v>
      </c>
      <c r="H2" s="17">
        <f>F3-F2+1</f>
        <v>183</v>
      </c>
      <c r="K2" s="30"/>
      <c r="L2" s="25"/>
    </row>
    <row r="3" spans="1:12" ht="59.15" customHeight="1" thickBot="1" x14ac:dyDescent="0.4">
      <c r="B3" s="14" t="s">
        <v>180</v>
      </c>
      <c r="C3" s="38">
        <f ca="1">TODAY()</f>
        <v>45999</v>
      </c>
      <c r="E3" s="11" t="s">
        <v>181</v>
      </c>
      <c r="F3" s="31">
        <f>IF(C2="Summer",'Noisy Activities'!J3,'Noisy Activities'!H3)</f>
        <v>46295</v>
      </c>
      <c r="G3" s="14" t="s">
        <v>182</v>
      </c>
      <c r="H3" s="15">
        <f>IF(C2="Summer",27028,12696)</f>
        <v>27028</v>
      </c>
      <c r="K3" s="30"/>
      <c r="L3" s="25"/>
    </row>
    <row r="4" spans="1:12" ht="15" thickBot="1" x14ac:dyDescent="0.4"/>
    <row r="5" spans="1:12" ht="46.5" customHeight="1" thickBot="1" x14ac:dyDescent="0.4">
      <c r="C5" s="80" t="s">
        <v>183</v>
      </c>
      <c r="D5" s="81"/>
      <c r="E5" s="81"/>
      <c r="F5" s="82"/>
    </row>
    <row r="6" spans="1:12" ht="60.65" customHeight="1" thickBot="1" x14ac:dyDescent="0.4">
      <c r="C6" s="28" t="s">
        <v>184</v>
      </c>
      <c r="D6" s="34" cm="1">
        <f t="array" ref="D6">MAX(_xlfn.BYROW(_xlfn.SEQUENCE($H$2,1,$F$2),_xlfn.LAMBDA(_xlpm.day,SUMIFS(Table44[Impact on SAC (%)],Table44[Proposed Start Date],"&lt;=" &amp; _xlpm.day,Table44[Proposed End Date],"&gt;=" &amp; _xlpm.day))))</f>
        <v>0</v>
      </c>
      <c r="E6" s="16" t="s">
        <v>185</v>
      </c>
      <c r="F6" s="35">
        <f ca="1">_xlfn.AGGREGATE(9,6,Table44[Contribution to seasonal disturbance (absolute worst case)])</f>
        <v>0</v>
      </c>
    </row>
    <row r="7" spans="1:12" ht="61.5" customHeight="1" thickBot="1" x14ac:dyDescent="0.4">
      <c r="C7" s="29" t="s">
        <v>186</v>
      </c>
      <c r="D7" s="32" cm="1">
        <f t="array" ref="D7">SUM(--(_xlfn.BYROW(_xlfn.SEQUENCE($H$2,1,$F$2),_xlfn.LAMBDA(_xlpm.day,SUMIFS(Table44[Impact on SAC (%)],Table44[Proposed Start Date],"&lt;=" &amp; _xlpm.day,Table44[Proposed End Date],"&gt;=" &amp; _xlpm.day)))&gt;=0.2))</f>
        <v>0</v>
      </c>
      <c r="E7" s="13" t="s">
        <v>187</v>
      </c>
      <c r="F7" s="36">
        <f ca="1">_xlfn.AGGREGATE(9,6,Table44[Contribution to seasonal disturbance (realistic worst case)])</f>
        <v>0</v>
      </c>
    </row>
    <row r="8" spans="1:12" ht="64.5" customHeight="1" thickBot="1" x14ac:dyDescent="0.4">
      <c r="C8" s="83" t="s">
        <v>188</v>
      </c>
      <c r="D8" s="84"/>
      <c r="E8" s="84"/>
      <c r="F8" s="85"/>
    </row>
    <row r="9" spans="1:12" ht="12.65" customHeight="1" x14ac:dyDescent="0.35">
      <c r="B9" s="27"/>
      <c r="C9" s="27"/>
      <c r="D9" s="27"/>
      <c r="E9" s="27"/>
    </row>
    <row r="10" spans="1:12" ht="23.5" x14ac:dyDescent="0.55000000000000004">
      <c r="B10" s="26" t="s">
        <v>189</v>
      </c>
    </row>
    <row r="12" spans="1:12" ht="75.650000000000006" customHeight="1" x14ac:dyDescent="0.35">
      <c r="A12" s="22" t="s">
        <v>190</v>
      </c>
      <c r="B12" s="21" t="s">
        <v>191</v>
      </c>
      <c r="C12" s="21" t="s">
        <v>12</v>
      </c>
      <c r="D12" s="21" t="s">
        <v>192</v>
      </c>
      <c r="E12" s="21" t="s">
        <v>193</v>
      </c>
      <c r="F12" s="21" t="s">
        <v>194</v>
      </c>
      <c r="G12" s="21" t="s">
        <v>195</v>
      </c>
      <c r="H12" s="21" t="s">
        <v>196</v>
      </c>
      <c r="I12" s="21" t="s">
        <v>197</v>
      </c>
      <c r="J12" s="21" t="s">
        <v>198</v>
      </c>
    </row>
    <row r="13" spans="1:12" x14ac:dyDescent="0.35">
      <c r="A13" s="2" t="e" cm="1">
        <f t="array" ref="A13">IF(C2="Summer",_xlfn._xlws.FILTER(ID,#REF!*(#REF!="Yes")),_xlfn._xlws.FILTER(ID,#REF!*(#REF!="Yes")))</f>
        <v>#REF!</v>
      </c>
      <c r="B13" t="str">
        <f>IFERROR(_xlfn.XLOOKUP(A13,#REF!,#REF!),"")</f>
        <v/>
      </c>
      <c r="C13" t="str">
        <f>IFERROR(_xlfn.XLOOKUP(A13,#REF!,#REF!),"")</f>
        <v/>
      </c>
      <c r="D13" s="23" t="str">
        <f>IFERROR(_xlfn.XLOOKUP(A13,#REF!,#REF!),"")</f>
        <v/>
      </c>
      <c r="E13" s="23" t="str">
        <f>IFERROR(_xlfn.XLOOKUP(A13,#REF!,#REF!),"")</f>
        <v/>
      </c>
      <c r="F13" t="str">
        <f>IFERROR(_xlfn.XLOOKUP(A13,#REF!,#REF!),"")</f>
        <v/>
      </c>
      <c r="G13" t="str" cm="1">
        <f t="array" ref="G13">IFERROR(_xlfn.XLOOKUP(A13,#REF!,IF(C2="Summer",#REF!,#REF!)),"")</f>
        <v/>
      </c>
      <c r="H13" s="20" t="str">
        <f>IFERROR(Table44[[#This Row],[Impact on SAC (km2)]]/$H$3,"")</f>
        <v/>
      </c>
      <c r="I13" s="20" t="str">
        <f>IFERROR(Table44[[#This Row],[Impact on SAC (%)]]*(MIN(Table44[[#This Row],[Proposed End Date]],$F$3)-MAX(Table44[[#This Row],[Proposed Start Date]],$F$2)+1)/$H$2,"")</f>
        <v/>
      </c>
      <c r="J13" s="2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IFERROR(_xlfn.XLOOKUP(A14,#REF!,#REF!),"")</f>
        <v/>
      </c>
      <c r="C14" t="str">
        <f>IFERROR(_xlfn.XLOOKUP(A14,#REF!,#REF!),"")</f>
        <v/>
      </c>
      <c r="D14" s="23" t="str">
        <f>IFERROR(_xlfn.XLOOKUP(A14,#REF!,#REF!),"")</f>
        <v/>
      </c>
      <c r="E14" s="23" t="str">
        <f>IFERROR(_xlfn.XLOOKUP(A14,#REF!,#REF!),"")</f>
        <v/>
      </c>
      <c r="F14" t="str">
        <f>IFERROR(_xlfn.XLOOKUP(A14,#REF!,#REF!),"")</f>
        <v/>
      </c>
      <c r="G14" s="24" t="str" cm="1">
        <f t="array" aca="1" ref="G14" ca="1">IFERROR(_xlfn.XLOOKUP(A14,#REF!,IF(C3="Summer",#REF!,#REF!)),"")</f>
        <v/>
      </c>
      <c r="H14" s="20" t="str">
        <f ca="1">IFERROR(Table44[[#This Row],[Impact on SAC (km2)]]/$H$3,"")</f>
        <v/>
      </c>
      <c r="I14" s="20" t="str">
        <f ca="1">IFERROR(Table44[[#This Row],[Impact on SAC (%)]]*(MIN(Table44[[#This Row],[Proposed End Date]],$F$3)-MAX(Table44[[#This Row],[Proposed Start Date]],$F$2)+1)/$H$2,"")</f>
        <v/>
      </c>
      <c r="J14" s="20" t="str">
        <f ca="1">IFERROR(Table44[[#This Row],[Impact on SAC (%)]]*Table44[[#This Row],[Proposed days]]/$H$2,"")</f>
        <v/>
      </c>
    </row>
    <row r="15" spans="1:12" x14ac:dyDescent="0.35">
      <c r="A15" s="2"/>
      <c r="B15" t="str">
        <f>IFERROR(_xlfn.XLOOKUP(A15,#REF!,#REF!),"")</f>
        <v/>
      </c>
      <c r="C15" t="str">
        <f>IFERROR(_xlfn.XLOOKUP(A15,#REF!,#REF!),"")</f>
        <v/>
      </c>
      <c r="D15" s="23" t="str">
        <f>IFERROR(_xlfn.XLOOKUP(A15,#REF!,#REF!),"")</f>
        <v/>
      </c>
      <c r="E15" s="23" t="str">
        <f>IFERROR(_xlfn.XLOOKUP(A15,#REF!,#REF!),"")</f>
        <v/>
      </c>
      <c r="F15" t="str">
        <f>IFERROR(_xlfn.XLOOKUP(A15,#REF!,#REF!),"")</f>
        <v/>
      </c>
      <c r="G15" s="24" t="str" cm="1">
        <f t="array" ref="G15">IFERROR(_xlfn.XLOOKUP(A15,#REF!,IF(C4="Summer",#REF!,#REF!)),"")</f>
        <v/>
      </c>
      <c r="H15" s="20" t="str">
        <f>IFERROR(Table44[[#This Row],[Impact on SAC (km2)]]/$H$3,"")</f>
        <v/>
      </c>
      <c r="I15" s="20" t="str">
        <f>IFERROR(Table44[[#This Row],[Impact on SAC (%)]]*(MIN(Table44[[#This Row],[Proposed End Date]],$F$3)-MAX(Table44[[#This Row],[Proposed Start Date]],$F$2)+1)/$H$2,"")</f>
        <v/>
      </c>
      <c r="J15" s="20" t="str">
        <f>IFERROR(Table44[[#This Row],[Impact on SAC (%)]]*Table44[[#This Row],[Proposed days]]/$H$2,"")</f>
        <v/>
      </c>
    </row>
    <row r="16" spans="1:12" x14ac:dyDescent="0.35">
      <c r="A16" s="2"/>
      <c r="B16" t="str">
        <f>IFERROR(_xlfn.XLOOKUP(A16,#REF!,#REF!),"")</f>
        <v/>
      </c>
      <c r="C16" t="str">
        <f>IFERROR(_xlfn.XLOOKUP(A16,#REF!,#REF!),"")</f>
        <v/>
      </c>
      <c r="D16" s="23" t="str">
        <f>IFERROR(_xlfn.XLOOKUP(A16,#REF!,#REF!),"")</f>
        <v/>
      </c>
      <c r="E16" s="23" t="str">
        <f>IFERROR(_xlfn.XLOOKUP(A16,#REF!,#REF!),"")</f>
        <v/>
      </c>
      <c r="F16" t="str">
        <f>IFERROR(_xlfn.XLOOKUP(A16,#REF!,#REF!),"")</f>
        <v/>
      </c>
      <c r="G16" s="24" t="str" cm="1">
        <f t="array" ref="G16">IFERROR(_xlfn.XLOOKUP(A16,#REF!,IF(C5="Summer",#REF!,#REF!)),"")</f>
        <v/>
      </c>
      <c r="H16" s="20" t="str">
        <f>IFERROR(Table44[[#This Row],[Impact on SAC (km2)]]/$H$3,"")</f>
        <v/>
      </c>
      <c r="I16" s="20" t="str">
        <f>IFERROR(Table44[[#This Row],[Impact on SAC (%)]]*(MIN(Table44[[#This Row],[Proposed End Date]],$F$3)-MAX(Table44[[#This Row],[Proposed Start Date]],$F$2)+1)/$H$2,"")</f>
        <v/>
      </c>
      <c r="J16" s="20" t="str">
        <f>IFERROR(Table44[[#This Row],[Impact on SAC (%)]]*Table44[[#This Row],[Proposed days]]/$H$2,"")</f>
        <v/>
      </c>
    </row>
    <row r="17" spans="1:10" x14ac:dyDescent="0.35">
      <c r="A17" s="2"/>
      <c r="B17" t="str">
        <f>IFERROR(_xlfn.XLOOKUP(A17,#REF!,#REF!),"")</f>
        <v/>
      </c>
      <c r="C17" t="str">
        <f>IFERROR(_xlfn.XLOOKUP(A17,#REF!,#REF!),"")</f>
        <v/>
      </c>
      <c r="D17" s="23" t="str">
        <f>IFERROR(_xlfn.XLOOKUP(A17,#REF!,#REF!),"")</f>
        <v/>
      </c>
      <c r="E17" s="23" t="str">
        <f>IFERROR(_xlfn.XLOOKUP(A17,#REF!,#REF!),"")</f>
        <v/>
      </c>
      <c r="F17" t="str">
        <f>IFERROR(_xlfn.XLOOKUP(A17,#REF!,#REF!),"")</f>
        <v/>
      </c>
      <c r="G17" s="24" t="str" cm="1">
        <f t="array" ref="G17">IFERROR(_xlfn.XLOOKUP(A17,#REF!,IF(C6="Summer",#REF!,#REF!)),"")</f>
        <v/>
      </c>
      <c r="H17" s="20" t="str">
        <f>IFERROR(Table44[[#This Row],[Impact on SAC (km2)]]/$H$3,"")</f>
        <v/>
      </c>
      <c r="I17" s="20" t="str">
        <f>IFERROR(Table44[[#This Row],[Impact on SAC (%)]]*(MIN(Table44[[#This Row],[Proposed End Date]],$F$3)-MAX(Table44[[#This Row],[Proposed Start Date]],$F$2)+1)/$H$2,"")</f>
        <v/>
      </c>
      <c r="J17" s="20" t="str">
        <f>IFERROR(Table44[[#This Row],[Impact on SAC (%)]]*Table44[[#This Row],[Proposed days]]/$H$2,"")</f>
        <v/>
      </c>
    </row>
    <row r="18" spans="1:10" x14ac:dyDescent="0.35">
      <c r="A18" s="2"/>
      <c r="B18" t="str">
        <f>IFERROR(_xlfn.XLOOKUP(A18,#REF!,#REF!),"")</f>
        <v/>
      </c>
      <c r="C18" t="str">
        <f>IFERROR(_xlfn.XLOOKUP(A18,#REF!,#REF!),"")</f>
        <v/>
      </c>
      <c r="D18" s="23" t="str">
        <f>IFERROR(_xlfn.XLOOKUP(A18,#REF!,#REF!),"")</f>
        <v/>
      </c>
      <c r="E18" s="23" t="str">
        <f>IFERROR(_xlfn.XLOOKUP(A18,#REF!,#REF!),"")</f>
        <v/>
      </c>
      <c r="F18" t="str">
        <f>IFERROR(_xlfn.XLOOKUP(A18,#REF!,#REF!),"")</f>
        <v/>
      </c>
      <c r="G18" s="24" t="str" cm="1">
        <f t="array" ref="G18">IFERROR(_xlfn.XLOOKUP(A18,#REF!,IF(C7="Summer",#REF!,#REF!)),"")</f>
        <v/>
      </c>
      <c r="H18" s="20" t="str">
        <f>IFERROR(Table44[[#This Row],[Impact on SAC (km2)]]/$H$3,"")</f>
        <v/>
      </c>
      <c r="I18" s="20" t="str">
        <f>IFERROR(Table44[[#This Row],[Impact on SAC (%)]]*(MIN(Table44[[#This Row],[Proposed End Date]],$F$3)-MAX(Table44[[#This Row],[Proposed Start Date]],$F$2)+1)/$H$2,"")</f>
        <v/>
      </c>
      <c r="J18" s="20" t="str">
        <f>IFERROR(Table44[[#This Row],[Impact on SAC (%)]]*Table44[[#This Row],[Proposed days]]/$H$2,"")</f>
        <v/>
      </c>
    </row>
    <row r="19" spans="1:10" x14ac:dyDescent="0.35">
      <c r="A19" s="2"/>
      <c r="B19" t="str">
        <f>IFERROR(_xlfn.XLOOKUP(A19,#REF!,#REF!),"")</f>
        <v/>
      </c>
      <c r="C19" t="str">
        <f>IFERROR(_xlfn.XLOOKUP(A19,#REF!,#REF!),"")</f>
        <v/>
      </c>
      <c r="D19" s="23" t="str">
        <f>IFERROR(_xlfn.XLOOKUP(A19,#REF!,#REF!),"")</f>
        <v/>
      </c>
      <c r="E19" s="23" t="str">
        <f>IFERROR(_xlfn.XLOOKUP(A19,#REF!,#REF!),"")</f>
        <v/>
      </c>
      <c r="F19" t="str">
        <f>IFERROR(_xlfn.XLOOKUP(A19,#REF!,#REF!),"")</f>
        <v/>
      </c>
      <c r="G19" s="24" t="str" cm="1">
        <f t="array" ref="G19">IFERROR(_xlfn.XLOOKUP(A19,#REF!,IF(C8="Summer",#REF!,#REF!)),"")</f>
        <v/>
      </c>
      <c r="H19" s="20" t="str">
        <f>IFERROR(Table44[[#This Row],[Impact on SAC (km2)]]/$H$3,"")</f>
        <v/>
      </c>
      <c r="I19" s="20" t="str">
        <f>IFERROR(Table44[[#This Row],[Impact on SAC (%)]]*(MIN(Table44[[#This Row],[Proposed End Date]],$F$3)-MAX(Table44[[#This Row],[Proposed Start Date]],$F$2)+1)/$H$2,"")</f>
        <v/>
      </c>
      <c r="J19" s="20" t="str">
        <f>IFERROR(Table44[[#This Row],[Impact on SAC (%)]]*Table44[[#This Row],[Proposed days]]/$H$2,"")</f>
        <v/>
      </c>
    </row>
    <row r="20" spans="1:10" x14ac:dyDescent="0.35">
      <c r="A20" s="2"/>
      <c r="B20" t="str">
        <f>IFERROR(_xlfn.XLOOKUP(A20,#REF!,#REF!),"")</f>
        <v/>
      </c>
      <c r="C20" t="str">
        <f>IFERROR(_xlfn.XLOOKUP(A20,#REF!,#REF!),"")</f>
        <v/>
      </c>
      <c r="D20" s="23" t="str">
        <f>IFERROR(_xlfn.XLOOKUP(A20,#REF!,#REF!),"")</f>
        <v/>
      </c>
      <c r="E20" s="23" t="str">
        <f>IFERROR(_xlfn.XLOOKUP(A20,#REF!,#REF!),"")</f>
        <v/>
      </c>
      <c r="F20" t="str">
        <f>IFERROR(_xlfn.XLOOKUP(A20,#REF!,#REF!),"")</f>
        <v/>
      </c>
      <c r="G20" s="24" t="str" cm="1">
        <f t="array" ref="G20">IFERROR(_xlfn.XLOOKUP(A20,#REF!,IF(C9="Summer",#REF!,#REF!)),"")</f>
        <v/>
      </c>
      <c r="H20" s="20" t="str">
        <f>IFERROR(Table44[[#This Row],[Impact on SAC (km2)]]/$H$3,"")</f>
        <v/>
      </c>
      <c r="I20" s="20" t="str">
        <f>IFERROR(Table44[[#This Row],[Impact on SAC (%)]]*(MIN(Table44[[#This Row],[Proposed End Date]],$F$3)-MAX(Table44[[#This Row],[Proposed Start Date]],$F$2)+1)/$H$2,"")</f>
        <v/>
      </c>
      <c r="J20" s="20" t="str">
        <f>IFERROR(Table44[[#This Row],[Impact on SAC (%)]]*Table44[[#This Row],[Proposed days]]/$H$2,"")</f>
        <v/>
      </c>
    </row>
    <row r="21" spans="1:10" x14ac:dyDescent="0.35">
      <c r="A21" s="2"/>
      <c r="B21" t="str">
        <f>IFERROR(_xlfn.XLOOKUP(A21,#REF!,#REF!),"")</f>
        <v/>
      </c>
      <c r="C21" t="str">
        <f>IFERROR(_xlfn.XLOOKUP(A21,#REF!,#REF!),"")</f>
        <v/>
      </c>
      <c r="D21" s="23" t="str">
        <f>IFERROR(_xlfn.XLOOKUP(A21,#REF!,#REF!),"")</f>
        <v/>
      </c>
      <c r="E21" s="23" t="str">
        <f>IFERROR(_xlfn.XLOOKUP(A21,#REF!,#REF!),"")</f>
        <v/>
      </c>
      <c r="F21" t="str">
        <f>IFERROR(_xlfn.XLOOKUP(A21,#REF!,#REF!),"")</f>
        <v/>
      </c>
      <c r="G21" s="24" t="str" cm="1">
        <f t="array" ref="G21">IFERROR(_xlfn.XLOOKUP(A21,#REF!,IF(C10="Summer",#REF!,#REF!)),"")</f>
        <v/>
      </c>
      <c r="H21" s="20" t="str">
        <f>IFERROR(Table44[[#This Row],[Impact on SAC (km2)]]/$H$3,"")</f>
        <v/>
      </c>
      <c r="I21" s="20" t="str">
        <f>IFERROR(Table44[[#This Row],[Impact on SAC (%)]]*(MIN(Table44[[#This Row],[Proposed End Date]],$F$3)-MAX(Table44[[#This Row],[Proposed Start Date]],$F$2)+1)/$H$2,"")</f>
        <v/>
      </c>
      <c r="J21" s="20" t="str">
        <f>IFERROR(Table44[[#This Row],[Impact on SAC (%)]]*Table44[[#This Row],[Proposed days]]/$H$2,"")</f>
        <v/>
      </c>
    </row>
    <row r="22" spans="1:10" x14ac:dyDescent="0.35">
      <c r="A22" s="2"/>
      <c r="B22" t="str">
        <f>IFERROR(_xlfn.XLOOKUP(A22,#REF!,#REF!),"")</f>
        <v/>
      </c>
      <c r="C22" t="str">
        <f>IFERROR(_xlfn.XLOOKUP(A22,#REF!,#REF!),"")</f>
        <v/>
      </c>
      <c r="D22" s="23" t="str">
        <f>IFERROR(_xlfn.XLOOKUP(A22,#REF!,#REF!),"")</f>
        <v/>
      </c>
      <c r="E22" s="23" t="str">
        <f>IFERROR(_xlfn.XLOOKUP(A22,#REF!,#REF!),"")</f>
        <v/>
      </c>
      <c r="F22" t="str">
        <f>IFERROR(_xlfn.XLOOKUP(A22,#REF!,#REF!),"")</f>
        <v/>
      </c>
      <c r="G22" s="24" t="str" cm="1">
        <f t="array" ref="G22">IFERROR(_xlfn.XLOOKUP(A22,#REF!,IF(C11="Summer",#REF!,#REF!)),"")</f>
        <v/>
      </c>
      <c r="H22" s="20" t="str">
        <f>IFERROR(Table44[[#This Row],[Impact on SAC (km2)]]/$H$3,"")</f>
        <v/>
      </c>
      <c r="I22" s="20" t="str">
        <f>IFERROR(Table44[[#This Row],[Impact on SAC (%)]]*(MIN(Table44[[#This Row],[Proposed End Date]],$F$3)-MAX(Table44[[#This Row],[Proposed Start Date]],$F$2)+1)/$H$2,"")</f>
        <v/>
      </c>
      <c r="J22" s="20" t="str">
        <f>IFERROR(Table44[[#This Row],[Impact on SAC (%)]]*Table44[[#This Row],[Proposed days]]/$H$2,"")</f>
        <v/>
      </c>
    </row>
    <row r="23" spans="1:10" x14ac:dyDescent="0.35">
      <c r="A23" s="2"/>
      <c r="B23" t="str">
        <f>IFERROR(_xlfn.XLOOKUP(A23,#REF!,#REF!),"")</f>
        <v/>
      </c>
      <c r="C23" t="str">
        <f>IFERROR(_xlfn.XLOOKUP(A23,#REF!,#REF!),"")</f>
        <v/>
      </c>
      <c r="D23" s="23" t="str">
        <f>IFERROR(_xlfn.XLOOKUP(A23,#REF!,#REF!),"")</f>
        <v/>
      </c>
      <c r="E23" s="23" t="str">
        <f>IFERROR(_xlfn.XLOOKUP(A23,#REF!,#REF!),"")</f>
        <v/>
      </c>
      <c r="F23" t="str">
        <f>IFERROR(_xlfn.XLOOKUP(A23,#REF!,#REF!),"")</f>
        <v/>
      </c>
      <c r="G23" s="24" t="str" cm="1">
        <f t="array" ref="G23">IFERROR(_xlfn.XLOOKUP(A23,#REF!,IF(C12="Summer",#REF!,#REF!)),"")</f>
        <v/>
      </c>
      <c r="H23" s="20" t="str">
        <f>IFERROR(Table44[[#This Row],[Impact on SAC (km2)]]/$H$3,"")</f>
        <v/>
      </c>
      <c r="I23" s="20" t="str">
        <f>IFERROR(Table44[[#This Row],[Impact on SAC (%)]]*(MIN(Table44[[#This Row],[Proposed End Date]],$F$3)-MAX(Table44[[#This Row],[Proposed Start Date]],$F$2)+1)/$H$2,"")</f>
        <v/>
      </c>
      <c r="J23" s="20" t="str">
        <f>IFERROR(Table44[[#This Row],[Impact on SAC (%)]]*Table44[[#This Row],[Proposed days]]/$H$2,"")</f>
        <v/>
      </c>
    </row>
    <row r="24" spans="1:10" x14ac:dyDescent="0.35">
      <c r="A24" s="2"/>
      <c r="B24" t="str">
        <f>IFERROR(_xlfn.XLOOKUP(A24,#REF!,#REF!),"")</f>
        <v/>
      </c>
      <c r="C24" t="str">
        <f>IFERROR(_xlfn.XLOOKUP(A24,#REF!,#REF!),"")</f>
        <v/>
      </c>
      <c r="D24" s="23" t="str">
        <f>IFERROR(_xlfn.XLOOKUP(A24,#REF!,#REF!),"")</f>
        <v/>
      </c>
      <c r="E24" s="23" t="str">
        <f>IFERROR(_xlfn.XLOOKUP(A24,#REF!,#REF!),"")</f>
        <v/>
      </c>
      <c r="F24" t="str">
        <f>IFERROR(_xlfn.XLOOKUP(A24,#REF!,#REF!),"")</f>
        <v/>
      </c>
      <c r="G24" s="24" t="str" cm="1">
        <f t="array" ref="G24">IFERROR(_xlfn.XLOOKUP(A24,#REF!,IF(C13="Summer",#REF!,#REF!)),"")</f>
        <v/>
      </c>
      <c r="H24" s="20" t="str">
        <f>IFERROR(Table44[[#This Row],[Impact on SAC (km2)]]/$H$3,"")</f>
        <v/>
      </c>
      <c r="I24" s="20" t="str">
        <f>IFERROR(Table44[[#This Row],[Impact on SAC (%)]]*(MIN(Table44[[#This Row],[Proposed End Date]],$F$3)-MAX(Table44[[#This Row],[Proposed Start Date]],$F$2)+1)/$H$2,"")</f>
        <v/>
      </c>
      <c r="J24" s="20" t="str">
        <f>IFERROR(Table44[[#This Row],[Impact on SAC (%)]]*Table44[[#This Row],[Proposed days]]/$H$2,"")</f>
        <v/>
      </c>
    </row>
    <row r="25" spans="1:10" x14ac:dyDescent="0.35">
      <c r="A25" s="2"/>
      <c r="B25" t="str">
        <f>IFERROR(_xlfn.XLOOKUP(A25,#REF!,#REF!),"")</f>
        <v/>
      </c>
      <c r="C25" t="str">
        <f>IFERROR(_xlfn.XLOOKUP(A25,#REF!,#REF!),"")</f>
        <v/>
      </c>
      <c r="D25" s="23" t="str">
        <f>IFERROR(_xlfn.XLOOKUP(A25,#REF!,#REF!),"")</f>
        <v/>
      </c>
      <c r="E25" s="23" t="str">
        <f>IFERROR(_xlfn.XLOOKUP(A25,#REF!,#REF!),"")</f>
        <v/>
      </c>
      <c r="F25" t="str">
        <f>IFERROR(_xlfn.XLOOKUP(A25,#REF!,#REF!),"")</f>
        <v/>
      </c>
      <c r="G25" s="24" t="str" cm="1">
        <f t="array" ref="G25">IFERROR(_xlfn.XLOOKUP(A25,#REF!,IF(C14="Summer",#REF!,#REF!)),"")</f>
        <v/>
      </c>
      <c r="H25" s="20" t="str">
        <f>IFERROR(Table44[[#This Row],[Impact on SAC (km2)]]/$H$3,"")</f>
        <v/>
      </c>
      <c r="I25" s="20" t="str">
        <f>IFERROR(Table44[[#This Row],[Impact on SAC (%)]]*(MIN(Table44[[#This Row],[Proposed End Date]],$F$3)-MAX(Table44[[#This Row],[Proposed Start Date]],$F$2)+1)/$H$2,"")</f>
        <v/>
      </c>
      <c r="J25" s="20" t="str">
        <f>IFERROR(Table44[[#This Row],[Impact on SAC (%)]]*Table44[[#This Row],[Proposed days]]/$H$2,"")</f>
        <v/>
      </c>
    </row>
    <row r="26" spans="1:10" x14ac:dyDescent="0.35">
      <c r="A26" s="2"/>
      <c r="B26" t="str">
        <f>IFERROR(_xlfn.XLOOKUP(A26,#REF!,#REF!),"")</f>
        <v/>
      </c>
      <c r="C26" t="str">
        <f>IFERROR(_xlfn.XLOOKUP(A26,#REF!,#REF!),"")</f>
        <v/>
      </c>
      <c r="D26" s="23" t="str">
        <f>IFERROR(_xlfn.XLOOKUP(A26,#REF!,#REF!),"")</f>
        <v/>
      </c>
      <c r="E26" s="23" t="str">
        <f>IFERROR(_xlfn.XLOOKUP(A26,#REF!,#REF!),"")</f>
        <v/>
      </c>
      <c r="F26" t="str">
        <f>IFERROR(_xlfn.XLOOKUP(A26,#REF!,#REF!),"")</f>
        <v/>
      </c>
      <c r="G26" s="24" t="str" cm="1">
        <f t="array" ref="G26">IFERROR(_xlfn.XLOOKUP(A26,#REF!,IF(C15="Summer",#REF!,#REF!)),"")</f>
        <v/>
      </c>
      <c r="H26" s="20" t="str">
        <f>IFERROR(Table44[[#This Row],[Impact on SAC (km2)]]/$H$3,"")</f>
        <v/>
      </c>
      <c r="I26" s="20" t="str">
        <f>IFERROR(Table44[[#This Row],[Impact on SAC (%)]]*(MIN(Table44[[#This Row],[Proposed End Date]],$F$3)-MAX(Table44[[#This Row],[Proposed Start Date]],$F$2)+1)/$H$2,"")</f>
        <v/>
      </c>
      <c r="J26" s="20" t="str">
        <f>IFERROR(Table44[[#This Row],[Impact on SAC (%)]]*Table44[[#This Row],[Proposed days]]/$H$2,"")</f>
        <v/>
      </c>
    </row>
    <row r="27" spans="1:10" x14ac:dyDescent="0.35">
      <c r="A27" s="2"/>
      <c r="B27" t="str">
        <f>IFERROR(_xlfn.XLOOKUP(A27,#REF!,#REF!),"")</f>
        <v/>
      </c>
      <c r="C27" t="str">
        <f>IFERROR(_xlfn.XLOOKUP(A27,#REF!,#REF!),"")</f>
        <v/>
      </c>
      <c r="D27" s="23" t="str">
        <f>IFERROR(_xlfn.XLOOKUP(A27,#REF!,#REF!),"")</f>
        <v/>
      </c>
      <c r="E27" s="23" t="str">
        <f>IFERROR(_xlfn.XLOOKUP(A27,#REF!,#REF!),"")</f>
        <v/>
      </c>
      <c r="F27" t="str">
        <f>IFERROR(_xlfn.XLOOKUP(A27,#REF!,#REF!),"")</f>
        <v/>
      </c>
      <c r="G27" s="24" t="str" cm="1">
        <f t="array" ref="G27">IFERROR(_xlfn.XLOOKUP(A27,#REF!,IF(C16="Summer",#REF!,#REF!)),"")</f>
        <v/>
      </c>
      <c r="H27" s="20" t="str">
        <f>IFERROR(Table44[[#This Row],[Impact on SAC (km2)]]/$H$3,"")</f>
        <v/>
      </c>
      <c r="I27" s="20" t="str">
        <f>IFERROR(Table44[[#This Row],[Impact on SAC (%)]]*(MIN(Table44[[#This Row],[Proposed End Date]],$F$3)-MAX(Table44[[#This Row],[Proposed Start Date]],$F$2)+1)/$H$2,"")</f>
        <v/>
      </c>
      <c r="J27" s="20" t="str">
        <f>IFERROR(Table44[[#This Row],[Impact on SAC (%)]]*Table44[[#This Row],[Proposed days]]/$H$2,"")</f>
        <v/>
      </c>
    </row>
    <row r="28" spans="1:10" x14ac:dyDescent="0.35">
      <c r="A28" s="2"/>
      <c r="B28" t="str">
        <f>IFERROR(_xlfn.XLOOKUP(A28,#REF!,#REF!),"")</f>
        <v/>
      </c>
      <c r="C28" t="str">
        <f>IFERROR(_xlfn.XLOOKUP(A28,#REF!,#REF!),"")</f>
        <v/>
      </c>
      <c r="D28" s="23" t="str">
        <f>IFERROR(_xlfn.XLOOKUP(A28,#REF!,#REF!),"")</f>
        <v/>
      </c>
      <c r="E28" s="23" t="str">
        <f>IFERROR(_xlfn.XLOOKUP(A28,#REF!,#REF!),"")</f>
        <v/>
      </c>
      <c r="F28" t="str">
        <f>IFERROR(_xlfn.XLOOKUP(A28,#REF!,#REF!),"")</f>
        <v/>
      </c>
      <c r="G28" s="24" t="str" cm="1">
        <f t="array" ref="G28">IFERROR(_xlfn.XLOOKUP(A28,#REF!,IF(C17="Summer",#REF!,#REF!)),"")</f>
        <v/>
      </c>
      <c r="H28" s="20" t="str">
        <f>IFERROR(Table44[[#This Row],[Impact on SAC (km2)]]/$H$3,"")</f>
        <v/>
      </c>
      <c r="I28" s="20" t="str">
        <f>IFERROR(Table44[[#This Row],[Impact on SAC (%)]]*(MIN(Table44[[#This Row],[Proposed End Date]],$F$3)-MAX(Table44[[#This Row],[Proposed Start Date]],$F$2)+1)/$H$2,"")</f>
        <v/>
      </c>
      <c r="J28" s="20" t="str">
        <f>IFERROR(Table44[[#This Row],[Impact on SAC (%)]]*Table44[[#This Row],[Proposed days]]/$H$2,"")</f>
        <v/>
      </c>
    </row>
    <row r="29" spans="1:10" x14ac:dyDescent="0.35">
      <c r="A29" s="2"/>
      <c r="B29" t="str">
        <f>IFERROR(_xlfn.XLOOKUP(A29,#REF!,#REF!),"")</f>
        <v/>
      </c>
      <c r="C29" t="str">
        <f>IFERROR(_xlfn.XLOOKUP(A29,#REF!,#REF!),"")</f>
        <v/>
      </c>
      <c r="D29" s="23" t="str">
        <f>IFERROR(_xlfn.XLOOKUP(A29,#REF!,#REF!),"")</f>
        <v/>
      </c>
      <c r="E29" s="23" t="str">
        <f>IFERROR(_xlfn.XLOOKUP(A29,#REF!,#REF!),"")</f>
        <v/>
      </c>
      <c r="F29" t="str">
        <f>IFERROR(_xlfn.XLOOKUP(A29,#REF!,#REF!),"")</f>
        <v/>
      </c>
      <c r="G29" s="24" t="str" cm="1">
        <f t="array" ref="G29">IFERROR(_xlfn.XLOOKUP(A29,#REF!,IF(C18="Summer",#REF!,#REF!)),"")</f>
        <v/>
      </c>
      <c r="H29" s="20" t="str">
        <f>IFERROR(Table44[[#This Row],[Impact on SAC (km2)]]/$H$3,"")</f>
        <v/>
      </c>
      <c r="I29" s="20" t="str">
        <f>IFERROR(Table44[[#This Row],[Impact on SAC (%)]]*(MIN(Table44[[#This Row],[Proposed End Date]],$F$3)-MAX(Table44[[#This Row],[Proposed Start Date]],$F$2)+1)/$H$2,"")</f>
        <v/>
      </c>
      <c r="J29" s="20" t="str">
        <f>IFERROR(Table44[[#This Row],[Impact on SAC (%)]]*Table44[[#This Row],[Proposed days]]/$H$2,"")</f>
        <v/>
      </c>
    </row>
    <row r="30" spans="1:10" x14ac:dyDescent="0.35">
      <c r="A30" s="2"/>
      <c r="B30" t="str">
        <f>IFERROR(_xlfn.XLOOKUP(A30,#REF!,#REF!),"")</f>
        <v/>
      </c>
      <c r="C30" t="str">
        <f>IFERROR(_xlfn.XLOOKUP(A30,#REF!,#REF!),"")</f>
        <v/>
      </c>
      <c r="D30" s="23" t="str">
        <f>IFERROR(_xlfn.XLOOKUP(A30,#REF!,#REF!),"")</f>
        <v/>
      </c>
      <c r="E30" s="23" t="str">
        <f>IFERROR(_xlfn.XLOOKUP(A30,#REF!,#REF!),"")</f>
        <v/>
      </c>
      <c r="F30" t="str">
        <f>IFERROR(_xlfn.XLOOKUP(A30,#REF!,#REF!),"")</f>
        <v/>
      </c>
      <c r="G30" s="24" t="str" cm="1">
        <f t="array" ref="G30">IFERROR(_xlfn.XLOOKUP(A30,#REF!,IF(C19="Summer",#REF!,#REF!)),"")</f>
        <v/>
      </c>
      <c r="H30" s="20" t="str">
        <f>IFERROR(Table44[[#This Row],[Impact on SAC (km2)]]/$H$3,"")</f>
        <v/>
      </c>
      <c r="I30" s="20" t="str">
        <f>IFERROR(Table44[[#This Row],[Impact on SAC (%)]]*(MIN(Table44[[#This Row],[Proposed End Date]],$F$3)-MAX(Table44[[#This Row],[Proposed Start Date]],$F$2)+1)/$H$2,"")</f>
        <v/>
      </c>
      <c r="J30" s="20" t="str">
        <f>IFERROR(Table44[[#This Row],[Impact on SAC (%)]]*Table44[[#This Row],[Proposed days]]/$H$2,"")</f>
        <v/>
      </c>
    </row>
    <row r="31" spans="1:10" x14ac:dyDescent="0.35">
      <c r="A31" s="2"/>
      <c r="B31" t="str">
        <f>IFERROR(_xlfn.XLOOKUP(A31,#REF!,#REF!),"")</f>
        <v/>
      </c>
      <c r="C31" t="str">
        <f>IFERROR(_xlfn.XLOOKUP(A31,#REF!,#REF!),"")</f>
        <v/>
      </c>
      <c r="D31" s="23" t="str">
        <f>IFERROR(_xlfn.XLOOKUP(A31,#REF!,#REF!),"")</f>
        <v/>
      </c>
      <c r="E31" s="23" t="str">
        <f>IFERROR(_xlfn.XLOOKUP(A31,#REF!,#REF!),"")</f>
        <v/>
      </c>
      <c r="F31" t="str">
        <f>IFERROR(_xlfn.XLOOKUP(A31,#REF!,#REF!),"")</f>
        <v/>
      </c>
      <c r="G31" s="24" t="str" cm="1">
        <f t="array" ref="G31">IFERROR(_xlfn.XLOOKUP(A31,#REF!,IF(C20="Summer",#REF!,#REF!)),"")</f>
        <v/>
      </c>
      <c r="H31" s="20" t="str">
        <f>IFERROR(Table44[[#This Row],[Impact on SAC (km2)]]/$H$3,"")</f>
        <v/>
      </c>
      <c r="I31" s="20" t="str">
        <f>IFERROR(Table44[[#This Row],[Impact on SAC (%)]]*(MIN(Table44[[#This Row],[Proposed End Date]],$F$3)-MAX(Table44[[#This Row],[Proposed Start Date]],$F$2)+1)/$H$2,"")</f>
        <v/>
      </c>
      <c r="J31" s="20" t="str">
        <f>IFERROR(Table44[[#This Row],[Impact on SAC (%)]]*Table44[[#This Row],[Proposed days]]/$H$2,"")</f>
        <v/>
      </c>
    </row>
    <row r="32" spans="1:10" x14ac:dyDescent="0.35">
      <c r="A32" s="2"/>
      <c r="B32" t="str">
        <f>IFERROR(_xlfn.XLOOKUP(A32,#REF!,#REF!),"")</f>
        <v/>
      </c>
      <c r="C32" t="str">
        <f>IFERROR(_xlfn.XLOOKUP(A32,#REF!,#REF!),"")</f>
        <v/>
      </c>
      <c r="D32" s="23" t="str">
        <f>IFERROR(_xlfn.XLOOKUP(A32,#REF!,#REF!),"")</f>
        <v/>
      </c>
      <c r="E32" s="23" t="str">
        <f>IFERROR(_xlfn.XLOOKUP(A32,#REF!,#REF!),"")</f>
        <v/>
      </c>
      <c r="F32" t="str">
        <f>IFERROR(_xlfn.XLOOKUP(A32,#REF!,#REF!),"")</f>
        <v/>
      </c>
      <c r="G32" s="24" t="str" cm="1">
        <f t="array" ref="G32">IFERROR(_xlfn.XLOOKUP(A32,#REF!,IF(C21="Summer",#REF!,#REF!)),"")</f>
        <v/>
      </c>
      <c r="H32" s="20" t="str">
        <f>IFERROR(Table44[[#This Row],[Impact on SAC (km2)]]/$H$3,"")</f>
        <v/>
      </c>
      <c r="I32" s="20" t="str">
        <f>IFERROR(Table44[[#This Row],[Impact on SAC (%)]]*(MIN(Table44[[#This Row],[Proposed End Date]],$F$3)-MAX(Table44[[#This Row],[Proposed Start Date]],$F$2)+1)/$H$2,"")</f>
        <v/>
      </c>
      <c r="J32" s="20" t="str">
        <f>IFERROR(Table44[[#This Row],[Impact on SAC (%)]]*Table44[[#This Row],[Proposed days]]/$H$2,"")</f>
        <v/>
      </c>
    </row>
    <row r="33" spans="1:10" x14ac:dyDescent="0.35">
      <c r="A33" s="2"/>
      <c r="B33" t="str">
        <f>IFERROR(_xlfn.XLOOKUP(A33,#REF!,#REF!),"")</f>
        <v/>
      </c>
      <c r="C33" t="str">
        <f>IFERROR(_xlfn.XLOOKUP(A33,#REF!,#REF!),"")</f>
        <v/>
      </c>
      <c r="D33" s="23" t="str">
        <f>IFERROR(_xlfn.XLOOKUP(A33,#REF!,#REF!),"")</f>
        <v/>
      </c>
      <c r="E33" s="23" t="str">
        <f>IFERROR(_xlfn.XLOOKUP(A33,#REF!,#REF!),"")</f>
        <v/>
      </c>
      <c r="F33" t="str">
        <f>IFERROR(_xlfn.XLOOKUP(A33,#REF!,#REF!),"")</f>
        <v/>
      </c>
      <c r="G33" s="24" t="str" cm="1">
        <f t="array" ref="G33">IFERROR(_xlfn.XLOOKUP(A33,#REF!,IF(C22="Summer",#REF!,#REF!)),"")</f>
        <v/>
      </c>
      <c r="H33" s="20" t="str">
        <f>IFERROR(Table44[[#This Row],[Impact on SAC (km2)]]/$H$3,"")</f>
        <v/>
      </c>
      <c r="I33" s="20" t="str">
        <f>IFERROR(Table44[[#This Row],[Impact on SAC (%)]]*(MIN(Table44[[#This Row],[Proposed End Date]],$F$3)-MAX(Table44[[#This Row],[Proposed Start Date]],$F$2)+1)/$H$2,"")</f>
        <v/>
      </c>
      <c r="J33" s="20" t="str">
        <f>IFERROR(Table44[[#This Row],[Impact on SAC (%)]]*Table44[[#This Row],[Proposed days]]/$H$2,"")</f>
        <v/>
      </c>
    </row>
    <row r="34" spans="1:10" x14ac:dyDescent="0.35">
      <c r="A34" s="2"/>
      <c r="B34" t="str">
        <f>IFERROR(_xlfn.XLOOKUP(A34,#REF!,#REF!),"")</f>
        <v/>
      </c>
      <c r="C34" t="str">
        <f>IFERROR(_xlfn.XLOOKUP(A34,#REF!,#REF!),"")</f>
        <v/>
      </c>
      <c r="D34" s="23" t="str">
        <f>IFERROR(_xlfn.XLOOKUP(A34,#REF!,#REF!),"")</f>
        <v/>
      </c>
      <c r="E34" s="23" t="str">
        <f>IFERROR(_xlfn.XLOOKUP(A34,#REF!,#REF!),"")</f>
        <v/>
      </c>
      <c r="F34" t="str">
        <f>IFERROR(_xlfn.XLOOKUP(A34,#REF!,#REF!),"")</f>
        <v/>
      </c>
      <c r="G34" s="24" t="str" cm="1">
        <f t="array" ref="G34">IFERROR(_xlfn.XLOOKUP(A34,#REF!,IF(C23="Summer",#REF!,#REF!)),"")</f>
        <v/>
      </c>
      <c r="H34" s="20" t="str">
        <f>IFERROR(Table44[[#This Row],[Impact on SAC (km2)]]/$H$3,"")</f>
        <v/>
      </c>
      <c r="I34" s="20" t="str">
        <f>IFERROR(Table44[[#This Row],[Impact on SAC (%)]]*(MIN(Table44[[#This Row],[Proposed End Date]],$F$3)-MAX(Table44[[#This Row],[Proposed Start Date]],$F$2)+1)/$H$2,"")</f>
        <v/>
      </c>
      <c r="J34" s="20" t="str">
        <f>IFERROR(Table44[[#This Row],[Impact on SAC (%)]]*Table44[[#This Row],[Proposed days]]/$H$2,"")</f>
        <v/>
      </c>
    </row>
    <row r="35" spans="1:10" x14ac:dyDescent="0.35">
      <c r="A35" s="2"/>
      <c r="B35" t="str">
        <f>IFERROR(_xlfn.XLOOKUP(A35,#REF!,#REF!),"")</f>
        <v/>
      </c>
      <c r="C35" t="str">
        <f>IFERROR(_xlfn.XLOOKUP(A35,#REF!,#REF!),"")</f>
        <v/>
      </c>
      <c r="D35" s="23" t="str">
        <f>IFERROR(_xlfn.XLOOKUP(A35,#REF!,#REF!),"")</f>
        <v/>
      </c>
      <c r="E35" s="23" t="str">
        <f>IFERROR(_xlfn.XLOOKUP(A35,#REF!,#REF!),"")</f>
        <v/>
      </c>
      <c r="F35" t="str">
        <f>IFERROR(_xlfn.XLOOKUP(A35,#REF!,#REF!),"")</f>
        <v/>
      </c>
      <c r="G35" s="24" t="str" cm="1">
        <f t="array" ref="G35">IFERROR(_xlfn.XLOOKUP(A35,#REF!,IF(C24="Summer",#REF!,#REF!)),"")</f>
        <v/>
      </c>
      <c r="H35" s="20" t="str">
        <f>IFERROR(Table44[[#This Row],[Impact on SAC (km2)]]/$H$3,"")</f>
        <v/>
      </c>
      <c r="I35" s="20" t="str">
        <f>IFERROR(Table44[[#This Row],[Impact on SAC (%)]]*(MIN(Table44[[#This Row],[Proposed End Date]],$F$3)-MAX(Table44[[#This Row],[Proposed Start Date]],$F$2)+1)/$H$2,"")</f>
        <v/>
      </c>
      <c r="J35" s="20" t="str">
        <f>IFERROR(Table44[[#This Row],[Impact on SAC (%)]]*Table44[[#This Row],[Proposed days]]/$H$2,"")</f>
        <v/>
      </c>
    </row>
    <row r="36" spans="1:10" x14ac:dyDescent="0.35">
      <c r="A36" s="2"/>
      <c r="B36" t="str">
        <f>IFERROR(_xlfn.XLOOKUP(A36,#REF!,#REF!),"")</f>
        <v/>
      </c>
      <c r="C36" t="str">
        <f>IFERROR(_xlfn.XLOOKUP(A36,#REF!,#REF!),"")</f>
        <v/>
      </c>
      <c r="D36" s="23" t="str">
        <f>IFERROR(_xlfn.XLOOKUP(A36,#REF!,#REF!),"")</f>
        <v/>
      </c>
      <c r="E36" s="23" t="str">
        <f>IFERROR(_xlfn.XLOOKUP(A36,#REF!,#REF!),"")</f>
        <v/>
      </c>
      <c r="F36" t="str">
        <f>IFERROR(_xlfn.XLOOKUP(A36,#REF!,#REF!),"")</f>
        <v/>
      </c>
      <c r="G36" s="24" t="str" cm="1">
        <f t="array" ref="G36">IFERROR(_xlfn.XLOOKUP(A36,#REF!,IF(C25="Summer",#REF!,#REF!)),"")</f>
        <v/>
      </c>
      <c r="H36" s="20" t="str">
        <f>IFERROR(Table44[[#This Row],[Impact on SAC (km2)]]/$H$3,"")</f>
        <v/>
      </c>
      <c r="I36" s="20" t="str">
        <f>IFERROR(Table44[[#This Row],[Impact on SAC (%)]]*(MIN(Table44[[#This Row],[Proposed End Date]],$F$3)-MAX(Table44[[#This Row],[Proposed Start Date]],$F$2)+1)/$H$2,"")</f>
        <v/>
      </c>
      <c r="J36" s="20" t="str">
        <f>IFERROR(Table44[[#This Row],[Impact on SAC (%)]]*Table44[[#This Row],[Proposed days]]/$H$2,"")</f>
        <v/>
      </c>
    </row>
    <row r="37" spans="1:10" x14ac:dyDescent="0.35">
      <c r="A37" s="2"/>
      <c r="B37" t="str">
        <f>IFERROR(_xlfn.XLOOKUP(A37,#REF!,#REF!),"")</f>
        <v/>
      </c>
      <c r="C37" t="str">
        <f>IFERROR(_xlfn.XLOOKUP(A37,#REF!,#REF!),"")</f>
        <v/>
      </c>
      <c r="D37" s="23" t="str">
        <f>IFERROR(_xlfn.XLOOKUP(A37,#REF!,#REF!),"")</f>
        <v/>
      </c>
      <c r="E37" s="23" t="str">
        <f>IFERROR(_xlfn.XLOOKUP(A37,#REF!,#REF!),"")</f>
        <v/>
      </c>
      <c r="F37" t="str">
        <f>IFERROR(_xlfn.XLOOKUP(A37,#REF!,#REF!),"")</f>
        <v/>
      </c>
      <c r="G37" s="24" t="str" cm="1">
        <f t="array" ref="G37">IFERROR(_xlfn.XLOOKUP(A37,#REF!,IF(C26="Summer",#REF!,#REF!)),"")</f>
        <v/>
      </c>
      <c r="H37" s="20" t="str">
        <f>IFERROR(Table44[[#This Row],[Impact on SAC (km2)]]/$H$3,"")</f>
        <v/>
      </c>
      <c r="I37" s="20" t="str">
        <f>IFERROR(Table44[[#This Row],[Impact on SAC (%)]]*(MIN(Table44[[#This Row],[Proposed End Date]],$F$3)-MAX(Table44[[#This Row],[Proposed Start Date]],$F$2)+1)/$H$2,"")</f>
        <v/>
      </c>
      <c r="J37" s="20" t="str">
        <f>IFERROR(Table44[[#This Row],[Impact on SAC (%)]]*Table44[[#This Row],[Proposed days]]/$H$2,"")</f>
        <v/>
      </c>
    </row>
    <row r="38" spans="1:10" x14ac:dyDescent="0.35">
      <c r="A38" s="2"/>
      <c r="B38" t="str">
        <f>IFERROR(_xlfn.XLOOKUP(A38,#REF!,#REF!),"")</f>
        <v/>
      </c>
      <c r="C38" t="str">
        <f>IFERROR(_xlfn.XLOOKUP(A38,#REF!,#REF!),"")</f>
        <v/>
      </c>
      <c r="D38" s="23" t="str">
        <f>IFERROR(_xlfn.XLOOKUP(A38,#REF!,#REF!),"")</f>
        <v/>
      </c>
      <c r="E38" s="23" t="str">
        <f>IFERROR(_xlfn.XLOOKUP(A38,#REF!,#REF!),"")</f>
        <v/>
      </c>
      <c r="F38" t="str">
        <f>IFERROR(_xlfn.XLOOKUP(A38,#REF!,#REF!),"")</f>
        <v/>
      </c>
      <c r="G38" s="24" t="str" cm="1">
        <f t="array" ref="G38">IFERROR(_xlfn.XLOOKUP(A38,#REF!,IF(C27="Summer",#REF!,#REF!)),"")</f>
        <v/>
      </c>
      <c r="H38" s="20" t="str">
        <f>IFERROR(Table44[[#This Row],[Impact on SAC (km2)]]/$H$3,"")</f>
        <v/>
      </c>
      <c r="I38" s="20" t="str">
        <f>IFERROR(Table44[[#This Row],[Impact on SAC (%)]]*(MIN(Table44[[#This Row],[Proposed End Date]],$F$3)-MAX(Table44[[#This Row],[Proposed Start Date]],$F$2)+1)/$H$2,"")</f>
        <v/>
      </c>
      <c r="J38" s="20" t="str">
        <f>IFERROR(Table44[[#This Row],[Impact on SAC (%)]]*Table44[[#This Row],[Proposed days]]/$H$2,"")</f>
        <v/>
      </c>
    </row>
    <row r="39" spans="1:10" x14ac:dyDescent="0.35">
      <c r="A39" s="2"/>
      <c r="B39" t="str">
        <f>IFERROR(_xlfn.XLOOKUP(A39,#REF!,#REF!),"")</f>
        <v/>
      </c>
      <c r="C39" t="str">
        <f>IFERROR(_xlfn.XLOOKUP(A39,#REF!,#REF!),"")</f>
        <v/>
      </c>
      <c r="D39" s="23" t="str">
        <f>IFERROR(_xlfn.XLOOKUP(A39,#REF!,#REF!),"")</f>
        <v/>
      </c>
      <c r="E39" s="23" t="str">
        <f>IFERROR(_xlfn.XLOOKUP(A39,#REF!,#REF!),"")</f>
        <v/>
      </c>
      <c r="F39" t="str">
        <f>IFERROR(_xlfn.XLOOKUP(A39,#REF!,#REF!),"")</f>
        <v/>
      </c>
      <c r="G39" s="24" t="str" cm="1">
        <f t="array" ref="G39">IFERROR(_xlfn.XLOOKUP(A39,#REF!,IF(C28="Summer",#REF!,#REF!)),"")</f>
        <v/>
      </c>
      <c r="H39" s="20" t="str">
        <f>IFERROR(Table44[[#This Row],[Impact on SAC (km2)]]/$H$3,"")</f>
        <v/>
      </c>
      <c r="I39" s="20" t="str">
        <f>IFERROR(Table44[[#This Row],[Impact on SAC (%)]]*(MIN(Table44[[#This Row],[Proposed End Date]],$F$3)-MAX(Table44[[#This Row],[Proposed Start Date]],$F$2)+1)/$H$2,"")</f>
        <v/>
      </c>
      <c r="J39" s="20" t="str">
        <f>IFERROR(Table44[[#This Row],[Impact on SAC (%)]]*Table44[[#This Row],[Proposed days]]/$H$2,"")</f>
        <v/>
      </c>
    </row>
    <row r="40" spans="1:10" x14ac:dyDescent="0.35">
      <c r="B40" t="str">
        <f>IFERROR(_xlfn.XLOOKUP(A40,#REF!,#REF!),"")</f>
        <v/>
      </c>
      <c r="C40" t="str">
        <f>IFERROR(_xlfn.XLOOKUP(A40,#REF!,#REF!),"")</f>
        <v/>
      </c>
      <c r="D40" s="23" t="str">
        <f>IFERROR(_xlfn.XLOOKUP(A40,#REF!,#REF!),"")</f>
        <v/>
      </c>
      <c r="E40" s="23" t="str">
        <f>IFERROR(_xlfn.XLOOKUP(A40,#REF!,#REF!),"")</f>
        <v/>
      </c>
      <c r="F40" t="str">
        <f>IFERROR(_xlfn.XLOOKUP(A40,#REF!,#REF!),"")</f>
        <v/>
      </c>
      <c r="G40" s="24" t="str" cm="1">
        <f t="array" ref="G40">IFERROR(_xlfn.XLOOKUP(A40,#REF!,IF(C29="Summer",#REF!,#REF!)),"")</f>
        <v/>
      </c>
      <c r="H40" s="20" t="str">
        <f>IFERROR(Table44[[#This Row],[Impact on SAC (km2)]]/$H$3,"")</f>
        <v/>
      </c>
      <c r="I40" s="20" t="str">
        <f>IFERROR(Table44[[#This Row],[Impact on SAC (%)]]*(MIN(Table44[[#This Row],[Proposed End Date]],$F$3)-MAX(Table44[[#This Row],[Proposed Start Date]],$F$2)+1)/$H$2,"")</f>
        <v/>
      </c>
      <c r="J40" s="20" t="str">
        <f>IFERROR(Table44[[#This Row],[Impact on SAC (%)]]*Table44[[#This Row],[Proposed days]]/$H$2,"")</f>
        <v/>
      </c>
    </row>
    <row r="41" spans="1:10" x14ac:dyDescent="0.35">
      <c r="B41" t="str">
        <f>IFERROR(_xlfn.XLOOKUP(A41,#REF!,#REF!),"")</f>
        <v/>
      </c>
      <c r="C41" t="str">
        <f>IFERROR(_xlfn.XLOOKUP(A41,#REF!,#REF!),"")</f>
        <v/>
      </c>
      <c r="D41" s="23" t="str">
        <f>IFERROR(_xlfn.XLOOKUP(A41,#REF!,#REF!),"")</f>
        <v/>
      </c>
      <c r="E41" s="23" t="str">
        <f>IFERROR(_xlfn.XLOOKUP(A41,#REF!,#REF!),"")</f>
        <v/>
      </c>
      <c r="F41" t="str">
        <f>IFERROR(_xlfn.XLOOKUP(A41,#REF!,#REF!),"")</f>
        <v/>
      </c>
      <c r="G41" s="24" t="str" cm="1">
        <f t="array" ref="G41">IFERROR(_xlfn.XLOOKUP(A41,#REF!,IF(C30="Summer",#REF!,#REF!)),"")</f>
        <v/>
      </c>
      <c r="H41" s="20" t="str">
        <f>IFERROR(Table44[[#This Row],[Impact on SAC (km2)]]/$H$3,"")</f>
        <v/>
      </c>
      <c r="I41" s="20" t="str">
        <f>IFERROR(Table44[[#This Row],[Impact on SAC (%)]]*(MIN(Table44[[#This Row],[Proposed End Date]],$F$3)-MAX(Table44[[#This Row],[Proposed Start Date]],$F$2)+1)/$H$2,"")</f>
        <v/>
      </c>
      <c r="J41" s="20" t="str">
        <f>IFERROR(Table44[[#This Row],[Impact on SAC (%)]]*Table44[[#This Row],[Proposed days]]/$H$2,"")</f>
        <v/>
      </c>
    </row>
    <row r="42" spans="1:10" x14ac:dyDescent="0.35">
      <c r="B42" t="str">
        <f>IFERROR(_xlfn.XLOOKUP(A42,#REF!,#REF!),"")</f>
        <v/>
      </c>
      <c r="C42" t="str">
        <f>IFERROR(_xlfn.XLOOKUP(A42,#REF!,#REF!),"")</f>
        <v/>
      </c>
      <c r="D42" s="23" t="str">
        <f>IFERROR(_xlfn.XLOOKUP(A42,#REF!,#REF!),"")</f>
        <v/>
      </c>
      <c r="E42" s="23" t="str">
        <f>IFERROR(_xlfn.XLOOKUP(A42,#REF!,#REF!),"")</f>
        <v/>
      </c>
      <c r="F42" t="str">
        <f>IFERROR(_xlfn.XLOOKUP(A42,#REF!,#REF!),"")</f>
        <v/>
      </c>
      <c r="G42" s="24" t="str" cm="1">
        <f t="array" ref="G42">IFERROR(_xlfn.XLOOKUP(A42,#REF!,IF(C31="Summer",#REF!,#REF!)),"")</f>
        <v/>
      </c>
      <c r="H42" s="20" t="str">
        <f>IFERROR(Table44[[#This Row],[Impact on SAC (km2)]]/$H$3,"")</f>
        <v/>
      </c>
      <c r="I42" s="20" t="str">
        <f>IFERROR(Table44[[#This Row],[Impact on SAC (%)]]*(MIN(Table44[[#This Row],[Proposed End Date]],$F$3)-MAX(Table44[[#This Row],[Proposed Start Date]],$F$2)+1)/$H$2,"")</f>
        <v/>
      </c>
      <c r="J42" s="20" t="str">
        <f>IFERROR(Table44[[#This Row],[Impact on SAC (%)]]*Table44[[#This Row],[Proposed days]]/$H$2,"")</f>
        <v/>
      </c>
    </row>
    <row r="43" spans="1:10" x14ac:dyDescent="0.35">
      <c r="B43" t="str">
        <f>IFERROR(_xlfn.XLOOKUP(A43,#REF!,#REF!),"")</f>
        <v/>
      </c>
      <c r="C43" t="str">
        <f>IFERROR(_xlfn.XLOOKUP(A43,#REF!,#REF!),"")</f>
        <v/>
      </c>
      <c r="D43" s="23" t="str">
        <f>IFERROR(_xlfn.XLOOKUP(A43,#REF!,#REF!),"")</f>
        <v/>
      </c>
      <c r="E43" s="23" t="str">
        <f>IFERROR(_xlfn.XLOOKUP(A43,#REF!,#REF!),"")</f>
        <v/>
      </c>
      <c r="F43" t="str">
        <f>IFERROR(_xlfn.XLOOKUP(A43,#REF!,#REF!),"")</f>
        <v/>
      </c>
      <c r="G43" s="24" t="str" cm="1">
        <f t="array" ref="G43">IFERROR(_xlfn.XLOOKUP(A43,#REF!,IF(C32="Summer",#REF!,#REF!)),"")</f>
        <v/>
      </c>
      <c r="H43" s="20" t="str">
        <f>IFERROR(Table44[[#This Row],[Impact on SAC (km2)]]/$H$3,"")</f>
        <v/>
      </c>
      <c r="I43" s="20" t="str">
        <f>IFERROR(Table44[[#This Row],[Impact on SAC (%)]]*(MIN(Table44[[#This Row],[Proposed End Date]],$F$3)-MAX(Table44[[#This Row],[Proposed Start Date]],$F$2)+1)/$H$2,"")</f>
        <v/>
      </c>
      <c r="J43" s="20" t="str">
        <f>IFERROR(Table44[[#This Row],[Impact on SAC (%)]]*Table44[[#This Row],[Proposed days]]/$H$2,"")</f>
        <v/>
      </c>
    </row>
    <row r="44" spans="1:10" x14ac:dyDescent="0.35">
      <c r="B44" t="str">
        <f>IFERROR(_xlfn.XLOOKUP(A44,#REF!,#REF!),"")</f>
        <v/>
      </c>
      <c r="C44" t="str">
        <f>IFERROR(_xlfn.XLOOKUP(A44,#REF!,#REF!),"")</f>
        <v/>
      </c>
      <c r="D44" s="23" t="str">
        <f>IFERROR(_xlfn.XLOOKUP(A44,#REF!,#REF!),"")</f>
        <v/>
      </c>
      <c r="E44" s="23" t="str">
        <f>IFERROR(_xlfn.XLOOKUP(A44,#REF!,#REF!),"")</f>
        <v/>
      </c>
      <c r="F44" t="str">
        <f>IFERROR(_xlfn.XLOOKUP(A44,#REF!,#REF!),"")</f>
        <v/>
      </c>
      <c r="G44" s="24" t="str" cm="1">
        <f t="array" ref="G44">IFERROR(_xlfn.XLOOKUP(A44,#REF!,IF(C33="Summer",#REF!,#REF!)),"")</f>
        <v/>
      </c>
      <c r="H44" s="20" t="str">
        <f>IFERROR(Table44[[#This Row],[Impact on SAC (km2)]]/$H$3,"")</f>
        <v/>
      </c>
      <c r="I44" s="20" t="str">
        <f>IFERROR(Table44[[#This Row],[Impact on SAC (%)]]*(MIN(Table44[[#This Row],[Proposed End Date]],$F$3)-MAX(Table44[[#This Row],[Proposed Start Date]],$F$2)+1)/$H$2,"")</f>
        <v/>
      </c>
      <c r="J44" s="20" t="str">
        <f>IFERROR(Table44[[#This Row],[Impact on SAC (%)]]*Table44[[#This Row],[Proposed days]]/$H$2,"")</f>
        <v/>
      </c>
    </row>
    <row r="45" spans="1:10" x14ac:dyDescent="0.35">
      <c r="B45" t="str">
        <f>IFERROR(_xlfn.XLOOKUP(A45,#REF!,#REF!),"")</f>
        <v/>
      </c>
      <c r="C45" t="str">
        <f>IFERROR(_xlfn.XLOOKUP(A45,#REF!,#REF!),"")</f>
        <v/>
      </c>
      <c r="D45" s="23" t="str">
        <f>IFERROR(_xlfn.XLOOKUP(A45,#REF!,#REF!),"")</f>
        <v/>
      </c>
      <c r="E45" s="23" t="str">
        <f>IFERROR(_xlfn.XLOOKUP(A45,#REF!,#REF!),"")</f>
        <v/>
      </c>
      <c r="F45" t="str">
        <f>IFERROR(_xlfn.XLOOKUP(A45,#REF!,#REF!),"")</f>
        <v/>
      </c>
      <c r="G45" s="24" t="str" cm="1">
        <f t="array" ref="G45">IFERROR(_xlfn.XLOOKUP(A45,#REF!,IF(C34="Summer",#REF!,#REF!)),"")</f>
        <v/>
      </c>
      <c r="H45" s="20" t="str">
        <f>IFERROR(Table44[[#This Row],[Impact on SAC (km2)]]/$H$3,"")</f>
        <v/>
      </c>
      <c r="I45" s="20" t="str">
        <f>IFERROR(Table44[[#This Row],[Impact on SAC (%)]]*(MIN(Table44[[#This Row],[Proposed End Date]],$F$3)-MAX(Table44[[#This Row],[Proposed Start Date]],$F$2)+1)/$H$2,"")</f>
        <v/>
      </c>
      <c r="J45" s="20" t="str">
        <f>IFERROR(Table44[[#This Row],[Impact on SAC (%)]]*Table44[[#This Row],[Proposed days]]/$H$2,"")</f>
        <v/>
      </c>
    </row>
    <row r="46" spans="1:10" x14ac:dyDescent="0.35">
      <c r="B46" t="str">
        <f>IFERROR(_xlfn.XLOOKUP(A46,#REF!,#REF!),"")</f>
        <v/>
      </c>
      <c r="C46" t="str">
        <f>IFERROR(_xlfn.XLOOKUP(A46,#REF!,#REF!),"")</f>
        <v/>
      </c>
      <c r="D46" s="23" t="str">
        <f>IFERROR(_xlfn.XLOOKUP(A46,#REF!,#REF!),"")</f>
        <v/>
      </c>
      <c r="E46" s="23" t="str">
        <f>IFERROR(_xlfn.XLOOKUP(A46,#REF!,#REF!),"")</f>
        <v/>
      </c>
      <c r="F46" t="str">
        <f>IFERROR(_xlfn.XLOOKUP(A46,#REF!,#REF!),"")</f>
        <v/>
      </c>
      <c r="G46" s="24" t="str" cm="1">
        <f t="array" ref="G46">IFERROR(_xlfn.XLOOKUP(A46,#REF!,IF(C35="Summer",#REF!,#REF!)),"")</f>
        <v/>
      </c>
      <c r="H46" s="20" t="str">
        <f>IFERROR(Table44[[#This Row],[Impact on SAC (km2)]]/$H$3,"")</f>
        <v/>
      </c>
      <c r="I46" s="20" t="str">
        <f>IFERROR(Table44[[#This Row],[Impact on SAC (%)]]*(MIN(Table44[[#This Row],[Proposed End Date]],$F$3)-MAX(Table44[[#This Row],[Proposed Start Date]],$F$2)+1)/$H$2,"")</f>
        <v/>
      </c>
      <c r="J46" s="20" t="str">
        <f>IFERROR(Table44[[#This Row],[Impact on SAC (%)]]*Table44[[#This Row],[Proposed days]]/$H$2,"")</f>
        <v/>
      </c>
    </row>
    <row r="47" spans="1:10" x14ac:dyDescent="0.35">
      <c r="B47" t="str">
        <f>IFERROR(_xlfn.XLOOKUP(A47,#REF!,#REF!),"")</f>
        <v/>
      </c>
      <c r="C47" t="str">
        <f>IFERROR(_xlfn.XLOOKUP(A47,#REF!,#REF!),"")</f>
        <v/>
      </c>
      <c r="D47" s="23" t="str">
        <f>IFERROR(_xlfn.XLOOKUP(A47,#REF!,#REF!),"")</f>
        <v/>
      </c>
      <c r="E47" s="23" t="str">
        <f>IFERROR(_xlfn.XLOOKUP(A47,#REF!,#REF!),"")</f>
        <v/>
      </c>
      <c r="F47" t="str">
        <f>IFERROR(_xlfn.XLOOKUP(A47,#REF!,#REF!),"")</f>
        <v/>
      </c>
      <c r="G47" s="24" t="str" cm="1">
        <f t="array" ref="G47">IFERROR(_xlfn.XLOOKUP(A47,#REF!,IF(C36="Summer",#REF!,#REF!)),"")</f>
        <v/>
      </c>
      <c r="H47" s="20" t="str">
        <f>IFERROR(Table44[[#This Row],[Impact on SAC (km2)]]/$H$3,"")</f>
        <v/>
      </c>
      <c r="I47" s="20" t="str">
        <f>IFERROR(Table44[[#This Row],[Impact on SAC (%)]]*(MIN(Table44[[#This Row],[Proposed End Date]],$F$3)-MAX(Table44[[#This Row],[Proposed Start Date]],$F$2)+1)/$H$2,"")</f>
        <v/>
      </c>
      <c r="J47" s="20" t="str">
        <f>IFERROR(Table44[[#This Row],[Impact on SAC (%)]]*Table44[[#This Row],[Proposed days]]/$H$2,"")</f>
        <v/>
      </c>
    </row>
    <row r="48" spans="1:10" x14ac:dyDescent="0.35">
      <c r="B48" t="str">
        <f>IFERROR(_xlfn.XLOOKUP(A48,#REF!,#REF!),"")</f>
        <v/>
      </c>
      <c r="C48" t="str">
        <f>IFERROR(_xlfn.XLOOKUP(A48,#REF!,#REF!),"")</f>
        <v/>
      </c>
      <c r="D48" s="23" t="str">
        <f>IFERROR(_xlfn.XLOOKUP(A48,#REF!,#REF!),"")</f>
        <v/>
      </c>
      <c r="E48" s="23" t="str">
        <f>IFERROR(_xlfn.XLOOKUP(A48,#REF!,#REF!),"")</f>
        <v/>
      </c>
      <c r="F48" t="str">
        <f>IFERROR(_xlfn.XLOOKUP(A48,#REF!,#REF!),"")</f>
        <v/>
      </c>
      <c r="G48" s="24" t="str" cm="1">
        <f t="array" ref="G48">IFERROR(_xlfn.XLOOKUP(A48,#REF!,IF(C37="Summer",#REF!,#REF!)),"")</f>
        <v/>
      </c>
      <c r="H48" s="20" t="str">
        <f>IFERROR(Table44[[#This Row],[Impact on SAC (km2)]]/$H$3,"")</f>
        <v/>
      </c>
      <c r="I48" s="20" t="str">
        <f>IFERROR(Table44[[#This Row],[Impact on SAC (%)]]*(MIN(Table44[[#This Row],[Proposed End Date]],$F$3)-MAX(Table44[[#This Row],[Proposed Start Date]],$F$2)+1)/$H$2,"")</f>
        <v/>
      </c>
      <c r="J48" s="20" t="str">
        <f>IFERROR(Table44[[#This Row],[Impact on SAC (%)]]*Table44[[#This Row],[Proposed days]]/$H$2,"")</f>
        <v/>
      </c>
    </row>
    <row r="49" spans="2:10" x14ac:dyDescent="0.35">
      <c r="B49" t="str">
        <f>IFERROR(_xlfn.XLOOKUP(A49,#REF!,#REF!),"")</f>
        <v/>
      </c>
      <c r="C49" t="str">
        <f>IFERROR(_xlfn.XLOOKUP(A49,#REF!,#REF!),"")</f>
        <v/>
      </c>
      <c r="D49" s="23" t="str">
        <f>IFERROR(_xlfn.XLOOKUP(A49,#REF!,#REF!),"")</f>
        <v/>
      </c>
      <c r="E49" s="23" t="str">
        <f>IFERROR(_xlfn.XLOOKUP(A49,#REF!,#REF!),"")</f>
        <v/>
      </c>
      <c r="F49" t="str">
        <f>IFERROR(_xlfn.XLOOKUP(A49,#REF!,#REF!),"")</f>
        <v/>
      </c>
      <c r="G49" s="24" t="str" cm="1">
        <f t="array" ref="G49">IFERROR(_xlfn.XLOOKUP(A49,#REF!,IF(C38="Summer",#REF!,#REF!)),"")</f>
        <v/>
      </c>
      <c r="H49" s="20" t="str">
        <f>IFERROR(Table44[[#This Row],[Impact on SAC (km2)]]/$H$3,"")</f>
        <v/>
      </c>
      <c r="I49" s="20" t="str">
        <f>IFERROR(Table44[[#This Row],[Impact on SAC (%)]]*(MIN(Table44[[#This Row],[Proposed End Date]],$F$3)-MAX(Table44[[#This Row],[Proposed Start Date]],$F$2)+1)/$H$2,"")</f>
        <v/>
      </c>
      <c r="J49" s="20" t="str">
        <f>IFERROR(Table44[[#This Row],[Impact on SAC (%)]]*Table44[[#This Row],[Proposed days]]/$H$2,"")</f>
        <v/>
      </c>
    </row>
    <row r="50" spans="2:10" x14ac:dyDescent="0.35">
      <c r="B50" t="str">
        <f>IFERROR(_xlfn.XLOOKUP(A50,#REF!,#REF!),"")</f>
        <v/>
      </c>
      <c r="C50" t="str">
        <f>IFERROR(_xlfn.XLOOKUP(A50,#REF!,#REF!),"")</f>
        <v/>
      </c>
      <c r="D50" s="23" t="str">
        <f>IFERROR(_xlfn.XLOOKUP(A50,#REF!,#REF!),"")</f>
        <v/>
      </c>
      <c r="E50" s="23" t="str">
        <f>IFERROR(_xlfn.XLOOKUP(A50,#REF!,#REF!),"")</f>
        <v/>
      </c>
      <c r="F50" t="str">
        <f>IFERROR(_xlfn.XLOOKUP(A50,#REF!,#REF!),"")</f>
        <v/>
      </c>
      <c r="G50" s="24" t="str" cm="1">
        <f t="array" ref="G50">IFERROR(_xlfn.XLOOKUP(A50,#REF!,IF(C39="Summer",#REF!,#REF!)),"")</f>
        <v/>
      </c>
      <c r="H50" s="20" t="str">
        <f>IFERROR(Table44[[#This Row],[Impact on SAC (km2)]]/$H$3,"")</f>
        <v/>
      </c>
      <c r="I50" s="20" t="str">
        <f>IFERROR(Table44[[#This Row],[Impact on SAC (%)]]*(MIN(Table44[[#This Row],[Proposed End Date]],$F$3)-MAX(Table44[[#This Row],[Proposed Start Date]],$F$2)+1)/$H$2,"")</f>
        <v/>
      </c>
      <c r="J50" s="20" t="str">
        <f>IFERROR(Table44[[#This Row],[Impact on SAC (%)]]*Table44[[#This Row],[Proposed days]]/$H$2,"")</f>
        <v/>
      </c>
    </row>
    <row r="51" spans="2:10" x14ac:dyDescent="0.35">
      <c r="B51" t="str">
        <f>IFERROR(_xlfn.XLOOKUP(A51,#REF!,#REF!),"")</f>
        <v/>
      </c>
      <c r="C51" t="str">
        <f>IFERROR(_xlfn.XLOOKUP(A51,#REF!,#REF!),"")</f>
        <v/>
      </c>
      <c r="D51" s="23" t="str">
        <f>IFERROR(_xlfn.XLOOKUP(A51,#REF!,#REF!),"")</f>
        <v/>
      </c>
      <c r="E51" s="23" t="str">
        <f>IFERROR(_xlfn.XLOOKUP(A51,#REF!,#REF!),"")</f>
        <v/>
      </c>
      <c r="F51" t="str">
        <f>IFERROR(_xlfn.XLOOKUP(A51,#REF!,#REF!),"")</f>
        <v/>
      </c>
      <c r="G51" s="24" t="str" cm="1">
        <f t="array" ref="G51">IFERROR(_xlfn.XLOOKUP(A51,#REF!,IF(C40="Summer",#REF!,#REF!)),"")</f>
        <v/>
      </c>
      <c r="H51" s="20" t="str">
        <f>IFERROR(Table44[[#This Row],[Impact on SAC (km2)]]/$H$3,"")</f>
        <v/>
      </c>
      <c r="I51" s="20" t="str">
        <f>IFERROR(Table44[[#This Row],[Impact on SAC (%)]]*(MIN(Table44[[#This Row],[Proposed End Date]],$F$3)-MAX(Table44[[#This Row],[Proposed Start Date]],$F$2)+1)/$H$2,"")</f>
        <v/>
      </c>
      <c r="J51" s="20" t="str">
        <f>IFERROR(Table44[[#This Row],[Impact on SAC (%)]]*Table44[[#This Row],[Proposed days]]/$H$2,"")</f>
        <v/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66e470e0fdb9b13cad85dc0db82d5c8f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57999ab5a2d86e357eabf74a0133ae22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PFE5XNEKQQZ4-853025249-73093</_dlc_DocId>
    <_dlc_DocIdUrl xmlns="d9dd733d-5918-4031-8251-d30265015c80">
      <Url>https://beisgov.sharepoint.com/sites/OPREDPG-EXT-OS-SACNoiseManagementRegulatorsWorkingGroup/_layouts/15/DocIdRedir.aspx?ID=PFE5XNEKQQZ4-853025249-73093</Url>
      <Description>PFE5XNEKQQZ4-853025249-73093</Description>
    </_dlc_DocIdUrl>
  </documentManagement>
</p:properties>
</file>

<file path=customXml/itemProps1.xml><?xml version="1.0" encoding="utf-8"?>
<ds:datastoreItem xmlns:ds="http://schemas.openxmlformats.org/officeDocument/2006/customXml" ds:itemID="{56BB231A-3033-48FE-B4F1-1B89AF2D64F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16342B4-BAA7-4F8D-8B40-D99F2C22FE0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384976E-4EEB-4A5A-B745-144C688565CE}">
  <ds:schemaRefs>
    <ds:schemaRef ds:uri="http://schemas.microsoft.com/office/2006/metadata/properties"/>
    <ds:schemaRef ds:uri="http://schemas.microsoft.com/office/infopath/2007/PartnerControls"/>
    <ds:schemaRef ds:uri="d9dd733d-5918-4031-8251-d30265015c80"/>
    <ds:schemaRef ds:uri="9ff49155-5265-46e4-810b-5c4cca24d74b"/>
    <ds:schemaRef ds:uri="0f9fa326-da26-4ea8-b6a9-645e8136fe1d"/>
    <ds:schemaRef ds:uri="aaacb922-5235-4a66-b188-303b9b46fbd7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contentBits="3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Noisy Activities</vt:lpstr>
      <vt:lpstr>Assessment summary (New)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Herea, Iolanda (Energy Security)</cp:lastModifiedBy>
  <cp:revision/>
  <dcterms:created xsi:type="dcterms:W3CDTF">2023-04-25T10:03:35Z</dcterms:created>
  <dcterms:modified xsi:type="dcterms:W3CDTF">2025-12-08T13:49:54Z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3b2315d7-0160-460e-9501-8dc13d5895e7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