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filterPrivacy="1"/>
  <xr:revisionPtr revIDLastSave="249" documentId="8_{E0BA7EB6-EA73-47E8-B3D4-905848375742}" xr6:coauthVersionLast="47" xr6:coauthVersionMax="47" xr10:uidLastSave="{31558F24-993A-4D80-98F2-8644B87886A6}"/>
  <bookViews>
    <workbookView xWindow="-110" yWindow="-110" windowWidth="19420" windowHeight="12300" activeTab="3"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C1008" i="15" l="1"/>
  <c r="AG403" i="15"/>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BX268"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AL302" i="15" l="1"/>
  <c r="L276" i="15"/>
  <c r="AB682" i="15"/>
  <c r="AY268" i="15"/>
  <c r="AE638" i="15"/>
  <c r="AE298" i="15"/>
  <c r="AE299" i="15" s="1"/>
  <c r="AF405" i="15"/>
  <c r="AF406" i="15" s="1"/>
  <c r="AF780" i="15" s="1"/>
  <c r="X770" i="15"/>
  <c r="Z289" i="15"/>
  <c r="Z585" i="15" s="1"/>
  <c r="AK301" i="15"/>
  <c r="AK597" i="15" s="1"/>
  <c r="X815" i="15"/>
  <c r="BM268" i="15"/>
  <c r="T719" i="15"/>
  <c r="T674" i="15"/>
  <c r="Y291" i="15"/>
  <c r="Y632" i="15" s="1"/>
  <c r="AF454" i="15"/>
  <c r="AG454" i="15" s="1"/>
  <c r="AG912" i="15" s="1"/>
  <c r="O279" i="15"/>
  <c r="O620" i="15" s="1"/>
  <c r="X291" i="15"/>
  <c r="X632" i="15" s="1"/>
  <c r="AD297" i="15"/>
  <c r="AD298" i="15" s="1"/>
  <c r="AD299" i="15" s="1"/>
  <c r="AD640" i="15" s="1"/>
  <c r="AF457" i="15"/>
  <c r="AF458" i="15" s="1"/>
  <c r="AF871" i="15" s="1"/>
  <c r="AF823" i="15"/>
  <c r="AD456" i="15"/>
  <c r="AD457" i="15" s="1"/>
  <c r="AD458" i="15" s="1"/>
  <c r="AE456" i="15"/>
  <c r="AE457" i="15" s="1"/>
  <c r="AE458" i="15" s="1"/>
  <c r="Y769" i="15"/>
  <c r="N280" i="15"/>
  <c r="N621" i="15" s="1"/>
  <c r="AD637" i="15"/>
  <c r="AF455" i="15"/>
  <c r="AG455" i="15" s="1"/>
  <c r="AG913" i="15" s="1"/>
  <c r="AN786" i="15"/>
  <c r="U285" i="15"/>
  <c r="U626" i="15" s="1"/>
  <c r="N278" i="15"/>
  <c r="O278" i="15" s="1"/>
  <c r="AI301" i="15"/>
  <c r="AI302" i="15" s="1"/>
  <c r="AI598" i="15" s="1"/>
  <c r="AZ268" i="15"/>
  <c r="AL304" i="15"/>
  <c r="AL600" i="15" s="1"/>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639" i="15"/>
  <c r="AB455" i="15"/>
  <c r="AD913" i="15"/>
  <c r="AD868" i="15"/>
  <c r="U675" i="15"/>
  <c r="U720" i="15"/>
  <c r="H707" i="15"/>
  <c r="H662" i="15"/>
  <c r="Q439" i="15"/>
  <c r="G796" i="15"/>
  <c r="G751" i="15"/>
  <c r="AK463" i="15"/>
  <c r="AF687" i="15"/>
  <c r="AF732"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Q624" i="15"/>
  <c r="Q284"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E594" i="15" l="1"/>
  <c r="AF407" i="15"/>
  <c r="AF825" i="15"/>
  <c r="V582" i="15"/>
  <c r="Z630" i="15"/>
  <c r="AF870" i="15"/>
  <c r="AL645" i="15"/>
  <c r="U812" i="15"/>
  <c r="AF915" i="15"/>
  <c r="AG869" i="15"/>
  <c r="AF459" i="15"/>
  <c r="AF917" i="15" s="1"/>
  <c r="AG914" i="15"/>
  <c r="AA289" i="15"/>
  <c r="AA630" i="15" s="1"/>
  <c r="AF916" i="15"/>
  <c r="AL305" i="15"/>
  <c r="AL306" i="15" s="1"/>
  <c r="K619" i="15"/>
  <c r="AL301" i="15"/>
  <c r="AE294" i="15"/>
  <c r="U767" i="15"/>
  <c r="AH454" i="15"/>
  <c r="AH867" i="15" s="1"/>
  <c r="S761" i="15"/>
  <c r="T387" i="15"/>
  <c r="T761" i="15" s="1"/>
  <c r="P808" i="15"/>
  <c r="P809" i="15"/>
  <c r="R806" i="15"/>
  <c r="AE914" i="15"/>
  <c r="P764" i="15"/>
  <c r="R761" i="15"/>
  <c r="AE870" i="15"/>
  <c r="P763" i="15"/>
  <c r="AE869" i="15"/>
  <c r="AK642" i="15"/>
  <c r="AD869" i="15"/>
  <c r="AD914" i="15"/>
  <c r="H571" i="15"/>
  <c r="AD915" i="15"/>
  <c r="Y292" i="15"/>
  <c r="Y588" i="15" s="1"/>
  <c r="AD870" i="15"/>
  <c r="K574" i="15"/>
  <c r="V627" i="15"/>
  <c r="Y587" i="15"/>
  <c r="AD639" i="15"/>
  <c r="AD300" i="15"/>
  <c r="AD641" i="15" s="1"/>
  <c r="AI642" i="15"/>
  <c r="AI597" i="15"/>
  <c r="AD595" i="15"/>
  <c r="U581" i="15"/>
  <c r="AF912" i="15"/>
  <c r="V285" i="15"/>
  <c r="W285" i="15" s="1"/>
  <c r="N281" i="15"/>
  <c r="N282" i="15" s="1"/>
  <c r="P279" i="15"/>
  <c r="Q279" i="15" s="1"/>
  <c r="AF867" i="15"/>
  <c r="O575" i="15"/>
  <c r="L332" i="15"/>
  <c r="L667" i="15" s="1"/>
  <c r="L619" i="15"/>
  <c r="M572" i="15"/>
  <c r="P765" i="15"/>
  <c r="AE915" i="15"/>
  <c r="L226" i="15"/>
  <c r="L227" i="15" s="1"/>
  <c r="L228"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298" i="15" s="1"/>
  <c r="BC322" i="15"/>
  <c r="W291" i="15"/>
  <c r="W632" i="15" s="1"/>
  <c r="BE322" i="15"/>
  <c r="AF346" i="15"/>
  <c r="AF681" i="15" s="1"/>
  <c r="T625" i="15"/>
  <c r="W586" i="15"/>
  <c r="BP322" i="15"/>
  <c r="BI322" i="15"/>
  <c r="BK322" i="15"/>
  <c r="BM322" i="15"/>
  <c r="S582" i="15"/>
  <c r="AK300" i="15"/>
  <c r="AK596"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O71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AC546" i="15"/>
  <c r="AC501" i="15"/>
  <c r="N482" i="15"/>
  <c r="N527"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AI454" i="15" l="1"/>
  <c r="AH912" i="15"/>
  <c r="T806" i="15"/>
  <c r="U387" i="15"/>
  <c r="U806" i="15" s="1"/>
  <c r="AF872" i="15"/>
  <c r="AL601" i="15"/>
  <c r="P575" i="15"/>
  <c r="AF460" i="15"/>
  <c r="AF918" i="15" s="1"/>
  <c r="L529" i="15"/>
  <c r="P620" i="15"/>
  <c r="AL646" i="15"/>
  <c r="Y633" i="15"/>
  <c r="P285" i="15"/>
  <c r="P626" i="15" s="1"/>
  <c r="AH868" i="15"/>
  <c r="P625" i="15"/>
  <c r="AH913" i="15"/>
  <c r="AB289" i="15"/>
  <c r="AB630" i="15" s="1"/>
  <c r="AA585" i="15"/>
  <c r="M622" i="15"/>
  <c r="Y293" i="15"/>
  <c r="Y634" i="15" s="1"/>
  <c r="V581" i="15"/>
  <c r="J667" i="15"/>
  <c r="V626" i="15"/>
  <c r="N577" i="15"/>
  <c r="N622" i="15"/>
  <c r="AC638" i="15"/>
  <c r="L333" i="15"/>
  <c r="L668" i="15" s="1"/>
  <c r="L712" i="15"/>
  <c r="F277" i="15"/>
  <c r="F278" i="15" s="1"/>
  <c r="AL300" i="15"/>
  <c r="AM300" i="15" s="1"/>
  <c r="W766" i="15"/>
  <c r="AD301" i="15"/>
  <c r="AD597" i="15" s="1"/>
  <c r="F572" i="15"/>
  <c r="AK641" i="15"/>
  <c r="AD596" i="15"/>
  <c r="L484" i="15"/>
  <c r="L528" i="15"/>
  <c r="L483" i="15"/>
  <c r="O276" i="15"/>
  <c r="O572" i="15" s="1"/>
  <c r="X580" i="15"/>
  <c r="X293" i="15"/>
  <c r="X634" i="15" s="1"/>
  <c r="AG346" i="15"/>
  <c r="AG681" i="15" s="1"/>
  <c r="AC593" i="15"/>
  <c r="AF726" i="15"/>
  <c r="P331" i="15"/>
  <c r="Q331" i="15" s="1"/>
  <c r="O666" i="15"/>
  <c r="AI644" i="15"/>
  <c r="AI599" i="15"/>
  <c r="W811" i="15"/>
  <c r="Y284" i="15"/>
  <c r="Z284"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596"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761" i="15"/>
  <c r="V387" i="15"/>
  <c r="D614" i="15"/>
  <c r="D569" i="15"/>
  <c r="D274" i="15"/>
  <c r="X683" i="15"/>
  <c r="X728" i="15"/>
  <c r="X349" i="15"/>
  <c r="BE220" i="15"/>
  <c r="AD824" i="15"/>
  <c r="AD779" i="15"/>
  <c r="AD406" i="15"/>
  <c r="AL602" i="15"/>
  <c r="AL647" i="15"/>
  <c r="P803" i="15"/>
  <c r="P758" i="15"/>
  <c r="Q384"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K915" i="15"/>
  <c r="AK870" i="15"/>
  <c r="AL457" i="15"/>
  <c r="H482" i="15"/>
  <c r="H527" i="15"/>
  <c r="H226" i="15"/>
  <c r="AE541" i="15"/>
  <c r="AE496" i="15"/>
  <c r="AF239" i="15"/>
  <c r="AC548" i="15"/>
  <c r="AC503" i="15"/>
  <c r="AC247" i="15"/>
  <c r="O532" i="15"/>
  <c r="O487" i="15"/>
  <c r="O231" i="15"/>
  <c r="AD302" i="15" l="1"/>
  <c r="AD642" i="15"/>
  <c r="AF461" i="15"/>
  <c r="Y294" i="15"/>
  <c r="Y589" i="15"/>
  <c r="AI637" i="15"/>
  <c r="AF873" i="15"/>
  <c r="U397" i="15"/>
  <c r="U816" i="15" s="1"/>
  <c r="P286" i="15"/>
  <c r="P287" i="15" s="1"/>
  <c r="P581" i="15"/>
  <c r="O617" i="15"/>
  <c r="F573" i="15"/>
  <c r="AC289" i="15"/>
  <c r="AC630" i="15" s="1"/>
  <c r="X589" i="15"/>
  <c r="F618" i="15"/>
  <c r="W293" i="15"/>
  <c r="W634" i="15" s="1"/>
  <c r="AB585" i="15"/>
  <c r="W588" i="15"/>
  <c r="X294" i="15"/>
  <c r="X635" i="15" s="1"/>
  <c r="AL641" i="15"/>
  <c r="AH346" i="15"/>
  <c r="AH726" i="15" s="1"/>
  <c r="L334" i="15"/>
  <c r="L714" i="15" s="1"/>
  <c r="L713" i="15"/>
  <c r="U770" i="15"/>
  <c r="Y580" i="15"/>
  <c r="Y625" i="15"/>
  <c r="P276" i="15"/>
  <c r="P617" i="15" s="1"/>
  <c r="P666" i="15"/>
  <c r="P711" i="15"/>
  <c r="J668" i="15"/>
  <c r="J713" i="15"/>
  <c r="AG726" i="15"/>
  <c r="L577" i="15"/>
  <c r="M283" i="15"/>
  <c r="M579"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585"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L669" i="15" l="1"/>
  <c r="P582" i="15"/>
  <c r="P627" i="15"/>
  <c r="AH681" i="15"/>
  <c r="U398" i="15"/>
  <c r="L335" i="15"/>
  <c r="AD289" i="15"/>
  <c r="AF633" i="15"/>
  <c r="Q276" i="15"/>
  <c r="Q617" i="15" s="1"/>
  <c r="P572" i="15"/>
  <c r="W294" i="15"/>
  <c r="W635" i="15" s="1"/>
  <c r="W589" i="15"/>
  <c r="X295" i="15"/>
  <c r="X591" i="15" s="1"/>
  <c r="X590" i="15"/>
  <c r="AI346" i="15"/>
  <c r="AI681" i="15" s="1"/>
  <c r="AG292" i="15"/>
  <c r="AG633" i="15" s="1"/>
  <c r="V281" i="15"/>
  <c r="V622" i="15" s="1"/>
  <c r="U577" i="15"/>
  <c r="M284" i="15"/>
  <c r="M285" i="15" s="1"/>
  <c r="M624" i="15"/>
  <c r="H619" i="15"/>
  <c r="AK296" i="15"/>
  <c r="AL296" i="15" s="1"/>
  <c r="H279" i="15"/>
  <c r="H575" i="15" s="1"/>
  <c r="AJ637" i="15"/>
  <c r="AA593" i="15"/>
  <c r="AA298" i="15"/>
  <c r="AA639" i="15" s="1"/>
  <c r="R277" i="15"/>
  <c r="R573" i="15" s="1"/>
  <c r="Q573" i="15"/>
  <c r="T398" i="15"/>
  <c r="T772" i="15" s="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726" i="15"/>
  <c r="J715" i="15"/>
  <c r="J670" i="15"/>
  <c r="J336" i="15"/>
  <c r="AN549" i="15"/>
  <c r="AN504" i="15"/>
  <c r="AO247" i="15"/>
  <c r="T540" i="15"/>
  <c r="T495" i="15"/>
  <c r="T239" i="15"/>
  <c r="AD826" i="15"/>
  <c r="AD781" i="15"/>
  <c r="AD408" i="15"/>
  <c r="AB813" i="15"/>
  <c r="AB768" i="15"/>
  <c r="AC394" i="15"/>
  <c r="AF680" i="15"/>
  <c r="AF725" i="15"/>
  <c r="AG345" i="15"/>
  <c r="X296" i="15"/>
  <c r="P709" i="15"/>
  <c r="P664" i="15"/>
  <c r="Q329" i="15"/>
  <c r="AF815" i="15"/>
  <c r="AF770" i="15"/>
  <c r="AG396" i="15"/>
  <c r="R536" i="15"/>
  <c r="R491" i="15"/>
  <c r="R235" i="15"/>
  <c r="X808" i="15"/>
  <c r="X763" i="15"/>
  <c r="Y389" i="15"/>
  <c r="Y535" i="15"/>
  <c r="Y490" i="15"/>
  <c r="Z233" i="15"/>
  <c r="AL594" i="15"/>
  <c r="AL639" i="15"/>
  <c r="AM298" i="15"/>
  <c r="P769" i="15"/>
  <c r="P814" i="15"/>
  <c r="P396"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L532" i="15"/>
  <c r="L487" i="15"/>
  <c r="L231" i="15"/>
  <c r="Z684" i="15"/>
  <c r="Z729" i="15"/>
  <c r="Z350" i="15"/>
  <c r="AA628" i="15"/>
  <c r="AA583" i="15"/>
  <c r="AB287" i="15"/>
  <c r="E478" i="15"/>
  <c r="E523" i="15"/>
  <c r="E222" i="15"/>
  <c r="S631" i="15"/>
  <c r="S586" i="15"/>
  <c r="S291" i="15"/>
  <c r="AE540" i="15"/>
  <c r="AE495" i="15"/>
  <c r="AF238" i="15"/>
  <c r="AM915" i="15"/>
  <c r="AM870" i="15"/>
  <c r="AN457"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R276" i="15" l="1"/>
  <c r="Q572" i="15"/>
  <c r="X636" i="15"/>
  <c r="AJ346" i="15"/>
  <c r="W590" i="15"/>
  <c r="AH292" i="15"/>
  <c r="AG588" i="15"/>
  <c r="W281" i="15"/>
  <c r="W577" i="15" s="1"/>
  <c r="V577" i="15"/>
  <c r="M625" i="15"/>
  <c r="M580" i="15"/>
  <c r="R618" i="15"/>
  <c r="AK637" i="15"/>
  <c r="H620" i="15"/>
  <c r="S277" i="15"/>
  <c r="T277" i="15" s="1"/>
  <c r="AK592" i="15"/>
  <c r="H280" i="15"/>
  <c r="H576" i="15" s="1"/>
  <c r="AA594" i="15"/>
  <c r="AA299" i="15"/>
  <c r="AA595" i="15" s="1"/>
  <c r="T817" i="15"/>
  <c r="T399" i="15"/>
  <c r="T818" i="15" s="1"/>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A300" i="15" l="1"/>
  <c r="H621" i="15"/>
  <c r="AA640" i="15"/>
  <c r="S573" i="15"/>
  <c r="S618" i="15"/>
  <c r="H281" i="15"/>
  <c r="H622" i="15" s="1"/>
  <c r="T400" i="15"/>
  <c r="T819" i="15" s="1"/>
  <c r="T773" i="15"/>
  <c r="U633" i="15"/>
  <c r="U293" i="15"/>
  <c r="U634" i="15" s="1"/>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401" i="15" l="1"/>
  <c r="T774" i="15"/>
  <c r="AE234" i="15"/>
  <c r="U294" i="15"/>
  <c r="U589" i="15"/>
  <c r="AD491" i="15"/>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O991" i="15"/>
  <c r="D786" i="15"/>
  <c r="C788" i="15" s="1"/>
  <c r="D831" i="15"/>
  <c r="C833" i="15" s="1"/>
  <c r="E555" i="15"/>
  <c r="E510" i="15"/>
  <c r="AO473" i="15"/>
  <c r="AO518" i="15"/>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L963" i="15" l="1"/>
  <c r="AL965" i="15"/>
  <c r="BQ962" i="15"/>
  <c r="AY991" i="15"/>
  <c r="CJ991" i="15"/>
  <c r="P991" i="15"/>
  <c r="CD991" i="15"/>
  <c r="AK991" i="15"/>
  <c r="AQ991" i="15"/>
  <c r="AQ993" i="15" s="1"/>
  <c r="AQ1020" i="15" s="1"/>
  <c r="AQ1034" i="15" s="1"/>
  <c r="AQ1070" i="15" s="1"/>
  <c r="CP991" i="15"/>
  <c r="CP993" i="15" s="1"/>
  <c r="CP1034" i="15" s="1"/>
  <c r="CP1070" i="15" s="1"/>
  <c r="W991" i="15"/>
  <c r="W993" i="15" s="1"/>
  <c r="W1020" i="15" s="1"/>
  <c r="W1034" i="15" s="1"/>
  <c r="W1070" i="15" s="1"/>
  <c r="C557" i="15"/>
  <c r="AX956" i="15" s="1"/>
  <c r="S991" i="15"/>
  <c r="S993" i="15" s="1"/>
  <c r="S1020" i="15" s="1"/>
  <c r="S1034" i="15" s="1"/>
  <c r="S1070" i="15" s="1"/>
  <c r="AN962" i="15"/>
  <c r="BT991" i="15"/>
  <c r="BT993" i="15" s="1"/>
  <c r="BT1020" i="15" s="1"/>
  <c r="BT1034" i="15" s="1"/>
  <c r="BT1070" i="15" s="1"/>
  <c r="AG991" i="15"/>
  <c r="AG993" i="15" s="1"/>
  <c r="AG1020" i="15" s="1"/>
  <c r="AG1034" i="15" s="1"/>
  <c r="AG1070" i="15" s="1"/>
  <c r="BE991" i="15"/>
  <c r="BE993" i="15" s="1"/>
  <c r="BE1020" i="15" s="1"/>
  <c r="BE1034" i="15" s="1"/>
  <c r="BE1070" i="15" s="1"/>
  <c r="BF991" i="15"/>
  <c r="BF993" i="15" s="1"/>
  <c r="BF1020" i="15" s="1"/>
  <c r="BF1034" i="15" s="1"/>
  <c r="BF1070" i="15" s="1"/>
  <c r="X991" i="15"/>
  <c r="CG965" i="15"/>
  <c r="BI991" i="15"/>
  <c r="BI993" i="15" s="1"/>
  <c r="BI1020" i="15" s="1"/>
  <c r="BI1034" i="15" s="1"/>
  <c r="BI1070" i="15" s="1"/>
  <c r="CJ973" i="15"/>
  <c r="CJ975" i="15" s="1"/>
  <c r="CJ1032" i="15" s="1"/>
  <c r="CJ1068" i="15" s="1"/>
  <c r="K991" i="15"/>
  <c r="K993" i="15" s="1"/>
  <c r="CL991" i="15"/>
  <c r="CL993" i="15" s="1"/>
  <c r="CL1034" i="15" s="1"/>
  <c r="CL1070" i="15" s="1"/>
  <c r="CH991" i="15"/>
  <c r="CH993" i="15" s="1"/>
  <c r="CH1034" i="15" s="1"/>
  <c r="CH1070" i="15" s="1"/>
  <c r="CG963" i="15"/>
  <c r="J965" i="15"/>
  <c r="AA965" i="15"/>
  <c r="AR963" i="15"/>
  <c r="AF993" i="15"/>
  <c r="AF1020" i="15" s="1"/>
  <c r="AF1034" i="15" s="1"/>
  <c r="AF1070" i="15" s="1"/>
  <c r="BQ963" i="15"/>
  <c r="BW991" i="15"/>
  <c r="BW993" i="15" s="1"/>
  <c r="BW1020" i="15" s="1"/>
  <c r="BW1034" i="15" s="1"/>
  <c r="BW1070" i="15" s="1"/>
  <c r="N991" i="15"/>
  <c r="N993" i="15" s="1"/>
  <c r="R963" i="15"/>
  <c r="AF963" i="15"/>
  <c r="BU991" i="15"/>
  <c r="BU993" i="15" s="1"/>
  <c r="BU1020" i="15" s="1"/>
  <c r="BU1034" i="15" s="1"/>
  <c r="BU1070" i="15" s="1"/>
  <c r="BO963" i="15"/>
  <c r="AH965" i="15"/>
  <c r="H965" i="15"/>
  <c r="K965" i="15"/>
  <c r="AE963" i="15"/>
  <c r="I965" i="15"/>
  <c r="AG963" i="15"/>
  <c r="AZ963" i="15"/>
  <c r="AB973" i="15"/>
  <c r="AB975" i="15" s="1"/>
  <c r="AB1018" i="15" s="1"/>
  <c r="AB1032" i="15" s="1"/>
  <c r="AB1068" i="15" s="1"/>
  <c r="AM965" i="15"/>
  <c r="AP963" i="15"/>
  <c r="AZ965" i="15"/>
  <c r="G963" i="15"/>
  <c r="AG965" i="15"/>
  <c r="X965" i="15"/>
  <c r="CN965" i="15"/>
  <c r="BK965" i="15"/>
  <c r="U963" i="15"/>
  <c r="CF963" i="15"/>
  <c r="S965" i="15"/>
  <c r="Z965" i="15"/>
  <c r="AV965" i="15"/>
  <c r="L962" i="15"/>
  <c r="X973" i="15"/>
  <c r="X975" i="15" s="1"/>
  <c r="X1018" i="15" s="1"/>
  <c r="X1032" i="15" s="1"/>
  <c r="X1068" i="15" s="1"/>
  <c r="CN973" i="15"/>
  <c r="CN975" i="15" s="1"/>
  <c r="CN1032" i="15" s="1"/>
  <c r="CN1068" i="15" s="1"/>
  <c r="CK991" i="15"/>
  <c r="CK993" i="15" s="1"/>
  <c r="CK1034" i="15" s="1"/>
  <c r="CK1070" i="15" s="1"/>
  <c r="BV991" i="15"/>
  <c r="BV993" i="15" s="1"/>
  <c r="BV1020" i="15" s="1"/>
  <c r="BV1034" i="15" s="1"/>
  <c r="BV1070" i="15" s="1"/>
  <c r="F962" i="15"/>
  <c r="CF973" i="15"/>
  <c r="CF975" i="15" s="1"/>
  <c r="CF1032" i="15" s="1"/>
  <c r="CF1068" i="15" s="1"/>
  <c r="BS991" i="15"/>
  <c r="BS993" i="15" s="1"/>
  <c r="BS1020" i="15" s="1"/>
  <c r="BS1034" i="15" s="1"/>
  <c r="BS1070" i="15" s="1"/>
  <c r="L991" i="15"/>
  <c r="L993" i="15" s="1"/>
  <c r="M991" i="15"/>
  <c r="M993" i="15" s="1"/>
  <c r="T973" i="15"/>
  <c r="T975" i="15" s="1"/>
  <c r="T1018" i="15" s="1"/>
  <c r="T1032" i="15" s="1"/>
  <c r="T1068" i="15" s="1"/>
  <c r="S973" i="15"/>
  <c r="S975" i="15" s="1"/>
  <c r="S1018" i="15" s="1"/>
  <c r="S1032" i="15" s="1"/>
  <c r="S1068" i="15" s="1"/>
  <c r="AS962" i="15"/>
  <c r="U973" i="15"/>
  <c r="U975" i="15" s="1"/>
  <c r="U1018" i="15" s="1"/>
  <c r="U1032" i="15" s="1"/>
  <c r="U1068" i="15" s="1"/>
  <c r="BA973" i="15"/>
  <c r="BA975" i="15" s="1"/>
  <c r="BA1018" i="15" s="1"/>
  <c r="BA1032" i="15" s="1"/>
  <c r="BA1068" i="15" s="1"/>
  <c r="CN962" i="15"/>
  <c r="BX973" i="15"/>
  <c r="BX975" i="15" s="1"/>
  <c r="BX1018" i="15" s="1"/>
  <c r="BX1032" i="15" s="1"/>
  <c r="BX1068" i="15" s="1"/>
  <c r="AE973" i="15"/>
  <c r="AE975" i="15" s="1"/>
  <c r="AE1018" i="15" s="1"/>
  <c r="AE1032" i="15" s="1"/>
  <c r="AE1068" i="15" s="1"/>
  <c r="AX962" i="15"/>
  <c r="BP973" i="15"/>
  <c r="BP975" i="15" s="1"/>
  <c r="BP1018" i="15" s="1"/>
  <c r="BP1032" i="15" s="1"/>
  <c r="BP1068" i="15" s="1"/>
  <c r="AS973" i="15"/>
  <c r="AS975" i="15" s="1"/>
  <c r="AS1018" i="15" s="1"/>
  <c r="AS1032" i="15" s="1"/>
  <c r="AS1068" i="15" s="1"/>
  <c r="BL991" i="15"/>
  <c r="BL993" i="15" s="1"/>
  <c r="BL1020" i="15" s="1"/>
  <c r="BL1034" i="15" s="1"/>
  <c r="BL1070" i="15" s="1"/>
  <c r="AH991" i="15"/>
  <c r="AH993" i="15" s="1"/>
  <c r="AH1020" i="15" s="1"/>
  <c r="AH1034" i="15" s="1"/>
  <c r="AH1070" i="15" s="1"/>
  <c r="BC991" i="15"/>
  <c r="CF962" i="15"/>
  <c r="D973" i="15"/>
  <c r="D975" i="15" s="1"/>
  <c r="CG991" i="15"/>
  <c r="CG993" i="15" s="1"/>
  <c r="CG1034" i="15" s="1"/>
  <c r="CG1070" i="15" s="1"/>
  <c r="CN991" i="15"/>
  <c r="CN993" i="15" s="1"/>
  <c r="CN1034" i="15" s="1"/>
  <c r="CN1070" i="15" s="1"/>
  <c r="BZ991" i="15"/>
  <c r="BZ993" i="15" s="1"/>
  <c r="BZ1020" i="15" s="1"/>
  <c r="BZ1034" i="15" s="1"/>
  <c r="BZ1070" i="15" s="1"/>
  <c r="AY962" i="15"/>
  <c r="BU973" i="15"/>
  <c r="BU975" i="15" s="1"/>
  <c r="BU1018" i="15" s="1"/>
  <c r="BU1032" i="15" s="1"/>
  <c r="BU1068" i="15" s="1"/>
  <c r="AJ965" i="15"/>
  <c r="F965" i="15"/>
  <c r="BC965" i="15"/>
  <c r="BW965" i="15"/>
  <c r="AD965" i="15"/>
  <c r="CA963" i="15"/>
  <c r="O963" i="15"/>
  <c r="BN965" i="15"/>
  <c r="E965" i="15"/>
  <c r="BN973" i="15"/>
  <c r="BN975" i="15" s="1"/>
  <c r="BN1018" i="15" s="1"/>
  <c r="BN1032" i="15" s="1"/>
  <c r="BN1068" i="15" s="1"/>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BC993" i="15"/>
  <c r="BC1020" i="15" s="1"/>
  <c r="BC1034" i="15" s="1"/>
  <c r="BC1070" i="15" s="1"/>
  <c r="M965" i="15"/>
  <c r="AQ965" i="15"/>
  <c r="AK963" i="15"/>
  <c r="BE965" i="15"/>
  <c r="CE963" i="15"/>
  <c r="BL965" i="15"/>
  <c r="L965" i="15"/>
  <c r="BB965" i="15"/>
  <c r="R965" i="15"/>
  <c r="BH965" i="15"/>
  <c r="N963" i="15"/>
  <c r="BA963" i="15"/>
  <c r="CD963" i="15"/>
  <c r="AC965" i="15"/>
  <c r="AV963" i="15"/>
  <c r="BF962" i="15"/>
  <c r="I973" i="15"/>
  <c r="I975" i="15" s="1"/>
  <c r="AS965" i="15"/>
  <c r="BQ965" i="15"/>
  <c r="BR965" i="15"/>
  <c r="CP973" i="15"/>
  <c r="CP975" i="15" s="1"/>
  <c r="CP1032" i="15" s="1"/>
  <c r="CP1068" i="15" s="1"/>
  <c r="H973" i="15"/>
  <c r="H975" i="15" s="1"/>
  <c r="AH973" i="15"/>
  <c r="AH975" i="15" s="1"/>
  <c r="AH1018" i="15" s="1"/>
  <c r="AH1032" i="15" s="1"/>
  <c r="AH1068" i="15" s="1"/>
  <c r="Q973" i="15"/>
  <c r="Q975" i="15" s="1"/>
  <c r="Q1032" i="15" s="1"/>
  <c r="Q1068" i="15" s="1"/>
  <c r="BM963" i="15"/>
  <c r="Z963" i="15"/>
  <c r="BL963" i="15"/>
  <c r="P963" i="15"/>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BK991" i="15"/>
  <c r="BK993" i="15" s="1"/>
  <c r="BK1020" i="15" s="1"/>
  <c r="BK1034" i="15" s="1"/>
  <c r="BK1070" i="15" s="1"/>
  <c r="AB991" i="15"/>
  <c r="AB993" i="15" s="1"/>
  <c r="AB1020" i="15" s="1"/>
  <c r="AB1034" i="15" s="1"/>
  <c r="AB1070" i="15" s="1"/>
  <c r="AZ991" i="15"/>
  <c r="AZ993" i="15" s="1"/>
  <c r="AZ1020" i="15" s="1"/>
  <c r="AZ1034" i="15" s="1"/>
  <c r="AZ1070" i="15" s="1"/>
  <c r="G991" i="15"/>
  <c r="G993" i="15" s="1"/>
  <c r="AS963" i="15"/>
  <c r="BM965" i="15"/>
  <c r="O965" i="15"/>
  <c r="CE965" i="15"/>
  <c r="BI965" i="15"/>
  <c r="CD965" i="15"/>
  <c r="CF965" i="15"/>
  <c r="BU963" i="15"/>
  <c r="BZ965" i="15"/>
  <c r="V963" i="15"/>
  <c r="BI963" i="15"/>
  <c r="S963" i="15"/>
  <c r="AB963" i="15"/>
  <c r="BV965" i="15"/>
  <c r="BZ963" i="15"/>
  <c r="O962" i="15"/>
  <c r="CB963" i="15"/>
  <c r="BR963" i="15"/>
  <c r="BH963" i="15"/>
  <c r="CH973" i="15"/>
  <c r="CH975" i="15" s="1"/>
  <c r="CH1032" i="15" s="1"/>
  <c r="CH1068" i="15" s="1"/>
  <c r="BS965" i="15"/>
  <c r="V965" i="15"/>
  <c r="H963" i="15"/>
  <c r="CC973" i="15"/>
  <c r="CC975" i="15" s="1"/>
  <c r="CC1032" i="15" s="1"/>
  <c r="CC1068" i="15" s="1"/>
  <c r="CB965" i="15"/>
  <c r="CK963" i="15"/>
  <c r="CP965" i="15"/>
  <c r="R973" i="15"/>
  <c r="R975" i="15" s="1"/>
  <c r="R1032" i="15" s="1"/>
  <c r="R1068" i="15" s="1"/>
  <c r="BB973" i="15"/>
  <c r="BB975" i="15" s="1"/>
  <c r="BB1018" i="15" s="1"/>
  <c r="BB1032" i="15" s="1"/>
  <c r="BB1068" i="15" s="1"/>
  <c r="G973" i="15"/>
  <c r="G975" i="15" s="1"/>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CL965" i="15"/>
  <c r="AA963" i="15"/>
  <c r="G965" i="15"/>
  <c r="AM963" i="15"/>
  <c r="N965" i="15"/>
  <c r="AX963" i="15"/>
  <c r="AD963" i="15"/>
  <c r="Y963" i="15"/>
  <c r="BD963" i="15"/>
  <c r="BX963" i="15"/>
  <c r="K963" i="15"/>
  <c r="CO965" i="15"/>
  <c r="AT965" i="15"/>
  <c r="BC963" i="15"/>
  <c r="CM965" i="15"/>
  <c r="N973" i="15"/>
  <c r="N975" i="15" s="1"/>
  <c r="K973" i="15"/>
  <c r="K975" i="15" s="1"/>
  <c r="Z973" i="15"/>
  <c r="Z975" i="15" s="1"/>
  <c r="Z1018" i="15" s="1"/>
  <c r="Z1032" i="15" s="1"/>
  <c r="Z1068" i="15" s="1"/>
  <c r="AT973" i="15"/>
  <c r="AT975" i="15" s="1"/>
  <c r="AT1018" i="15" s="1"/>
  <c r="AT1032" i="15" s="1"/>
  <c r="AT1068" i="15" s="1"/>
  <c r="BG973" i="15"/>
  <c r="BG975" i="15" s="1"/>
  <c r="BG1018" i="15" s="1"/>
  <c r="BG1032" i="15" s="1"/>
  <c r="BG1068" i="15" s="1"/>
  <c r="AP973" i="15"/>
  <c r="AP975" i="15" s="1"/>
  <c r="AP1018" i="15" s="1"/>
  <c r="AP1032" i="15" s="1"/>
  <c r="AP1068" i="15" s="1"/>
  <c r="BF973" i="15"/>
  <c r="BF975" i="15" s="1"/>
  <c r="BF1018" i="15" s="1"/>
  <c r="BF1032" i="15" s="1"/>
  <c r="BF1068" i="15" s="1"/>
  <c r="AL973" i="15"/>
  <c r="AL975" i="15" s="1"/>
  <c r="AL1018" i="15" s="1"/>
  <c r="AL1032" i="15" s="1"/>
  <c r="AL1068" i="15" s="1"/>
  <c r="BY991" i="15"/>
  <c r="BY993" i="15" s="1"/>
  <c r="BY1020" i="15" s="1"/>
  <c r="BY1034" i="15" s="1"/>
  <c r="BY1070" i="15" s="1"/>
  <c r="D991" i="15"/>
  <c r="D993" i="15" s="1"/>
  <c r="CI991" i="15"/>
  <c r="CI993" i="15" s="1"/>
  <c r="CI1034" i="15" s="1"/>
  <c r="CI1070" i="15" s="1"/>
  <c r="CA991" i="15"/>
  <c r="CA993" i="15" s="1"/>
  <c r="CA1034" i="15" s="1"/>
  <c r="CA1070" i="15" s="1"/>
  <c r="P965" i="15"/>
  <c r="AY963" i="15"/>
  <c r="W965" i="15"/>
  <c r="BK963" i="15"/>
  <c r="AT963" i="15"/>
  <c r="CI963" i="15"/>
  <c r="AX965" i="15"/>
  <c r="AR965" i="15"/>
  <c r="CA965" i="15"/>
  <c r="X963" i="15"/>
  <c r="AH963" i="15"/>
  <c r="Y965" i="15"/>
  <c r="BJ965" i="15"/>
  <c r="BO965" i="15"/>
  <c r="CJ963" i="15"/>
  <c r="CD962" i="15"/>
  <c r="AW963" i="15"/>
  <c r="BN963" i="15"/>
  <c r="AN973" i="15"/>
  <c r="AN975" i="15" s="1"/>
  <c r="AN1018" i="15" s="1"/>
  <c r="AN1032" i="15" s="1"/>
  <c r="AN1068" i="15" s="1"/>
  <c r="AZ973" i="15"/>
  <c r="AZ975" i="15" s="1"/>
  <c r="AZ1018" i="15" s="1"/>
  <c r="AZ1032" i="15" s="1"/>
  <c r="AZ1068" i="15" s="1"/>
  <c r="BL973" i="15"/>
  <c r="BL975" i="15" s="1"/>
  <c r="BL1018" i="15" s="1"/>
  <c r="BL1032" i="15" s="1"/>
  <c r="BL1068" i="15" s="1"/>
  <c r="CN963" i="15"/>
  <c r="BT965" i="15"/>
  <c r="BP963" i="15"/>
  <c r="CB973" i="15"/>
  <c r="CB975" i="15" s="1"/>
  <c r="CB1032" i="15" s="1"/>
  <c r="CB1068" i="15" s="1"/>
  <c r="AG973" i="15"/>
  <c r="AG975" i="15" s="1"/>
  <c r="AG1018" i="15" s="1"/>
  <c r="AG1032" i="15" s="1"/>
  <c r="AG1068" i="15" s="1"/>
  <c r="AW973" i="15"/>
  <c r="AW975" i="15" s="1"/>
  <c r="AW1018" i="15" s="1"/>
  <c r="AW1032" i="15" s="1"/>
  <c r="AW1068" i="15" s="1"/>
  <c r="BM973" i="15"/>
  <c r="BM975" i="15" s="1"/>
  <c r="BM1018" i="15" s="1"/>
  <c r="BM1032" i="15" s="1"/>
  <c r="BM1068" i="15" s="1"/>
  <c r="BK973" i="15"/>
  <c r="BK975" i="15" s="1"/>
  <c r="BK1018" i="15" s="1"/>
  <c r="BK1032" i="15" s="1"/>
  <c r="BK1068" i="15" s="1"/>
  <c r="BC973" i="15"/>
  <c r="BC975" i="15" s="1"/>
  <c r="BC1018" i="15" s="1"/>
  <c r="BC1032" i="15" s="1"/>
  <c r="BC1068" i="15" s="1"/>
  <c r="O973" i="15"/>
  <c r="O975" i="15" s="1"/>
  <c r="BE973" i="15"/>
  <c r="BE975" i="15" s="1"/>
  <c r="BE1018" i="15" s="1"/>
  <c r="BE1032" i="15" s="1"/>
  <c r="BE1068" i="15" s="1"/>
  <c r="AI973" i="15"/>
  <c r="AI975" i="15" s="1"/>
  <c r="AI1018" i="15" s="1"/>
  <c r="AI1032" i="15" s="1"/>
  <c r="AI1068" i="15" s="1"/>
  <c r="BH991" i="15"/>
  <c r="BH993" i="15" s="1"/>
  <c r="BH1020" i="15" s="1"/>
  <c r="BH1034" i="15" s="1"/>
  <c r="BH1070" i="15" s="1"/>
  <c r="H991" i="15"/>
  <c r="H993" i="15" s="1"/>
  <c r="Q991" i="15"/>
  <c r="Q993" i="15" s="1"/>
  <c r="Q1034" i="15" s="1"/>
  <c r="Q1070" i="15" s="1"/>
  <c r="AF965" i="15"/>
  <c r="BW963" i="15"/>
  <c r="BB963" i="15"/>
  <c r="U965" i="15"/>
  <c r="BP965" i="15"/>
  <c r="AU963" i="15"/>
  <c r="BY963" i="15"/>
  <c r="CC965" i="15"/>
  <c r="CL963" i="15"/>
  <c r="W963" i="15"/>
  <c r="AW965" i="15"/>
  <c r="Q963" i="15"/>
  <c r="CH963" i="15"/>
  <c r="BG965" i="15"/>
  <c r="I963" i="15"/>
  <c r="AM962" i="15"/>
  <c r="L973" i="15"/>
  <c r="L975" i="15" s="1"/>
  <c r="AB965" i="15"/>
  <c r="BA965" i="15"/>
  <c r="BF965" i="15"/>
  <c r="CJ965" i="15"/>
  <c r="BX965" i="15"/>
  <c r="L963" i="15"/>
  <c r="AO973" i="15"/>
  <c r="AO975" i="15" s="1"/>
  <c r="AO1018" i="15" s="1"/>
  <c r="AO1032" i="15" s="1"/>
  <c r="AO1068" i="15" s="1"/>
  <c r="CI965" i="15"/>
  <c r="CM963" i="15"/>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AN991" i="15"/>
  <c r="AN993" i="15" s="1"/>
  <c r="AN1020" i="15" s="1"/>
  <c r="AN1034" i="15" s="1"/>
  <c r="AN1070" i="15" s="1"/>
  <c r="J991" i="15"/>
  <c r="J993" i="15" s="1"/>
  <c r="BX991" i="15"/>
  <c r="BX993" i="15" s="1"/>
  <c r="BX1020" i="15" s="1"/>
  <c r="BX1034" i="15" s="1"/>
  <c r="BX1070" i="15" s="1"/>
  <c r="BR991" i="15"/>
  <c r="BR993" i="15" s="1"/>
  <c r="BR1020" i="15" s="1"/>
  <c r="BR1034" i="15" s="1"/>
  <c r="BR1070" i="15" s="1"/>
  <c r="BJ963" i="15"/>
  <c r="AU965" i="15"/>
  <c r="BY965" i="15"/>
  <c r="BG963" i="15"/>
  <c r="CO963" i="15"/>
  <c r="T965" i="15"/>
  <c r="M963" i="15"/>
  <c r="Q965" i="15"/>
  <c r="AJ963" i="15"/>
  <c r="CK965" i="15"/>
  <c r="AO963" i="15"/>
  <c r="AP965" i="15"/>
  <c r="AN965" i="15"/>
  <c r="AN963" i="15"/>
  <c r="BV963" i="15"/>
  <c r="J962" i="15"/>
  <c r="AV973" i="15"/>
  <c r="AV975" i="15" s="1"/>
  <c r="AV1018" i="15" s="1"/>
  <c r="AV1032" i="15" s="1"/>
  <c r="AV1068" i="15" s="1"/>
  <c r="AF973" i="15"/>
  <c r="AF975" i="15" s="1"/>
  <c r="AF1018" i="15" s="1"/>
  <c r="AF1032" i="15" s="1"/>
  <c r="AF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AQ963" i="15"/>
  <c r="BS963" i="15"/>
  <c r="BO973" i="15"/>
  <c r="BO975" i="15" s="1"/>
  <c r="BO1018" i="15" s="1"/>
  <c r="BO1032" i="15" s="1"/>
  <c r="BO1068" i="15" s="1"/>
  <c r="BT973" i="15"/>
  <c r="BT975" i="15" s="1"/>
  <c r="BT1018" i="15" s="1"/>
  <c r="BT1032" i="15" s="1"/>
  <c r="BT1068" i="15" s="1"/>
  <c r="V973" i="15"/>
  <c r="V975" i="15" s="1"/>
  <c r="V1018" i="15" s="1"/>
  <c r="V1032" i="15" s="1"/>
  <c r="V1068" i="15" s="1"/>
  <c r="BE963" i="15"/>
  <c r="D963" i="15"/>
  <c r="CA973" i="15"/>
  <c r="CA975" i="15" s="1"/>
  <c r="CA1032" i="15" s="1"/>
  <c r="CA1068" i="15" s="1"/>
  <c r="BD965" i="15"/>
  <c r="CP963" i="15"/>
  <c r="T963" i="15"/>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BW975" i="15" s="1"/>
  <c r="BW1018" i="15" s="1"/>
  <c r="BW1032" i="15" s="1"/>
  <c r="BW1068" i="15" s="1"/>
  <c r="CK973" i="15"/>
  <c r="CK975" i="15" s="1"/>
  <c r="CK1032" i="15" s="1"/>
  <c r="CK1068" i="15" s="1"/>
  <c r="X993" i="15"/>
  <c r="X1020" i="15" s="1"/>
  <c r="X1034" i="15" s="1"/>
  <c r="X1070" i="15" s="1"/>
  <c r="CH965" i="15"/>
  <c r="J963" i="15"/>
  <c r="D965" i="15"/>
  <c r="BT963" i="15"/>
  <c r="AC963" i="15"/>
  <c r="AO965" i="15"/>
  <c r="BF963" i="15"/>
  <c r="AK965" i="15"/>
  <c r="AI963" i="15"/>
  <c r="CC963" i="15"/>
  <c r="AY965" i="15"/>
  <c r="F963" i="15"/>
  <c r="E963" i="15"/>
  <c r="AE965" i="15"/>
  <c r="AI965" i="15"/>
  <c r="X962" i="15"/>
  <c r="CD993" i="15"/>
  <c r="CD1034" i="15" s="1"/>
  <c r="CD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AK993" i="15"/>
  <c r="AK1020" i="15" s="1"/>
  <c r="AK1034" i="15" s="1"/>
  <c r="AK1070" i="15" s="1"/>
  <c r="C651" i="15"/>
  <c r="P964" i="15" s="1"/>
  <c r="AB962" i="15"/>
  <c r="T962" i="15"/>
  <c r="M962" i="15"/>
  <c r="BR962" i="15"/>
  <c r="BY962" i="15"/>
  <c r="CJ962" i="15"/>
  <c r="V962" i="15"/>
  <c r="BE962" i="15"/>
  <c r="BX962" i="15"/>
  <c r="AI962" i="15"/>
  <c r="AQ962" i="15"/>
  <c r="AK962" i="15"/>
  <c r="BS962" i="15"/>
  <c r="D962" i="15"/>
  <c r="CB962" i="15"/>
  <c r="BM962" i="15"/>
  <c r="AW962" i="15"/>
  <c r="AC962" i="15"/>
  <c r="BV962" i="15"/>
  <c r="S962" i="15"/>
  <c r="CA962" i="15"/>
  <c r="P962" i="15"/>
  <c r="BL962" i="15"/>
  <c r="AF962" i="15"/>
  <c r="CL962" i="15"/>
  <c r="AJ962" i="15"/>
  <c r="E962" i="15"/>
  <c r="BU962" i="15"/>
  <c r="AY993" i="15"/>
  <c r="AY1020" i="15" s="1"/>
  <c r="AY1034" i="15" s="1"/>
  <c r="AY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O993" i="15"/>
  <c r="AV962" i="15"/>
  <c r="BZ962" i="15"/>
  <c r="BD962" i="15"/>
  <c r="N962" i="15"/>
  <c r="Q962" i="15"/>
  <c r="R962" i="15"/>
  <c r="AT962" i="15"/>
  <c r="U962" i="15"/>
  <c r="BG962" i="15"/>
  <c r="BK962" i="15"/>
  <c r="AH962" i="15"/>
  <c r="BW962" i="15"/>
  <c r="H962" i="15"/>
  <c r="CM962" i="15"/>
  <c r="Z962" i="15"/>
  <c r="AA962" i="15"/>
  <c r="C512" i="15"/>
  <c r="BO953" i="15" s="1"/>
  <c r="CJ993" i="15"/>
  <c r="CJ1034" i="15" s="1"/>
  <c r="CJ1070" i="15" s="1"/>
  <c r="CO975" i="15"/>
  <c r="CO1032" i="15" s="1"/>
  <c r="CO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P993" i="15"/>
  <c r="P1034" i="15" s="1"/>
  <c r="P1070"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BS956" i="15" l="1"/>
  <c r="AT956" i="15"/>
  <c r="CJ956" i="15"/>
  <c r="CI954" i="15"/>
  <c r="Q956" i="15"/>
  <c r="BH956" i="15"/>
  <c r="BG954" i="15"/>
  <c r="CD954" i="15"/>
  <c r="AP954" i="15"/>
  <c r="AN954" i="15"/>
  <c r="BF956" i="15"/>
  <c r="AA954" i="15"/>
  <c r="CO954" i="15"/>
  <c r="D956" i="15"/>
  <c r="BM954" i="15"/>
  <c r="BE956" i="15"/>
  <c r="AM956" i="15"/>
  <c r="AL954" i="15"/>
  <c r="AQ956" i="15"/>
  <c r="BQ954" i="15"/>
  <c r="BX956" i="15"/>
  <c r="BC956" i="15"/>
  <c r="BD954" i="15"/>
  <c r="U954" i="15"/>
  <c r="Y954" i="15"/>
  <c r="AH954" i="15"/>
  <c r="CE956" i="15"/>
  <c r="S954" i="15"/>
  <c r="Z956" i="15"/>
  <c r="BY954" i="15"/>
  <c r="BZ954" i="15"/>
  <c r="BN954" i="15"/>
  <c r="AV956" i="15"/>
  <c r="AH956" i="15"/>
  <c r="H956" i="15"/>
  <c r="AV954" i="15"/>
  <c r="BQ956" i="15"/>
  <c r="BK956" i="15"/>
  <c r="AU954" i="15"/>
  <c r="CG954" i="15"/>
  <c r="AC956" i="15"/>
  <c r="M954" i="15"/>
  <c r="G954" i="15"/>
  <c r="D954" i="15"/>
  <c r="BM956" i="15"/>
  <c r="AX954" i="15"/>
  <c r="AP956" i="15"/>
  <c r="T956" i="15"/>
  <c r="CA956" i="15"/>
  <c r="BU954" i="15"/>
  <c r="G956" i="15"/>
  <c r="BD956" i="15"/>
  <c r="AC954" i="15"/>
  <c r="AG954" i="15"/>
  <c r="BB956" i="15"/>
  <c r="P956" i="15"/>
  <c r="BX954" i="15"/>
  <c r="BY956" i="15"/>
  <c r="CB954" i="15"/>
  <c r="BC954" i="15"/>
  <c r="AG956" i="15"/>
  <c r="BL954" i="15"/>
  <c r="J954" i="15"/>
  <c r="O956" i="15"/>
  <c r="BP956" i="15"/>
  <c r="AK954" i="15"/>
  <c r="AT954" i="15"/>
  <c r="BJ956" i="15"/>
  <c r="AB956" i="15"/>
  <c r="CF954" i="15"/>
  <c r="CM956" i="15"/>
  <c r="L954" i="15"/>
  <c r="BO954" i="15"/>
  <c r="CL954" i="15"/>
  <c r="AL956" i="15"/>
  <c r="BT954" i="15"/>
  <c r="W954" i="15"/>
  <c r="CI956" i="15"/>
  <c r="CH954" i="15"/>
  <c r="AS954" i="15"/>
  <c r="BF954" i="15"/>
  <c r="BR956" i="15"/>
  <c r="AO956" i="15"/>
  <c r="CN954" i="15"/>
  <c r="F954" i="15"/>
  <c r="T954" i="15"/>
  <c r="CC954" i="15"/>
  <c r="K956" i="15"/>
  <c r="CA954" i="15"/>
  <c r="CN956" i="15"/>
  <c r="AY956" i="15"/>
  <c r="H954" i="15"/>
  <c r="E956" i="15"/>
  <c r="W956" i="15"/>
  <c r="CC956" i="15"/>
  <c r="BZ956" i="15"/>
  <c r="BA956" i="15"/>
  <c r="F956" i="15"/>
  <c r="R954" i="15"/>
  <c r="AB954" i="15"/>
  <c r="CP954" i="15"/>
  <c r="X956" i="15"/>
  <c r="CM954" i="15"/>
  <c r="CG956" i="15"/>
  <c r="O954" i="15"/>
  <c r="BK954" i="15"/>
  <c r="AE956" i="15"/>
  <c r="CO956" i="15"/>
  <c r="BA954" i="15"/>
  <c r="BS954" i="15"/>
  <c r="N956" i="15"/>
  <c r="AE954" i="15"/>
  <c r="AJ954" i="15"/>
  <c r="M956" i="15"/>
  <c r="AJ956" i="15"/>
  <c r="L956" i="15"/>
  <c r="N954" i="15"/>
  <c r="AK956" i="15"/>
  <c r="BW954" i="15"/>
  <c r="E954" i="15"/>
  <c r="AS956" i="15"/>
  <c r="BI954" i="15"/>
  <c r="CE954" i="15"/>
  <c r="CH956" i="15"/>
  <c r="BO956" i="15"/>
  <c r="AR954" i="15"/>
  <c r="AA956" i="15"/>
  <c r="AW956" i="15"/>
  <c r="Y956" i="15"/>
  <c r="Z954" i="15"/>
  <c r="AO954" i="15"/>
  <c r="CK954" i="15"/>
  <c r="BN956" i="15"/>
  <c r="BG956" i="15"/>
  <c r="AI954" i="15"/>
  <c r="S956" i="15"/>
  <c r="CP956" i="15"/>
  <c r="CB956" i="15"/>
  <c r="V956" i="15"/>
  <c r="AQ954" i="15"/>
  <c r="BI956" i="15"/>
  <c r="Q954" i="15"/>
  <c r="AM954" i="15"/>
  <c r="BL956" i="15"/>
  <c r="I956" i="15"/>
  <c r="BV956" i="15"/>
  <c r="BT956" i="15"/>
  <c r="CJ954" i="15"/>
  <c r="AW954" i="15"/>
  <c r="CK956" i="15"/>
  <c r="BU956" i="15"/>
  <c r="AD956" i="15"/>
  <c r="BE954" i="15"/>
  <c r="AZ954" i="15"/>
  <c r="AN956" i="15"/>
  <c r="AY954" i="15"/>
  <c r="BB954" i="15"/>
  <c r="U956" i="15"/>
  <c r="CD956" i="15"/>
  <c r="CF956" i="15"/>
  <c r="J956" i="15"/>
  <c r="BJ954" i="15"/>
  <c r="X954" i="15"/>
  <c r="AF956" i="15"/>
  <c r="BP954" i="15"/>
  <c r="P954" i="15"/>
  <c r="BH954" i="15"/>
  <c r="AZ956" i="15"/>
  <c r="BW956" i="15"/>
  <c r="AD954" i="15"/>
  <c r="AI956" i="15"/>
  <c r="CL956" i="15"/>
  <c r="K954" i="15"/>
  <c r="R956" i="15"/>
  <c r="BV954" i="15"/>
  <c r="AF954" i="15"/>
  <c r="AR956" i="15"/>
  <c r="AU956" i="15"/>
  <c r="V954" i="15"/>
  <c r="I954" i="15"/>
  <c r="BR954" i="15"/>
  <c r="BG964" i="15"/>
  <c r="BG966" i="15" s="1"/>
  <c r="BG1017" i="15" s="1"/>
  <c r="CN964" i="15"/>
  <c r="CN966" i="15" s="1"/>
  <c r="CN1031" i="15" s="1"/>
  <c r="CN1067" i="15" s="1"/>
  <c r="AM964" i="15"/>
  <c r="AM966" i="15" s="1"/>
  <c r="AM1017" i="15" s="1"/>
  <c r="S964" i="15"/>
  <c r="I964" i="15"/>
  <c r="I966" i="15" s="1"/>
  <c r="J964" i="15"/>
  <c r="J966" i="15" s="1"/>
  <c r="AK964" i="15"/>
  <c r="AK966" i="15" s="1"/>
  <c r="AK1017" i="15" s="1"/>
  <c r="BM964" i="15"/>
  <c r="BM966" i="15" s="1"/>
  <c r="BM1017" i="15" s="1"/>
  <c r="AX982" i="15"/>
  <c r="AX984" i="15" s="1"/>
  <c r="AX1019" i="15" s="1"/>
  <c r="BH982" i="15"/>
  <c r="BH984" i="15" s="1"/>
  <c r="BH1019" i="15" s="1"/>
  <c r="AR964" i="15"/>
  <c r="AR966" i="15" s="1"/>
  <c r="AR1017" i="15" s="1"/>
  <c r="BV964" i="15"/>
  <c r="BV966" i="15" s="1"/>
  <c r="BV1017" i="15" s="1"/>
  <c r="AA964" i="15"/>
  <c r="AA966" i="15" s="1"/>
  <c r="AA1017" i="15" s="1"/>
  <c r="AF964" i="15"/>
  <c r="AF966" i="15" s="1"/>
  <c r="AF1017" i="15" s="1"/>
  <c r="CG964" i="15"/>
  <c r="CG966" i="15" s="1"/>
  <c r="CG1031" i="15" s="1"/>
  <c r="CG1067" i="15" s="1"/>
  <c r="CO964" i="15"/>
  <c r="CO966" i="15" s="1"/>
  <c r="CO1031" i="15" s="1"/>
  <c r="CO1067" i="15" s="1"/>
  <c r="AU964" i="15"/>
  <c r="AU966" i="15" s="1"/>
  <c r="AU1017" i="15" s="1"/>
  <c r="AV982" i="15"/>
  <c r="AV984" i="15" s="1"/>
  <c r="AV1019" i="15" s="1"/>
  <c r="BQ982" i="15"/>
  <c r="BQ984" i="15" s="1"/>
  <c r="BQ1019" i="15" s="1"/>
  <c r="BZ982" i="15"/>
  <c r="BZ984" i="15" s="1"/>
  <c r="BZ1019" i="15" s="1"/>
  <c r="BZ1033" i="15" s="1"/>
  <c r="BZ1069" i="15" s="1"/>
  <c r="AQ982" i="15"/>
  <c r="AQ984" i="15" s="1"/>
  <c r="AQ1019" i="15" s="1"/>
  <c r="X982" i="15"/>
  <c r="X984" i="15" s="1"/>
  <c r="X1019" i="15" s="1"/>
  <c r="AL982" i="15"/>
  <c r="AL984" i="15" s="1"/>
  <c r="AL1019" i="15" s="1"/>
  <c r="AI982" i="15"/>
  <c r="AI984" i="15" s="1"/>
  <c r="AI1019" i="15" s="1"/>
  <c r="H982" i="15"/>
  <c r="H984" i="15" s="1"/>
  <c r="AD982" i="15"/>
  <c r="AD984" i="15" s="1"/>
  <c r="AD1019" i="15" s="1"/>
  <c r="CC982" i="15"/>
  <c r="CC984" i="15" s="1"/>
  <c r="CC1033" i="15" s="1"/>
  <c r="CC1069" i="15" s="1"/>
  <c r="CO982" i="15"/>
  <c r="CO984" i="15" s="1"/>
  <c r="CO1033" i="15" s="1"/>
  <c r="CO1069" i="15" s="1"/>
  <c r="BS982" i="15"/>
  <c r="BS984" i="15" s="1"/>
  <c r="BS1019" i="15" s="1"/>
  <c r="CL982" i="15"/>
  <c r="CL984" i="15" s="1"/>
  <c r="CL1033" i="15" s="1"/>
  <c r="CL1069" i="15" s="1"/>
  <c r="BB982" i="15"/>
  <c r="BB984" i="15" s="1"/>
  <c r="BB1019" i="15" s="1"/>
  <c r="BL982" i="15"/>
  <c r="BL984" i="15" s="1"/>
  <c r="BL1019" i="15" s="1"/>
  <c r="V982" i="15"/>
  <c r="V984" i="15" s="1"/>
  <c r="V1019" i="15" s="1"/>
  <c r="AR982" i="15"/>
  <c r="AR984" i="15" s="1"/>
  <c r="AR1019" i="15" s="1"/>
  <c r="BX982" i="15"/>
  <c r="BX984" i="15" s="1"/>
  <c r="BX1019" i="15" s="1"/>
  <c r="BU982" i="15"/>
  <c r="BU984" i="15" s="1"/>
  <c r="BU1019" i="15" s="1"/>
  <c r="AB982" i="15"/>
  <c r="AB984" i="15" s="1"/>
  <c r="AB1019" i="15" s="1"/>
  <c r="AN982" i="15"/>
  <c r="AN984" i="15" s="1"/>
  <c r="AN1019" i="15" s="1"/>
  <c r="CJ982" i="15"/>
  <c r="CJ984" i="15" s="1"/>
  <c r="CJ1033" i="15" s="1"/>
  <c r="CJ1069" i="15" s="1"/>
  <c r="CF982" i="15"/>
  <c r="CF984" i="15" s="1"/>
  <c r="CF1033" i="15" s="1"/>
  <c r="CF1069" i="15" s="1"/>
  <c r="AE982" i="15"/>
  <c r="AE984" i="15" s="1"/>
  <c r="AE1019" i="15" s="1"/>
  <c r="CN982" i="15"/>
  <c r="CN984" i="15" s="1"/>
  <c r="CN1033" i="15" s="1"/>
  <c r="CN1069" i="15" s="1"/>
  <c r="Z964" i="15"/>
  <c r="Z966" i="15" s="1"/>
  <c r="Z1017" i="15" s="1"/>
  <c r="AI964" i="15"/>
  <c r="AI966" i="15" s="1"/>
  <c r="AI1017" i="15" s="1"/>
  <c r="BD964" i="15"/>
  <c r="BD966" i="15" s="1"/>
  <c r="BD1017" i="15" s="1"/>
  <c r="AO964" i="15"/>
  <c r="AO966" i="15" s="1"/>
  <c r="AO1017" i="15" s="1"/>
  <c r="BO982" i="15"/>
  <c r="BO984" i="15" s="1"/>
  <c r="BO1019" i="15" s="1"/>
  <c r="Z982" i="15"/>
  <c r="Z984" i="15" s="1"/>
  <c r="Z1019" i="15" s="1"/>
  <c r="F982" i="15"/>
  <c r="F984" i="15" s="1"/>
  <c r="AB964" i="15"/>
  <c r="AB966" i="15" s="1"/>
  <c r="AB1017" i="15" s="1"/>
  <c r="BZ964" i="15"/>
  <c r="BZ966" i="15" s="1"/>
  <c r="BZ1017" i="15" s="1"/>
  <c r="BZ1031" i="15" s="1"/>
  <c r="BZ1067" i="15" s="1"/>
  <c r="D964" i="15"/>
  <c r="D966" i="15" s="1"/>
  <c r="BF964" i="15"/>
  <c r="BF966" i="15" s="1"/>
  <c r="BF1017" i="15" s="1"/>
  <c r="M964" i="15"/>
  <c r="M966" i="15" s="1"/>
  <c r="T964" i="15"/>
  <c r="T966" i="15" s="1"/>
  <c r="T1017" i="15" s="1"/>
  <c r="BA964" i="15"/>
  <c r="BA966" i="15" s="1"/>
  <c r="BA1017" i="15" s="1"/>
  <c r="Q964" i="15"/>
  <c r="Q966" i="15" s="1"/>
  <c r="AV964" i="15"/>
  <c r="AV966" i="15" s="1"/>
  <c r="AV1017" i="15" s="1"/>
  <c r="U964" i="15"/>
  <c r="U966" i="15" s="1"/>
  <c r="U1017" i="15" s="1"/>
  <c r="BC964" i="15"/>
  <c r="BC966" i="15" s="1"/>
  <c r="BC1017" i="15" s="1"/>
  <c r="BN964" i="15"/>
  <c r="BN966" i="15" s="1"/>
  <c r="BN1017" i="15" s="1"/>
  <c r="BB964" i="15"/>
  <c r="BB966" i="15" s="1"/>
  <c r="BB1017" i="15" s="1"/>
  <c r="V964" i="15"/>
  <c r="V966" i="15" s="1"/>
  <c r="V1017" i="15" s="1"/>
  <c r="BO964" i="15"/>
  <c r="BO966" i="15" s="1"/>
  <c r="BO1017" i="15" s="1"/>
  <c r="AW982" i="15"/>
  <c r="AW984" i="15" s="1"/>
  <c r="AW1019" i="15" s="1"/>
  <c r="N982" i="15"/>
  <c r="N984" i="15" s="1"/>
  <c r="BF982" i="15"/>
  <c r="BF984" i="15" s="1"/>
  <c r="BF1019" i="15" s="1"/>
  <c r="CK982" i="15"/>
  <c r="CK984" i="15" s="1"/>
  <c r="CK1033" i="15" s="1"/>
  <c r="CK1069" i="15" s="1"/>
  <c r="Y964" i="15"/>
  <c r="Y966" i="15" s="1"/>
  <c r="Y1017" i="15" s="1"/>
  <c r="CD964" i="15"/>
  <c r="CD966" i="15" s="1"/>
  <c r="CD1031" i="15" s="1"/>
  <c r="CD1067" i="15" s="1"/>
  <c r="K964" i="15"/>
  <c r="K966" i="15" s="1"/>
  <c r="AN964" i="15"/>
  <c r="AN966" i="15" s="1"/>
  <c r="AN1017" i="15" s="1"/>
  <c r="BD982" i="15"/>
  <c r="BD984" i="15" s="1"/>
  <c r="BD1019" i="15" s="1"/>
  <c r="D982" i="15"/>
  <c r="D984" i="15" s="1"/>
  <c r="AS982" i="15"/>
  <c r="AS984" i="15" s="1"/>
  <c r="AS1019" i="15" s="1"/>
  <c r="BE982" i="15"/>
  <c r="BE984" i="15" s="1"/>
  <c r="BE1019" i="15" s="1"/>
  <c r="L964" i="15"/>
  <c r="L966" i="15" s="1"/>
  <c r="BR964" i="15"/>
  <c r="BR966" i="15" s="1"/>
  <c r="BR1017" i="15" s="1"/>
  <c r="CL964" i="15"/>
  <c r="CL966" i="15" s="1"/>
  <c r="CL1031" i="15" s="1"/>
  <c r="CL1067" i="15" s="1"/>
  <c r="BV982" i="15"/>
  <c r="BV984" i="15" s="1"/>
  <c r="BV1019" i="15" s="1"/>
  <c r="BK982" i="15"/>
  <c r="BK984" i="15" s="1"/>
  <c r="BK1019" i="15" s="1"/>
  <c r="AJ982" i="15"/>
  <c r="AJ984" i="15" s="1"/>
  <c r="AJ1019" i="15" s="1"/>
  <c r="K982" i="15"/>
  <c r="K984" i="15" s="1"/>
  <c r="X964" i="15"/>
  <c r="X966" i="15" s="1"/>
  <c r="X1017" i="15" s="1"/>
  <c r="AX964" i="15"/>
  <c r="AX966" i="15" s="1"/>
  <c r="AX1017" i="15" s="1"/>
  <c r="AY964" i="15"/>
  <c r="AY966" i="15" s="1"/>
  <c r="AY1017" i="15" s="1"/>
  <c r="U982" i="15"/>
  <c r="U984" i="15" s="1"/>
  <c r="U1019" i="15" s="1"/>
  <c r="AP982" i="15"/>
  <c r="AP984" i="15" s="1"/>
  <c r="AP1019" i="15" s="1"/>
  <c r="CE982" i="15"/>
  <c r="CE984" i="15" s="1"/>
  <c r="CE1033" i="15" s="1"/>
  <c r="CE1069" i="15" s="1"/>
  <c r="E982" i="15"/>
  <c r="E984"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Y982" i="15"/>
  <c r="Y984" i="15" s="1"/>
  <c r="Y1019" i="15" s="1"/>
  <c r="CH964" i="15"/>
  <c r="CH966" i="15" s="1"/>
  <c r="CH1031" i="15" s="1"/>
  <c r="CH1067" i="15" s="1"/>
  <c r="AJ964" i="15"/>
  <c r="AJ966" i="15" s="1"/>
  <c r="AJ1017" i="15" s="1"/>
  <c r="CA964" i="15"/>
  <c r="CA966" i="15" s="1"/>
  <c r="CA1031" i="15" s="1"/>
  <c r="CA1067" i="15" s="1"/>
  <c r="AQ964" i="15"/>
  <c r="AQ966" i="15" s="1"/>
  <c r="AQ1017" i="15" s="1"/>
  <c r="G982" i="15"/>
  <c r="G984" i="15" s="1"/>
  <c r="L982" i="15"/>
  <c r="L984" i="15" s="1"/>
  <c r="BY982" i="15"/>
  <c r="BY984" i="15" s="1"/>
  <c r="BY1019" i="15" s="1"/>
  <c r="BJ982" i="15"/>
  <c r="BJ984" i="15" s="1"/>
  <c r="BJ1019" i="15" s="1"/>
  <c r="BJ1033" i="15" s="1"/>
  <c r="BJ1069" i="15" s="1"/>
  <c r="I982" i="15"/>
  <c r="I984" i="15" s="1"/>
  <c r="CI982" i="15"/>
  <c r="CI984" i="15" s="1"/>
  <c r="CI1033" i="15" s="1"/>
  <c r="CI1069" i="15" s="1"/>
  <c r="AW964" i="15"/>
  <c r="AW966" i="15" s="1"/>
  <c r="AW1017" i="15" s="1"/>
  <c r="BE964" i="15"/>
  <c r="BE966" i="15" s="1"/>
  <c r="BE1017" i="15" s="1"/>
  <c r="AC964" i="15"/>
  <c r="AC966" i="15" s="1"/>
  <c r="AC1017" i="15" s="1"/>
  <c r="BQ964" i="15"/>
  <c r="BQ966" i="15" s="1"/>
  <c r="BQ1017" i="15" s="1"/>
  <c r="CB982" i="15"/>
  <c r="CB984" i="15" s="1"/>
  <c r="CB1033" i="15" s="1"/>
  <c r="CB1069" i="15" s="1"/>
  <c r="AO982" i="15"/>
  <c r="AO984" i="15" s="1"/>
  <c r="AO1019" i="15" s="1"/>
  <c r="M982" i="15"/>
  <c r="M984" i="15" s="1"/>
  <c r="BI982" i="15"/>
  <c r="BI984" i="15" s="1"/>
  <c r="BI1019" i="15" s="1"/>
  <c r="O982" i="15"/>
  <c r="O984" i="15" s="1"/>
  <c r="AF982" i="15"/>
  <c r="AF984" i="15" s="1"/>
  <c r="AF1019" i="15" s="1"/>
  <c r="P982" i="15"/>
  <c r="P984" i="15" s="1"/>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BW982" i="15"/>
  <c r="BW984" i="15" s="1"/>
  <c r="BW1019" i="15" s="1"/>
  <c r="CA982" i="15"/>
  <c r="CA984" i="15" s="1"/>
  <c r="CA1033" i="15" s="1"/>
  <c r="CA1069" i="15" s="1"/>
  <c r="BP982" i="15"/>
  <c r="BP984" i="15" s="1"/>
  <c r="BP1019" i="15" s="1"/>
  <c r="AZ982" i="15"/>
  <c r="AZ984" i="15" s="1"/>
  <c r="AZ1019" i="15" s="1"/>
  <c r="BC982" i="15"/>
  <c r="BC984" i="15" s="1"/>
  <c r="BC1019" i="15" s="1"/>
  <c r="BG982" i="15"/>
  <c r="BG984" i="15" s="1"/>
  <c r="BG1019" i="15" s="1"/>
  <c r="W982" i="15"/>
  <c r="W984" i="15" s="1"/>
  <c r="W1019" i="15" s="1"/>
  <c r="BS964" i="15"/>
  <c r="BS966" i="15" s="1"/>
  <c r="BS1017" i="15" s="1"/>
  <c r="CF964" i="15"/>
  <c r="CF966" i="15" s="1"/>
  <c r="CF1031" i="15" s="1"/>
  <c r="CF1067" i="15" s="1"/>
  <c r="CP964" i="15"/>
  <c r="CP966" i="15" s="1"/>
  <c r="CP1031" i="15" s="1"/>
  <c r="CP1067" i="15" s="1"/>
  <c r="F964" i="15"/>
  <c r="F966" i="15" s="1"/>
  <c r="AP964" i="15"/>
  <c r="AP966" i="15" s="1"/>
  <c r="AP1017" i="15" s="1"/>
  <c r="AS964" i="15"/>
  <c r="AS966" i="15" s="1"/>
  <c r="AS1017" i="15" s="1"/>
  <c r="BW964" i="15"/>
  <c r="BW966" i="15" s="1"/>
  <c r="BW1017" i="15" s="1"/>
  <c r="O964" i="15"/>
  <c r="O966"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CC964" i="15"/>
  <c r="CC966" i="15" s="1"/>
  <c r="CC1031" i="15" s="1"/>
  <c r="CC1067" i="15" s="1"/>
  <c r="AH964" i="15"/>
  <c r="AH966" i="15" s="1"/>
  <c r="AH1017" i="15" s="1"/>
  <c r="BU964" i="15"/>
  <c r="BU966" i="15" s="1"/>
  <c r="BU1017" i="15" s="1"/>
  <c r="CM964" i="15"/>
  <c r="CM966" i="15" s="1"/>
  <c r="CM1031" i="15" s="1"/>
  <c r="CM1067" i="15" s="1"/>
  <c r="BP964" i="15"/>
  <c r="BP966" i="15" s="1"/>
  <c r="BP1017" i="15" s="1"/>
  <c r="AE964" i="15"/>
  <c r="AE966" i="15" s="1"/>
  <c r="AE1017" i="15" s="1"/>
  <c r="BI964" i="15"/>
  <c r="BI966" i="15" s="1"/>
  <c r="BI1017" i="15" s="1"/>
  <c r="AG964" i="15"/>
  <c r="AG966" i="15" s="1"/>
  <c r="AG1017" i="15" s="1"/>
  <c r="P966" i="15"/>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S966" i="15"/>
  <c r="S1017" i="15" s="1"/>
  <c r="P953" i="15"/>
  <c r="CJ953" i="15"/>
  <c r="CB953" i="15"/>
  <c r="CK953" i="15"/>
  <c r="AN953" i="15"/>
  <c r="BG953" i="15"/>
  <c r="BV953" i="15"/>
  <c r="CN953" i="15"/>
  <c r="M953" i="15"/>
  <c r="AQ953" i="15"/>
  <c r="H953" i="15"/>
  <c r="AR953" i="15"/>
  <c r="AH953" i="15"/>
  <c r="BF953" i="15"/>
  <c r="BT953" i="15"/>
  <c r="BH953" i="15"/>
  <c r="AW953" i="15"/>
  <c r="AK953" i="15"/>
  <c r="CE953" i="15"/>
  <c r="AE953" i="15"/>
  <c r="AP953" i="15"/>
  <c r="T953" i="15"/>
  <c r="AI953" i="15"/>
  <c r="BW953" i="15"/>
  <c r="AO953" i="15"/>
  <c r="BS953" i="15"/>
  <c r="R953" i="15"/>
  <c r="W953" i="15"/>
  <c r="AA953" i="15"/>
  <c r="Z953" i="15"/>
  <c r="BX953" i="15"/>
  <c r="D953" i="15"/>
  <c r="Y953" i="15"/>
  <c r="S953" i="15"/>
  <c r="CG953" i="15"/>
  <c r="BI953" i="15"/>
  <c r="BM953" i="15"/>
  <c r="CO953" i="15"/>
  <c r="BR953" i="15"/>
  <c r="AT953" i="15"/>
  <c r="U953" i="15"/>
  <c r="K953" i="15"/>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I955" i="15" l="1"/>
  <c r="AI957" i="15" s="1"/>
  <c r="AI1016" i="15" s="1"/>
  <c r="BA955" i="15"/>
  <c r="CO957" i="15"/>
  <c r="CO1030" i="15" s="1"/>
  <c r="CO1066" i="15" s="1"/>
  <c r="AR955" i="15"/>
  <c r="AR957" i="15" s="1"/>
  <c r="AR1016" i="15" s="1"/>
  <c r="AK955" i="15"/>
  <c r="AK957" i="15" s="1"/>
  <c r="AK1016" i="15" s="1"/>
  <c r="BK955" i="15"/>
  <c r="BK957" i="15" s="1"/>
  <c r="BK1016" i="15" s="1"/>
  <c r="AQ955" i="15"/>
  <c r="AQ957" i="15" s="1"/>
  <c r="AQ1016" i="15" s="1"/>
  <c r="BM955" i="15"/>
  <c r="BM957" i="15" s="1"/>
  <c r="BM1016" i="15" s="1"/>
  <c r="CJ955" i="15"/>
  <c r="CJ957" i="15" s="1"/>
  <c r="CJ1030" i="15" s="1"/>
  <c r="CJ1066" i="15" s="1"/>
  <c r="AC955" i="15"/>
  <c r="AC957" i="15" s="1"/>
  <c r="AC1016" i="15" s="1"/>
  <c r="AC1030" i="15" s="1"/>
  <c r="AC1066" i="15" s="1"/>
  <c r="AZ955" i="15"/>
  <c r="AZ957" i="15" s="1"/>
  <c r="AZ1016" i="15" s="1"/>
  <c r="BV955" i="15"/>
  <c r="BV957" i="15" s="1"/>
  <c r="BV1016" i="15" s="1"/>
  <c r="BX955" i="15"/>
  <c r="BX957" i="15" s="1"/>
  <c r="BX1016" i="15" s="1"/>
  <c r="Z955" i="15"/>
  <c r="Z957" i="15" s="1"/>
  <c r="Z1016" i="15" s="1"/>
  <c r="S955" i="15"/>
  <c r="S957" i="15" s="1"/>
  <c r="S1016" i="15" s="1"/>
  <c r="S1030" i="15" s="1"/>
  <c r="S1066" i="15" s="1"/>
  <c r="N955" i="15"/>
  <c r="N957" i="15" s="1"/>
  <c r="H955" i="15"/>
  <c r="H957" i="15" s="1"/>
  <c r="BO955" i="15"/>
  <c r="BO957" i="15" s="1"/>
  <c r="BO1016" i="15" s="1"/>
  <c r="BJ955" i="15"/>
  <c r="BJ957" i="15" s="1"/>
  <c r="BJ1016" i="15" s="1"/>
  <c r="M955" i="15"/>
  <c r="M957" i="15" s="1"/>
  <c r="AM955" i="15"/>
  <c r="AM957" i="15" s="1"/>
  <c r="AM1016" i="15" s="1"/>
  <c r="BQ955" i="15"/>
  <c r="BQ957" i="15" s="1"/>
  <c r="BQ1016" i="15" s="1"/>
  <c r="L955" i="15"/>
  <c r="L957" i="15" s="1"/>
  <c r="AW955" i="15"/>
  <c r="AW957" i="15" s="1"/>
  <c r="AW1016" i="15" s="1"/>
  <c r="AE955" i="15"/>
  <c r="AE957" i="15" s="1"/>
  <c r="AE1016" i="15" s="1"/>
  <c r="CB955" i="15"/>
  <c r="CB957" i="15" s="1"/>
  <c r="CB1030" i="15" s="1"/>
  <c r="CB1066" i="15" s="1"/>
  <c r="CA955" i="15"/>
  <c r="CA957" i="15" s="1"/>
  <c r="CA1030" i="15" s="1"/>
  <c r="CA1066" i="15" s="1"/>
  <c r="AU955" i="15"/>
  <c r="AU957" i="15" s="1"/>
  <c r="AU1016" i="15" s="1"/>
  <c r="W955" i="15"/>
  <c r="W957" i="15" s="1"/>
  <c r="W1016" i="15" s="1"/>
  <c r="AH955" i="15"/>
  <c r="AH957" i="15" s="1"/>
  <c r="AH1016" i="15" s="1"/>
  <c r="AF955" i="15"/>
  <c r="AF957" i="15" s="1"/>
  <c r="AF1016" i="15" s="1"/>
  <c r="AF1030" i="15" s="1"/>
  <c r="AF106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D739" i="2"/>
  <c r="C741" i="2" s="1"/>
  <c r="D694" i="2"/>
  <c r="AO610" i="2"/>
  <c r="C649" i="2" s="1"/>
  <c r="AO565" i="2"/>
  <c r="AO886" i="2"/>
  <c r="C925" i="2" s="1"/>
  <c r="AO841" i="2"/>
  <c r="C880" i="2" s="1"/>
  <c r="AO519" i="2"/>
  <c r="AO474" i="2"/>
  <c r="D647" i="2"/>
  <c r="D602" i="2"/>
  <c r="E510" i="2"/>
  <c r="E555" i="2"/>
  <c r="C696" i="2" l="1"/>
  <c r="C604" i="2"/>
  <c r="AO473" i="2"/>
  <c r="AO518" i="2"/>
  <c r="D555" i="2"/>
  <c r="D510" i="2"/>
  <c r="C557" i="2" l="1"/>
  <c r="C512" i="2"/>
  <c r="J971" i="2"/>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T975" i="2" s="1"/>
  <c r="BT1018" i="2" s="1"/>
  <c r="BD973" i="2"/>
  <c r="BI973" i="2"/>
  <c r="BI975" i="2" s="1"/>
  <c r="BI1018" i="2" s="1"/>
  <c r="AY973" i="2"/>
  <c r="AY975" i="2" s="1"/>
  <c r="AY1018" i="2" s="1"/>
  <c r="AK973" i="2"/>
  <c r="AK975" i="2" s="1"/>
  <c r="AK1018" i="2" s="1"/>
  <c r="Z973" i="2"/>
  <c r="Z975" i="2" s="1"/>
  <c r="Z1018" i="2" s="1"/>
  <c r="X973" i="2"/>
  <c r="X975" i="2" s="1"/>
  <c r="X1018" i="2" s="1"/>
  <c r="L973" i="2"/>
  <c r="L975" i="2" s="1"/>
  <c r="AQ973" i="2"/>
  <c r="AQ975" i="2" s="1"/>
  <c r="AQ1018" i="2" s="1"/>
  <c r="BC973" i="2"/>
  <c r="BC975" i="2" s="1"/>
  <c r="BC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<sst xmlns="http://schemas.openxmlformats.org/spreadsheetml/2006/main" count="4809" uniqueCount="397">
  <si>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</si>
  <si>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</si>
  <si>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</si>
  <si>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</si>
  <si>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</si>
  <si>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</si>
  <si>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</si>
  <si>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</si>
  <si>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</si>
  <si>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</si>
  <si>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</si>
  <si>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</si>
  <si>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</si>
  <si>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</si>
  <si>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</si>
  <si>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</si>
  <si>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</si>
  <si>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</si>
  <si>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</si>
  <si>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</si>
  <si>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</si>
  <si>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</si>
  <si>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</si>
  <si>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</si>
  <si>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</si>
  <si>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</si>
  <si>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</si>
  <si>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</si>
  <si>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</si>
  <si>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</si>
  <si>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</si>
  <si>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</si>
  <si>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</si>
  <si>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</si>
  <si>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</si>
  <si>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</si>
  <si>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</si>
  <si>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</si>
  <si>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</si>
  <si>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</si>
  <si>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Forthcoming Change version. Updated price and discount base year to 2023. Updated GDP/cap and GDP deflator forecasts and values of a 1Db change in noise (£/HH/annum) to match with Nov 2024 TAG Data Book (v2.0FC)</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</si>
  <si>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</si>
  <si>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</si>
  <si>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</si>
  <si>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</si>
  <si>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</si>
  <si>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</si>
  <si>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</si>
  <si>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</si>
  <si>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</si>
  <si>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</si>
  <si>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</si>
  <si>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</si>
  <si>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</si>
  <si>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</si>
  <si>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</si>
  <si>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</si>
  <si>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</si>
  <si>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</si>
  <si>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</si>
  <si>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</si>
  <si>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</si>
  <si>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</si>
  <si>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</si>
  <si>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</si>
  <si>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</si>
  <si>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</si>
  <si>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</si>
  <si>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</si>
  <si>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</si>
  <si>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</si>
  <si>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</si>
  <si>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</si>
  <si>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</si>
  <si>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</si>
  <si>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</si>
  <si>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</si>
  <si>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</si>
  <si>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</si>
  <si>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</si>
  <si>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</si>
  <si>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</si>
  <si>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</si>
  <si>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</si>
  <si>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</si>
  <si>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</si>
  <si>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</si>
  <si>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</si>
  <si>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</si>
  <si>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</si>
  <si>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</si>
  <si>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</si>
  <si>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</si>
  <si>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</si>
  <si>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</si>
  <si>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</si>
  <si>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</si>
  <si>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</si>
  <si>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</si>
  <si>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</si>
  <si>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</si>
  <si>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</si>
  <si>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</si>
  <si>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</si>
  <si>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</si>
  <si>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</si>
  <si>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</si>
  <si>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</si>
  <si>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</si>
  <si>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</si>
  <si>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</si>
  <si>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</si>
  <si>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</si>
  <si>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</si>
  <si>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</si>
  <si>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</si>
  <si>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</si>
  <si>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</si>
  <si>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</si>
  <si>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</si>
  <si>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</si>
  <si>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</si>
  <si>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</si>
  <si>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</si>
  <si>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</si>
  <si>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</si>
  <si>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</si>
  <si>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</si>
  <si>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</si>
  <si>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</si>
  <si>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</si>
  <si>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</si>
  <si>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</si>
  <si>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</si>
  <si>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</si>
  <si>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</si>
  <si>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</si>
  <si>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</si>
  <si>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</si>
  <si>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</si>
  <si>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</si>
  <si>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</si>
  <si>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</si>
  <si>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</si>
  <si>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</si>
  <si>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</si>
  <si>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</si>
  <si>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</si>
  <si>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</si>
  <si>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</si>
  <si>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</si>
  <si>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</si>
  <si>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</si>
  <si>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</si>
  <si>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</si>
  <si>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</si>
  <si>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</si>
  <si>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</si>
  <si>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</si>
  <si>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</si>
  <si>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</si>
  <si>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</si>
  <si>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</si>
  <si>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</si>
  <si>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</si>
  <si>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</si>
  <si>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</si>
  <si>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</si>
  <si>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</si>
  <si>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</si>
  <si>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</si>
  <si>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</si>
  <si>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</si>
  <si>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</si>
  <si>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</si>
  <si>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</si>
  <si>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</si>
  <si>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</si>
  <si>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</si>
  <si>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</si>
  <si>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</si>
  <si>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</si>
  <si>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</si>
  <si>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GDP deflator</t>
  </si>
  <si>
    <t>GDP_deflator_in</t>
  </si>
  <si>
    <t>Real GDP per capita</t>
  </si>
  <si>
    <t>GDP_capita_in</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</si>
  <si>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</si>
  <si>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</si>
  <si>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</si>
  <si>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</si>
  <si>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</si>
  <si>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</si>
  <si>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</si>
  <si>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</si>
  <si>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</si>
  <si>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</si>
  <si>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</si>
  <si>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</si>
  <si>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</si>
  <si>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</si>
  <si>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</si>
  <si>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</si>
  <si>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</si>
  <si>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</si>
  <si>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</si>
  <si>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</si>
  <si>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</si>
  <si>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</si>
  <si>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</si>
  <si>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</si>
  <si>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</si>
  <si>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</si>
  <si>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</si>
  <si>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</si>
  <si>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</si>
  <si>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</si>
  <si>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</si>
  <si>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</si>
  <si>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</si>
  <si>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</si>
  <si>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</si>
  <si>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</si>
  <si>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</si>
  <si>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</si>
  <si>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</si>
  <si>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</si>
  <si>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</si>
  <si>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</si>
  <si>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</si>
  <si>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</si>
  <si>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</si>
  <si>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</si>
  <si>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</si>
  <si>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</si>
  <si>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</si>
  <si>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</si>
  <si>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</si>
  <si>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</si>
  <si>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</si>
  <si>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</si>
  <si>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</si>
  <si>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</si>
  <si>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</si>
  <si>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</si>
  <si>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</si>
  <si>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</si>
  <si>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</si>
  <si>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</si>
  <si>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</si>
  <si>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</si>
  <si>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</si>
  <si>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</si>
  <si>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</si>
  <si>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</si>
  <si>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</si>
  <si>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</si>
  <si>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</si>
  <si>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</si>
  <si>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</si>
  <si>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</si>
  <si>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</si>
  <si>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</si>
  <si>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</si>
  <si>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</si>
  <si>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</si>
  <si>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</si>
  <si>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</si>
  <si>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</si>
  <si>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</si>
  <si>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</si>
  <si>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</si>
  <si>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</si>
  <si>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</si>
  <si>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</si>
  <si>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</si>
  <si>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</si>
  <si>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</si>
  <si>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</si>
  <si>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</si>
  <si>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</si>
  <si>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</si>
  <si>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</si>
  <si>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</si>
  <si>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</si>
  <si>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</si>
  <si>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</si>
  <si>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</si>
  <si>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</si>
  <si>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</si>
  <si>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</si>
  <si>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</si>
  <si>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</si>
  <si>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</si>
  <si>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</si>
  <si>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</si>
  <si>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</si>
  <si>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</si>
  <si>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</si>
  <si>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</si>
  <si>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</si>
  <si>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</si>
  <si>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</si>
  <si>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</si>
  <si>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</si>
  <si>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</si>
  <si>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</si>
  <si>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</si>
  <si>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</si>
  <si>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</si>
  <si>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</si>
  <si>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</si>
  <si>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</si>
  <si>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</si>
  <si>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</si>
  <si>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</si>
  <si>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</si>
  <si>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</si>
  <si>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</si>
  <si>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</si>
  <si>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</si>
  <si>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</si>
  <si>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</si>
  <si>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</si>
  <si>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</si>
  <si>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</si>
  <si>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</si>
  <si>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</si>
  <si>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</si>
  <si>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</si>
  <si>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</si>
  <si>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</si>
  <si>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</si>
  <si>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</si>
  <si>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</si>
  <si>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</si>
  <si>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</si>
  <si>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</si>
  <si>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</si>
  <si>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</si>
  <si>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</si>
  <si>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</si>
  <si>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</si>
  <si>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</si>
  <si>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</si>
  <si>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</si>
  <si>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</si>
  <si>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</si>
  <si>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</si>
  <si>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</si>
  <si>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</si>
  <si>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</si>
  <si>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</si>
  <si>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</si>
  <si>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</si>
  <si>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</si>
  <si>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</si>
  <si>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</si>
  <si>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</si>
  <si>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</si>
  <si>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</si>
  <si>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</si>
  <si>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</si>
  <si>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</si>
  <si>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</si>
  <si>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</si>
  <si>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</si>
  <si>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</si>
  <si>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</si>
  <si>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</si>
  <si>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</si>
  <si>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</si>
  <si>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</si>
  <si>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</si>
  <si>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</si>
  <si>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</si>
  <si>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</si>
  <si>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</si>
  <si>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</si>
  <si>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</si>
  <si>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</si>
  <si>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</si>
  <si>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</si>
  <si>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</si>
  <si>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</si>
  <si>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</si>
  <si>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</si>
  <si>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</si>
  <si>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</si>
  <si>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</si>
  <si>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</si>
  <si>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</si>
  <si>
    <t>Updated GDP/cap and GDP deflator forecasts and values of a 1Db change in noise (£/HH/annum) to match with May 2025 TAG Data Book (v2.01)</t>
  </si>
  <si>
    <t>TAG Data Book v2.02 (December 2025), Table A3.1</t>
  </si>
  <si>
    <t>TAG Data Book v2.02 (December 2025), Table A1.1.1</t>
  </si>
  <si>
    <t>TAG Data Book v2.02, December 2025, Annual Parameters</t>
  </si>
  <si>
    <t>Updated GDP/cap and GDP deflator forecasts to match with TAG Data Book v2.02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</si>
</sst>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x14ac:knownFonts="1">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1" fillId="0" borderId="0" xfId="0" applyFont="1"/>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xf numFmtId="2" fontId="10" fillId="0" borderId="4" xfId="0" applyNumberFormat="1" applyFont="1" applyBorder="1" applyAlignment="1" applyProtection="1">
      <alignment horizontal="right" vertical="center" wrapText="1"/>
      <protection hidden="1"/>
    </xf>
    <xf numFmtId="0" fontId="1" fillId="3" borderId="1" xfId="0" applyFont="1" applyFill="1" applyBorder="1" applyProtection="1">
      <protection locked="0"/>
    </xf>
    <xf numFmtId="0" fontId="1" fillId="3" borderId="2" xfId="0" applyFont="1" applyFill="1" applyBorder="1" applyProtection="1">
      <protection locked="0"/>
    </xf>
    <xf numFmtId="0" fontId="1" fillId="3" borderId="3" xfId="0" applyFont="1" applyFill="1" applyBorder="1" applyProtection="1">
      <protection locked="0"/>
    </xf>
    <xf numFmtId="0" fontId="9" fillId="0" borderId="0" xfId="0" applyFont="1" applyAlignment="1">
      <alignment vertical="top" wrapText="1"/>
    </xf>
    <xf numFmtId="0" fontId="1"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6"/>
  <sheetViews>
    <sheetView topLeftCell="A35" zoomScale="85" zoomScaleNormal="85" workbookViewId="0">
      <selection activeCell="B55" sqref="B55"/>
    </sheetView>
  </sheetViews>
  <sheetFormatPr defaultColWidth="0" defaultRowHeight="13" zeroHeight="1" x14ac:dyDescent="0.3"/>
  <cols>
    <col min="1" max="1" width="3.36328125" style="59" customWidth="1"/>
    <col min="2" max="2" width="11.453125" style="59" customWidth="1"/>
    <col min="3" max="16" width="9.08984375" style="59" customWidth="1"/>
    <col min="17" max="17" width="15.08984375" style="59" customWidth="1"/>
    <col min="18" max="20" width="9.08984375" style="59" customWidth="1"/>
    <col min="21" max="16384" width="9.08984375" style="59" hidden="1"/>
  </cols>
  <sheetData>
    <row r="1" spans="2:2" x14ac:dyDescent="0.3"/>
    <row r="2" spans="2:2" x14ac:dyDescent="0.3"/>
    <row r="3" spans="2:2" x14ac:dyDescent="0.3"/>
    <row r="4" spans="2:2" x14ac:dyDescent="0.3"/>
    <row r="5" spans="2:2" x14ac:dyDescent="0.3">
      <c r="B5" s="58"/>
    </row>
    <row r="6" spans="2:2" s="2" customFormat="1" ht="18.5" x14ac:dyDescent="0.45">
      <c r="B6" s="2" t="s">
        <v>0</v>
      </c>
    </row>
    <row r="7" spans="2:2" x14ac:dyDescent="0.3"/>
    <row r="8" spans="2:2" s="5" customFormat="1" ht="15.5" x14ac:dyDescent="0.35">
      <c r="B8" s="5" t="s">
        <v>1</v>
      </c>
    </row>
    <row r="9" spans="2:2" x14ac:dyDescent="0.3">
      <c r="B9" s="60" t="s">
        <v>2</v>
      </c>
    </row>
    <row r="10" spans="2:2" x14ac:dyDescent="0.3"/>
    <row r="11" spans="2:2" s="5" customFormat="1" ht="15.5" x14ac:dyDescent="0.35">
      <c r="B11" s="5" t="s">
        <v>3</v>
      </c>
    </row>
    <row r="12" spans="2:2" x14ac:dyDescent="0.3">
      <c r="B12" s="60" t="s">
        <v>4</v>
      </c>
    </row>
    <row r="13" spans="2:2" x14ac:dyDescent="0.3">
      <c r="B13" s="60" t="s">
        <v>5</v>
      </c>
    </row>
    <row r="14" spans="2:2" x14ac:dyDescent="0.3">
      <c r="B14" s="96" t="s">
        <v>6</v>
      </c>
    </row>
    <row r="15" spans="2:2" x14ac:dyDescent="0.3">
      <c r="B15" s="60"/>
    </row>
    <row r="16" spans="2:2" x14ac:dyDescent="0.3">
      <c r="B16" s="60" t="s">
        <v>7</v>
      </c>
    </row>
    <row r="17" spans="2:3" x14ac:dyDescent="0.3">
      <c r="B17" s="60">
        <v>1</v>
      </c>
      <c r="C17" s="60" t="s">
        <v>8</v>
      </c>
    </row>
    <row r="18" spans="2:3" x14ac:dyDescent="0.3">
      <c r="B18" s="60">
        <v>2</v>
      </c>
      <c r="C18" s="60" t="s">
        <v>9</v>
      </c>
    </row>
    <row r="19" spans="2:3" x14ac:dyDescent="0.3">
      <c r="B19" s="60">
        <v>3</v>
      </c>
      <c r="C19" s="60" t="s">
        <v>10</v>
      </c>
    </row>
    <row r="20" spans="2:3" x14ac:dyDescent="0.3">
      <c r="B20" s="60">
        <v>4</v>
      </c>
      <c r="C20" s="60" t="s">
        <v>11</v>
      </c>
    </row>
    <row r="21" spans="2:3" x14ac:dyDescent="0.3">
      <c r="B21" s="60">
        <v>5</v>
      </c>
      <c r="C21" s="60" t="s">
        <v>12</v>
      </c>
    </row>
    <row r="22" spans="2:3" x14ac:dyDescent="0.3">
      <c r="B22" s="60">
        <v>6</v>
      </c>
      <c r="C22" s="60" t="s">
        <v>13</v>
      </c>
    </row>
    <row r="23" spans="2:3" x14ac:dyDescent="0.3">
      <c r="B23" s="60" t="s">
        <v>14</v>
      </c>
      <c r="C23" s="60"/>
    </row>
    <row r="24" spans="2:3" x14ac:dyDescent="0.3">
      <c r="B24" s="60">
        <v>7</v>
      </c>
      <c r="C24" s="60" t="s">
        <v>15</v>
      </c>
    </row>
    <row r="25" spans="2:3" x14ac:dyDescent="0.3">
      <c r="B25" s="60">
        <v>8</v>
      </c>
      <c r="C25" s="60" t="s">
        <v>16</v>
      </c>
    </row>
    <row r="26" spans="2:3" x14ac:dyDescent="0.3">
      <c r="B26" s="60"/>
      <c r="C26" s="60"/>
    </row>
    <row r="27" spans="2:3" x14ac:dyDescent="0.3">
      <c r="B27" s="60" t="s">
        <v>17</v>
      </c>
    </row>
    <row r="28" spans="2:3" x14ac:dyDescent="0.3">
      <c r="B28" s="60">
        <v>1</v>
      </c>
      <c r="C28" s="60" t="s">
        <v>18</v>
      </c>
    </row>
    <row r="29" spans="2:3" x14ac:dyDescent="0.3">
      <c r="B29" s="60">
        <v>2</v>
      </c>
      <c r="C29" s="60" t="s">
        <v>19</v>
      </c>
    </row>
    <row r="30" spans="2:3" x14ac:dyDescent="0.3">
      <c r="B30" s="60">
        <v>3</v>
      </c>
      <c r="C30" s="60" t="s">
        <v>20</v>
      </c>
    </row>
    <row r="31" spans="2:3" x14ac:dyDescent="0.3">
      <c r="B31" s="60">
        <v>4</v>
      </c>
      <c r="C31" s="60" t="s">
        <v>21</v>
      </c>
    </row>
    <row r="32" spans="2:3" x14ac:dyDescent="0.3">
      <c r="B32" s="60">
        <v>5</v>
      </c>
      <c r="C32" s="60" t="s">
        <v>22</v>
      </c>
    </row>
    <row r="33" spans="2:3" x14ac:dyDescent="0.3">
      <c r="B33" s="60">
        <v>6</v>
      </c>
      <c r="C33" s="60" t="s">
        <v>23</v>
      </c>
    </row>
    <row r="34" spans="2:3" x14ac:dyDescent="0.3">
      <c r="B34" s="60">
        <v>7</v>
      </c>
      <c r="C34" s="60" t="s">
        <v>24</v>
      </c>
    </row>
    <row r="35" spans="2:3" x14ac:dyDescent="0.3">
      <c r="B35" s="60">
        <v>8</v>
      </c>
      <c r="C35" s="60" t="s">
        <v>25</v>
      </c>
    </row>
    <row r="36" spans="2:3" x14ac:dyDescent="0.3">
      <c r="C36" s="60" t="s">
        <v>26</v>
      </c>
    </row>
    <row r="37" spans="2:3" x14ac:dyDescent="0.3">
      <c r="B37" s="60">
        <v>9</v>
      </c>
      <c r="C37" s="60" t="s">
        <v>27</v>
      </c>
    </row>
    <row r="38" spans="2:3" x14ac:dyDescent="0.3">
      <c r="B38" s="60"/>
      <c r="C38" s="60" t="s">
        <v>26</v>
      </c>
    </row>
    <row r="39" spans="2:3" x14ac:dyDescent="0.3">
      <c r="B39" s="60">
        <v>10</v>
      </c>
      <c r="C39" s="60" t="s">
        <v>28</v>
      </c>
    </row>
    <row r="40" spans="2:3" x14ac:dyDescent="0.3">
      <c r="B40" s="60"/>
      <c r="C40" s="60" t="s">
        <v>29</v>
      </c>
    </row>
    <row r="41" spans="2:3" x14ac:dyDescent="0.3">
      <c r="B41" s="60"/>
      <c r="C41" s="60"/>
    </row>
    <row r="42" spans="2:3" x14ac:dyDescent="0.3">
      <c r="B42" s="60" t="s">
        <v>30</v>
      </c>
      <c r="C42" s="60"/>
    </row>
    <row r="43" spans="2:3" x14ac:dyDescent="0.3">
      <c r="B43" s="60">
        <v>1</v>
      </c>
      <c r="C43" s="60" t="s">
        <v>31</v>
      </c>
    </row>
    <row r="44" spans="2:3" x14ac:dyDescent="0.3">
      <c r="B44" s="60">
        <v>2</v>
      </c>
      <c r="C44" s="60" t="s">
        <v>32</v>
      </c>
    </row>
    <row r="45" spans="2:3" x14ac:dyDescent="0.3">
      <c r="B45" s="60">
        <v>3</v>
      </c>
      <c r="C45" s="60" t="s">
        <v>33</v>
      </c>
    </row>
    <row r="46" spans="2:3" x14ac:dyDescent="0.3">
      <c r="B46" s="60">
        <v>4</v>
      </c>
      <c r="C46" s="60" t="s">
        <v>34</v>
      </c>
    </row>
    <row r="47" spans="2:3" x14ac:dyDescent="0.3">
      <c r="B47" s="60">
        <v>5</v>
      </c>
      <c r="C47" s="60" t="s">
        <v>35</v>
      </c>
    </row>
    <row r="48" spans="2:3" x14ac:dyDescent="0.3">
      <c r="B48" s="60"/>
    </row>
    <row r="49" spans="2:3" x14ac:dyDescent="0.3">
      <c r="B49" s="60" t="s">
        <v>36</v>
      </c>
    </row>
    <row r="50" spans="2:3" x14ac:dyDescent="0.3">
      <c r="B50" s="60"/>
    </row>
    <row r="51" spans="2:3" s="5" customFormat="1" ht="15.5" x14ac:dyDescent="0.35">
      <c r="B51" s="5" t="s">
        <v>37</v>
      </c>
    </row>
    <row r="52" spans="2:3" x14ac:dyDescent="0.3">
      <c r="B52" s="61" t="s">
        <v>38</v>
      </c>
      <c r="C52" s="61" t="s">
        <v>39</v>
      </c>
    </row>
    <row r="53" spans="2:3" x14ac:dyDescent="0.3">
      <c r="B53" s="62">
        <v>45992</v>
      </c>
      <c r="C53" s="60" t="s">
        <v>396</v>
      </c>
    </row>
    <row r="54" spans="2:3" x14ac:dyDescent="0.3">
      <c r="B54" s="62">
        <v>45778</v>
      </c>
      <c r="C54" s="60" t="s">
        <v>392</v>
      </c>
    </row>
    <row r="55" spans="2:3" x14ac:dyDescent="0.3">
      <c r="B55" s="62">
        <v>45597</v>
      </c>
      <c r="C55" s="60" t="s">
        <v>40</v>
      </c>
    </row>
    <row r="56" spans="2:3" x14ac:dyDescent="0.3">
      <c r="B56" s="62">
        <v>45597</v>
      </c>
      <c r="C56" s="60" t="s">
        <v>41</v>
      </c>
    </row>
    <row r="57" spans="2:3" x14ac:dyDescent="0.3">
      <c r="B57" s="62">
        <v>45413</v>
      </c>
      <c r="C57" s="60" t="s">
        <v>42</v>
      </c>
    </row>
    <row r="58" spans="2:3" x14ac:dyDescent="0.3">
      <c r="B58" s="62">
        <v>45231</v>
      </c>
      <c r="C58" s="60" t="s">
        <v>43</v>
      </c>
    </row>
    <row r="59" spans="2:3" x14ac:dyDescent="0.3">
      <c r="B59" s="62">
        <v>45047</v>
      </c>
      <c r="C59" s="60" t="s">
        <v>44</v>
      </c>
    </row>
    <row r="60" spans="2:3" x14ac:dyDescent="0.3">
      <c r="B60" s="62">
        <v>44866</v>
      </c>
      <c r="C60" s="60" t="s">
        <v>45</v>
      </c>
    </row>
    <row r="61" spans="2:3" x14ac:dyDescent="0.3">
      <c r="B61" s="62">
        <v>44682</v>
      </c>
      <c r="C61" s="60" t="s">
        <v>46</v>
      </c>
    </row>
    <row r="62" spans="2:3" x14ac:dyDescent="0.3">
      <c r="B62" s="62">
        <v>44501</v>
      </c>
      <c r="C62" s="60" t="s">
        <v>47</v>
      </c>
    </row>
    <row r="63" spans="2:3" x14ac:dyDescent="0.3">
      <c r="B63" s="62">
        <v>44378</v>
      </c>
      <c r="C63" s="60" t="s">
        <v>48</v>
      </c>
    </row>
    <row r="64" spans="2:3" x14ac:dyDescent="0.3">
      <c r="B64" s="62">
        <v>44013</v>
      </c>
      <c r="C64" s="60" t="s">
        <v>49</v>
      </c>
    </row>
    <row r="65" spans="2:3" x14ac:dyDescent="0.3">
      <c r="B65" s="62">
        <v>44013</v>
      </c>
      <c r="C65" s="60" t="s">
        <v>50</v>
      </c>
    </row>
    <row r="66" spans="2:3" x14ac:dyDescent="0.3">
      <c r="B66" s="62">
        <v>43770</v>
      </c>
      <c r="C66" s="60" t="s">
        <v>51</v>
      </c>
    </row>
    <row r="67" spans="2:3" x14ac:dyDescent="0.3">
      <c r="B67" s="62">
        <v>43586</v>
      </c>
      <c r="C67" s="60" t="s">
        <v>52</v>
      </c>
    </row>
    <row r="68" spans="2:3" x14ac:dyDescent="0.3">
      <c r="B68" s="62">
        <v>43556</v>
      </c>
      <c r="C68" s="60" t="s">
        <v>53</v>
      </c>
    </row>
    <row r="69" spans="2:3" x14ac:dyDescent="0.3">
      <c r="B69" s="62">
        <v>43405</v>
      </c>
      <c r="C69" s="60" t="s">
        <v>54</v>
      </c>
    </row>
    <row r="70" spans="2:3" x14ac:dyDescent="0.3">
      <c r="B70" s="62">
        <v>43221</v>
      </c>
      <c r="C70" s="60" t="s">
        <v>54</v>
      </c>
    </row>
    <row r="71" spans="2:3" x14ac:dyDescent="0.3">
      <c r="B71" s="62">
        <v>43070</v>
      </c>
      <c r="C71" s="60" t="s">
        <v>55</v>
      </c>
    </row>
    <row r="72" spans="2:3" x14ac:dyDescent="0.3">
      <c r="B72" s="62"/>
      <c r="C72" s="60"/>
    </row>
    <row r="73" spans="2:3" s="5" customFormat="1" ht="15.5" x14ac:dyDescent="0.35">
      <c r="B73" s="5" t="s">
        <v>56</v>
      </c>
    </row>
    <row r="74" spans="2:3" x14ac:dyDescent="0.3">
      <c r="B74" s="60" t="s">
        <v>57</v>
      </c>
    </row>
    <row r="75" spans="2:3" x14ac:dyDescent="0.3">
      <c r="B75" s="60" t="s">
        <v>58</v>
      </c>
    </row>
    <row r="76" spans="2:3" x14ac:dyDescent="0.3">
      <c r="B76" s="60" t="s">
        <v>59</v>
      </c>
    </row>
    <row r="77" spans="2:3" x14ac:dyDescent="0.3">
      <c r="B77" s="60" t="s">
        <v>60</v>
      </c>
    </row>
    <row r="78" spans="2:3" x14ac:dyDescent="0.3">
      <c r="B78" s="60" t="s">
        <v>61</v>
      </c>
    </row>
    <row r="79" spans="2:3" x14ac:dyDescent="0.3">
      <c r="B79" s="60" t="s">
        <v>62</v>
      </c>
    </row>
    <row r="80" spans="2:3" x14ac:dyDescent="0.3">
      <c r="B80" s="96" t="s">
        <v>63</v>
      </c>
    </row>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sheetData>
  <hyperlinks>
    <hyperlink ref="B80"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topLeftCell="A163" zoomScale="70" zoomScaleNormal="70" workbookViewId="0">
      <selection activeCell="D11" sqref="D11"/>
    </sheetView>
  </sheetViews>
  <sheetFormatPr defaultColWidth="0" defaultRowHeight="14.5" zeroHeight="1" x14ac:dyDescent="0.35"/>
  <cols>
    <col min="1" max="1" width="9.08984375" style="47" customWidth="1"/>
    <col min="2" max="2" width="27.08984375" style="47" customWidth="1"/>
    <col min="3" max="3" width="21.36328125" style="47" customWidth="1"/>
    <col min="4" max="4" width="12.08984375" style="47" customWidth="1"/>
    <col min="5" max="21" width="9.08984375" style="47" customWidth="1"/>
    <col min="22" max="22" width="14.54296875" style="47" customWidth="1"/>
    <col min="23" max="39" width="9.08984375" style="47" customWidth="1"/>
    <col min="40" max="41" width="9.36328125" style="47" customWidth="1"/>
    <col min="42" max="42" width="3.453125" style="47" customWidth="1"/>
    <col min="43" max="95" width="9.08984375" style="47" hidden="1" customWidth="1"/>
    <col min="96" max="96" width="28.453125" style="47" hidden="1" customWidth="1"/>
    <col min="97" max="16384" width="9.08984375" style="47" hidden="1"/>
  </cols>
  <sheetData>
    <row r="1" spans="2:96" x14ac:dyDescent="0.35">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row>
    <row r="2" spans="2:96" s="1" customFormat="1" ht="26" x14ac:dyDescent="0.6">
      <c r="B2" s="1" t="s">
        <v>64</v>
      </c>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2:96" x14ac:dyDescent="0.35">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row>
    <row r="4" spans="2:96" s="2" customFormat="1" ht="18.5" x14ac:dyDescent="0.45">
      <c r="B4" s="2" t="s">
        <v>65</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35">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row>
    <row r="6" spans="2:96" ht="15" customHeight="1" x14ac:dyDescent="0.35">
      <c r="B6" s="102" t="s">
        <v>18</v>
      </c>
      <c r="C6" s="102"/>
      <c r="D6" s="147"/>
      <c r="E6" s="148"/>
      <c r="F6" s="148"/>
      <c r="G6" s="148"/>
      <c r="H6" s="149"/>
      <c r="I6" s="3" t="s">
        <v>66</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row>
    <row r="7" spans="2:96" ht="15" customHeight="1" x14ac:dyDescent="0.35">
      <c r="B7" s="102" t="s">
        <v>67</v>
      </c>
      <c r="C7" s="102"/>
      <c r="D7" s="103">
        <v>2025</v>
      </c>
      <c r="E7" s="3" t="s">
        <v>68</v>
      </c>
      <c r="F7" s="3"/>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row>
    <row r="8" spans="2:96" ht="15" customHeight="1" x14ac:dyDescent="0.35">
      <c r="B8" s="102" t="s">
        <v>69</v>
      </c>
      <c r="C8" s="102"/>
      <c r="D8" s="103">
        <v>2030</v>
      </c>
      <c r="E8" s="3" t="s">
        <v>70</v>
      </c>
      <c r="F8" s="3"/>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row>
    <row r="9" spans="2:96" ht="15" customHeight="1" x14ac:dyDescent="0.35">
      <c r="B9" s="102" t="s">
        <v>71</v>
      </c>
      <c r="C9" s="102"/>
      <c r="D9" s="103" t="s">
        <v>72</v>
      </c>
      <c r="E9" s="3" t="s">
        <v>73</v>
      </c>
      <c r="F9" s="3"/>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row>
    <row r="10" spans="2:96" ht="15" customHeight="1" x14ac:dyDescent="0.35">
      <c r="B10" s="102" t="s">
        <v>74</v>
      </c>
      <c r="C10" s="102"/>
      <c r="D10" s="103">
        <v>2025</v>
      </c>
      <c r="E10" s="3" t="s">
        <v>75</v>
      </c>
      <c r="F10" s="3"/>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row>
    <row r="11" spans="2:96" ht="15" customHeight="1" x14ac:dyDescent="0.35">
      <c r="B11" s="102" t="s">
        <v>76</v>
      </c>
      <c r="C11" s="102"/>
      <c r="D11" s="103">
        <v>2023</v>
      </c>
      <c r="E11" s="3" t="s">
        <v>77</v>
      </c>
      <c r="F11" s="3"/>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row>
    <row r="12" spans="2:96" ht="15" customHeight="1" x14ac:dyDescent="0.35">
      <c r="B12" s="102" t="s">
        <v>78</v>
      </c>
      <c r="C12" s="102"/>
      <c r="D12" s="103">
        <v>60</v>
      </c>
      <c r="E12" s="3" t="s">
        <v>79</v>
      </c>
      <c r="F12" s="3"/>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row>
    <row r="13" spans="2:96" ht="15" customHeight="1" x14ac:dyDescent="0.35">
      <c r="B13" s="102" t="s">
        <v>80</v>
      </c>
      <c r="C13" s="102"/>
      <c r="D13" s="103" t="s">
        <v>81</v>
      </c>
      <c r="E13" s="3"/>
      <c r="F13" s="3"/>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row>
    <row r="14" spans="2:96" ht="15" customHeight="1" x14ac:dyDescent="0.35">
      <c r="B14" s="102" t="s">
        <v>82</v>
      </c>
      <c r="C14" s="102"/>
      <c r="D14" s="103">
        <v>2.2999999999999998</v>
      </c>
      <c r="E14" s="3" t="s">
        <v>83</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row>
    <row r="15" spans="2:96" ht="15" customHeight="1" x14ac:dyDescent="0.35">
      <c r="B15" s="102"/>
      <c r="C15" s="102"/>
      <c r="D15" s="104"/>
      <c r="E15" s="3"/>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row>
    <row r="16" spans="2:96" s="5" customFormat="1" ht="15.5" x14ac:dyDescent="0.35">
      <c r="B16" s="5" t="s">
        <v>84</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35"/>
    <row r="18" spans="2:96" s="6" customFormat="1" ht="15" customHeight="1" x14ac:dyDescent="0.35">
      <c r="B18" s="105" t="s">
        <v>85</v>
      </c>
      <c r="D18" s="103" t="s">
        <v>86</v>
      </c>
      <c r="E18" s="48" t="s">
        <v>87</v>
      </c>
    </row>
    <row r="19" spans="2:96" s="6" customFormat="1" ht="15" customHeight="1" x14ac:dyDescent="0.35">
      <c r="B19" s="48" t="s">
        <v>88</v>
      </c>
      <c r="D19" s="106"/>
      <c r="E19" s="48"/>
    </row>
    <row r="20" spans="2:96" s="6" customFormat="1" ht="15" customHeight="1" x14ac:dyDescent="0.35">
      <c r="B20" s="102" t="s">
        <v>89</v>
      </c>
      <c r="D20" s="103" t="s">
        <v>90</v>
      </c>
      <c r="E20" s="48" t="s">
        <v>91</v>
      </c>
    </row>
    <row r="21" spans="2:96" s="6" customFormat="1" ht="15" customHeight="1" x14ac:dyDescent="0.35">
      <c r="B21" s="48" t="s">
        <v>92</v>
      </c>
    </row>
    <row r="22" spans="2:96" s="6" customFormat="1" ht="15" customHeight="1" x14ac:dyDescent="0.35"/>
    <row r="23" spans="2:96" s="5" customFormat="1" ht="15.5" x14ac:dyDescent="0.35">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35"/>
    <row r="25" spans="2:96" s="17" customFormat="1" ht="15" customHeight="1" x14ac:dyDescent="0.35">
      <c r="B25" s="107" t="s">
        <v>93</v>
      </c>
      <c r="C25" s="69" t="s">
        <v>94</v>
      </c>
      <c r="D25" s="70" t="s">
        <v>95</v>
      </c>
      <c r="E25" s="108" t="s">
        <v>96</v>
      </c>
      <c r="F25" s="108" t="s">
        <v>97</v>
      </c>
      <c r="G25" s="108" t="s">
        <v>98</v>
      </c>
      <c r="H25" s="108" t="s">
        <v>99</v>
      </c>
      <c r="I25" s="108" t="s">
        <v>100</v>
      </c>
      <c r="J25" s="108" t="s">
        <v>101</v>
      </c>
      <c r="K25" s="108" t="s">
        <v>102</v>
      </c>
      <c r="L25" s="108" t="s">
        <v>103</v>
      </c>
      <c r="M25" s="108" t="s">
        <v>104</v>
      </c>
      <c r="N25" s="108" t="s">
        <v>105</v>
      </c>
      <c r="O25" s="108" t="s">
        <v>106</v>
      </c>
      <c r="P25" s="108" t="s">
        <v>107</v>
      </c>
      <c r="Q25" s="108" t="s">
        <v>108</v>
      </c>
      <c r="R25" s="108" t="s">
        <v>109</v>
      </c>
      <c r="S25" s="108" t="s">
        <v>110</v>
      </c>
      <c r="T25" s="108" t="s">
        <v>111</v>
      </c>
      <c r="U25" s="108" t="s">
        <v>112</v>
      </c>
      <c r="V25" s="108" t="s">
        <v>113</v>
      </c>
      <c r="W25" s="108" t="s">
        <v>114</v>
      </c>
      <c r="X25" s="108" t="s">
        <v>115</v>
      </c>
      <c r="Y25" s="108" t="s">
        <v>116</v>
      </c>
      <c r="Z25" s="108" t="s">
        <v>117</v>
      </c>
      <c r="AA25" s="108" t="s">
        <v>118</v>
      </c>
      <c r="AB25" s="108" t="s">
        <v>119</v>
      </c>
      <c r="AC25" s="108" t="s">
        <v>120</v>
      </c>
      <c r="AD25" s="108" t="s">
        <v>121</v>
      </c>
      <c r="AE25" s="108" t="s">
        <v>122</v>
      </c>
      <c r="AF25" s="108" t="s">
        <v>123</v>
      </c>
      <c r="AG25" s="108" t="s">
        <v>124</v>
      </c>
      <c r="AH25" s="108" t="s">
        <v>125</v>
      </c>
      <c r="AI25" s="108" t="s">
        <v>126</v>
      </c>
      <c r="AJ25" s="108" t="s">
        <v>127</v>
      </c>
      <c r="AK25" s="108" t="s">
        <v>128</v>
      </c>
      <c r="AL25" s="108" t="s">
        <v>129</v>
      </c>
      <c r="AM25" s="108" t="s">
        <v>130</v>
      </c>
      <c r="AN25" s="108" t="s">
        <v>131</v>
      </c>
      <c r="AO25" s="108" t="s">
        <v>132</v>
      </c>
    </row>
    <row r="26" spans="2:96" s="17" customFormat="1" ht="15" customHeight="1" x14ac:dyDescent="0.35">
      <c r="B26" s="67" t="s">
        <v>133</v>
      </c>
      <c r="C26" s="71"/>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0"/>
      <c r="AO26" s="110"/>
    </row>
    <row r="27" spans="2:96" s="17" customFormat="1" ht="15" customHeight="1" x14ac:dyDescent="0.35">
      <c r="B27" s="68" t="s">
        <v>95</v>
      </c>
      <c r="C27" s="72"/>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6"/>
    </row>
    <row r="28" spans="2:96" s="17" customFormat="1" ht="15" customHeight="1" x14ac:dyDescent="0.35">
      <c r="B28" s="112" t="s">
        <v>96</v>
      </c>
      <c r="C28" s="72"/>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6"/>
    </row>
    <row r="29" spans="2:96" s="17" customFormat="1" ht="15" customHeight="1" x14ac:dyDescent="0.35">
      <c r="B29" s="112" t="s">
        <v>97</v>
      </c>
      <c r="C29" s="72"/>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6"/>
    </row>
    <row r="30" spans="2:96" s="17" customFormat="1" ht="15" customHeight="1" x14ac:dyDescent="0.35">
      <c r="B30" s="112" t="s">
        <v>98</v>
      </c>
      <c r="C30" s="72"/>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6"/>
    </row>
    <row r="31" spans="2:96" s="17" customFormat="1" ht="15" customHeight="1" x14ac:dyDescent="0.35">
      <c r="B31" s="112" t="s">
        <v>99</v>
      </c>
      <c r="C31" s="72"/>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6"/>
    </row>
    <row r="32" spans="2:96" s="17" customFormat="1" ht="15" customHeight="1" x14ac:dyDescent="0.35">
      <c r="B32" s="112" t="s">
        <v>100</v>
      </c>
      <c r="C32" s="72"/>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6"/>
    </row>
    <row r="33" spans="2:97" s="17" customFormat="1" ht="15" customHeight="1" x14ac:dyDescent="0.35">
      <c r="B33" s="112" t="s">
        <v>101</v>
      </c>
      <c r="C33" s="72"/>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6"/>
    </row>
    <row r="34" spans="2:97" s="17" customFormat="1" ht="15" customHeight="1" x14ac:dyDescent="0.35">
      <c r="B34" s="112" t="s">
        <v>102</v>
      </c>
      <c r="C34" s="72"/>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6"/>
    </row>
    <row r="35" spans="2:97" ht="15" customHeight="1" x14ac:dyDescent="0.35">
      <c r="B35" s="112" t="s">
        <v>103</v>
      </c>
      <c r="C35" s="7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6"/>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row>
    <row r="36" spans="2:97" ht="15" customHeight="1" x14ac:dyDescent="0.35">
      <c r="B36" s="112" t="s">
        <v>104</v>
      </c>
      <c r="C36" s="72"/>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6"/>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row>
    <row r="37" spans="2:97" ht="15" customHeight="1" x14ac:dyDescent="0.35">
      <c r="B37" s="112" t="s">
        <v>105</v>
      </c>
      <c r="C37" s="72"/>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6"/>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2:97" ht="15" customHeight="1" x14ac:dyDescent="0.35">
      <c r="B38" s="112" t="s">
        <v>106</v>
      </c>
      <c r="C38" s="72"/>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6"/>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3"/>
    </row>
    <row r="39" spans="2:97" ht="15" customHeight="1" x14ac:dyDescent="0.35">
      <c r="B39" s="112" t="s">
        <v>107</v>
      </c>
      <c r="C39" s="72"/>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6"/>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3"/>
      <c r="CS39" s="102"/>
    </row>
    <row r="40" spans="2:97" ht="15" customHeight="1" x14ac:dyDescent="0.35">
      <c r="B40" s="112" t="s">
        <v>108</v>
      </c>
      <c r="C40" s="72"/>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6"/>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3"/>
      <c r="CS40" s="102"/>
    </row>
    <row r="41" spans="2:97" s="66" customFormat="1" x14ac:dyDescent="0.35">
      <c r="B41" s="112" t="s">
        <v>109</v>
      </c>
      <c r="C41" s="72"/>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6"/>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row>
    <row r="42" spans="2:97" s="66" customFormat="1" x14ac:dyDescent="0.35">
      <c r="B42" s="112" t="s">
        <v>110</v>
      </c>
      <c r="C42" s="72"/>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6"/>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row>
    <row r="43" spans="2:97" s="66" customFormat="1" x14ac:dyDescent="0.35">
      <c r="B43" s="112" t="s">
        <v>111</v>
      </c>
      <c r="C43" s="72"/>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6"/>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row>
    <row r="44" spans="2:97" s="66" customFormat="1" x14ac:dyDescent="0.35">
      <c r="B44" s="112" t="s">
        <v>112</v>
      </c>
      <c r="C44" s="72"/>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6"/>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row>
    <row r="45" spans="2:97" s="66" customFormat="1" x14ac:dyDescent="0.35">
      <c r="B45" s="112" t="s">
        <v>113</v>
      </c>
      <c r="C45" s="72"/>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6"/>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row>
    <row r="46" spans="2:97" s="66" customFormat="1" x14ac:dyDescent="0.35">
      <c r="B46" s="112" t="s">
        <v>114</v>
      </c>
      <c r="C46" s="72"/>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6"/>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row>
    <row r="47" spans="2:97" s="66" customFormat="1" x14ac:dyDescent="0.35">
      <c r="B47" s="112" t="s">
        <v>115</v>
      </c>
      <c r="C47" s="72"/>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6"/>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row>
    <row r="48" spans="2:97" s="66" customFormat="1" x14ac:dyDescent="0.35">
      <c r="B48" s="112" t="s">
        <v>116</v>
      </c>
      <c r="C48" s="72"/>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6"/>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row>
    <row r="49" spans="2:42" s="66" customFormat="1" x14ac:dyDescent="0.35">
      <c r="B49" s="112" t="s">
        <v>117</v>
      </c>
      <c r="C49" s="72"/>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6"/>
    </row>
    <row r="50" spans="2:42" s="66" customFormat="1" x14ac:dyDescent="0.35">
      <c r="B50" s="112" t="s">
        <v>118</v>
      </c>
      <c r="C50" s="72"/>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6"/>
    </row>
    <row r="51" spans="2:42" s="66" customFormat="1" x14ac:dyDescent="0.35">
      <c r="B51" s="112" t="s">
        <v>119</v>
      </c>
      <c r="C51" s="72"/>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6"/>
    </row>
    <row r="52" spans="2:42" s="66" customFormat="1" x14ac:dyDescent="0.35">
      <c r="B52" s="112" t="s">
        <v>120</v>
      </c>
      <c r="C52" s="72"/>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6"/>
    </row>
    <row r="53" spans="2:42" s="66" customFormat="1" x14ac:dyDescent="0.35">
      <c r="B53" s="112" t="s">
        <v>121</v>
      </c>
      <c r="C53" s="72"/>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6"/>
    </row>
    <row r="54" spans="2:42" s="66" customFormat="1" x14ac:dyDescent="0.35">
      <c r="B54" s="112" t="s">
        <v>122</v>
      </c>
      <c r="C54" s="72"/>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6"/>
    </row>
    <row r="55" spans="2:42" s="66" customFormat="1" x14ac:dyDescent="0.35">
      <c r="B55" s="112" t="s">
        <v>123</v>
      </c>
      <c r="C55" s="72"/>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6"/>
    </row>
    <row r="56" spans="2:42" s="66" customFormat="1" x14ac:dyDescent="0.35">
      <c r="B56" s="112" t="s">
        <v>124</v>
      </c>
      <c r="C56" s="72"/>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6"/>
    </row>
    <row r="57" spans="2:42" x14ac:dyDescent="0.35">
      <c r="B57" s="112" t="s">
        <v>125</v>
      </c>
      <c r="C57" s="72"/>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6"/>
    </row>
    <row r="58" spans="2:42" x14ac:dyDescent="0.35">
      <c r="B58" s="112" t="s">
        <v>126</v>
      </c>
      <c r="C58" s="72"/>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6"/>
    </row>
    <row r="59" spans="2:42" x14ac:dyDescent="0.35">
      <c r="B59" s="112" t="s">
        <v>127</v>
      </c>
      <c r="C59" s="72"/>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6"/>
    </row>
    <row r="60" spans="2:42" x14ac:dyDescent="0.35">
      <c r="B60" s="112" t="s">
        <v>128</v>
      </c>
      <c r="C60" s="72"/>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6"/>
    </row>
    <row r="61" spans="2:42" s="66" customFormat="1" x14ac:dyDescent="0.35">
      <c r="B61" s="112" t="s">
        <v>129</v>
      </c>
      <c r="C61" s="72"/>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6"/>
    </row>
    <row r="62" spans="2:42" s="66" customFormat="1" x14ac:dyDescent="0.35">
      <c r="B62" s="112" t="s">
        <v>130</v>
      </c>
      <c r="C62" s="72"/>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6"/>
    </row>
    <row r="63" spans="2:42" s="66" customFormat="1" x14ac:dyDescent="0.35">
      <c r="B63" s="112" t="s">
        <v>131</v>
      </c>
      <c r="C63" s="72"/>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6"/>
    </row>
    <row r="64" spans="2:42" s="66" customFormat="1" x14ac:dyDescent="0.35">
      <c r="B64" s="112" t="s">
        <v>132</v>
      </c>
      <c r="C64" s="72"/>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6"/>
    </row>
    <row r="65" spans="2:97" s="66" customFormat="1" x14ac:dyDescent="0.35">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row>
    <row r="66" spans="2:97" ht="15" customHeight="1" x14ac:dyDescent="0.35">
      <c r="B66" s="107" t="s">
        <v>134</v>
      </c>
      <c r="C66" s="69" t="s">
        <v>94</v>
      </c>
      <c r="D66" s="70" t="s">
        <v>95</v>
      </c>
      <c r="E66" s="108" t="s">
        <v>96</v>
      </c>
      <c r="F66" s="108" t="s">
        <v>97</v>
      </c>
      <c r="G66" s="108" t="s">
        <v>98</v>
      </c>
      <c r="H66" s="108" t="s">
        <v>99</v>
      </c>
      <c r="I66" s="108" t="s">
        <v>100</v>
      </c>
      <c r="J66" s="108" t="s">
        <v>101</v>
      </c>
      <c r="K66" s="108" t="s">
        <v>102</v>
      </c>
      <c r="L66" s="108" t="s">
        <v>103</v>
      </c>
      <c r="M66" s="108" t="s">
        <v>104</v>
      </c>
      <c r="N66" s="108" t="s">
        <v>105</v>
      </c>
      <c r="O66" s="108" t="s">
        <v>106</v>
      </c>
      <c r="P66" s="108" t="s">
        <v>107</v>
      </c>
      <c r="Q66" s="108" t="s">
        <v>108</v>
      </c>
      <c r="R66" s="108" t="s">
        <v>109</v>
      </c>
      <c r="S66" s="108" t="s">
        <v>110</v>
      </c>
      <c r="T66" s="108" t="s">
        <v>111</v>
      </c>
      <c r="U66" s="108" t="s">
        <v>112</v>
      </c>
      <c r="V66" s="108" t="s">
        <v>113</v>
      </c>
      <c r="W66" s="108" t="s">
        <v>114</v>
      </c>
      <c r="X66" s="108" t="s">
        <v>115</v>
      </c>
      <c r="Y66" s="108" t="s">
        <v>116</v>
      </c>
      <c r="Z66" s="108" t="s">
        <v>117</v>
      </c>
      <c r="AA66" s="108" t="s">
        <v>118</v>
      </c>
      <c r="AB66" s="108" t="s">
        <v>119</v>
      </c>
      <c r="AC66" s="108" t="s">
        <v>120</v>
      </c>
      <c r="AD66" s="108" t="s">
        <v>121</v>
      </c>
      <c r="AE66" s="108" t="s">
        <v>122</v>
      </c>
      <c r="AF66" s="108" t="s">
        <v>123</v>
      </c>
      <c r="AG66" s="108" t="s">
        <v>124</v>
      </c>
      <c r="AH66" s="108" t="s">
        <v>125</v>
      </c>
      <c r="AI66" s="108" t="s">
        <v>126</v>
      </c>
      <c r="AJ66" s="108" t="s">
        <v>127</v>
      </c>
      <c r="AK66" s="108" t="s">
        <v>128</v>
      </c>
      <c r="AL66" s="108" t="s">
        <v>129</v>
      </c>
      <c r="AM66" s="108" t="s">
        <v>130</v>
      </c>
      <c r="AN66" s="108" t="s">
        <v>131</v>
      </c>
      <c r="AO66" s="108" t="s">
        <v>132</v>
      </c>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3"/>
    </row>
    <row r="67" spans="2:97" ht="15" customHeight="1" x14ac:dyDescent="0.35">
      <c r="B67" s="49" t="s">
        <v>133</v>
      </c>
      <c r="C67" s="71"/>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6"/>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3"/>
    </row>
    <row r="68" spans="2:97" ht="15" customHeight="1" x14ac:dyDescent="0.35">
      <c r="B68" s="68" t="s">
        <v>95</v>
      </c>
      <c r="C68" s="72"/>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6"/>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3"/>
    </row>
    <row r="69" spans="2:97" ht="15" customHeight="1" x14ac:dyDescent="0.35">
      <c r="B69" s="112" t="s">
        <v>96</v>
      </c>
      <c r="C69" s="72"/>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6"/>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3"/>
    </row>
    <row r="70" spans="2:97" ht="15" customHeight="1" x14ac:dyDescent="0.35">
      <c r="B70" s="112" t="s">
        <v>97</v>
      </c>
      <c r="C70" s="72"/>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6"/>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3"/>
    </row>
    <row r="71" spans="2:97" ht="15" customHeight="1" x14ac:dyDescent="0.35">
      <c r="B71" s="112" t="s">
        <v>98</v>
      </c>
      <c r="C71" s="72"/>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6"/>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3"/>
    </row>
    <row r="72" spans="2:97" ht="15" customHeight="1" x14ac:dyDescent="0.35">
      <c r="B72" s="112" t="s">
        <v>99</v>
      </c>
      <c r="C72" s="72"/>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6"/>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3"/>
    </row>
    <row r="73" spans="2:97" ht="15" customHeight="1" x14ac:dyDescent="0.35">
      <c r="B73" s="112" t="s">
        <v>100</v>
      </c>
      <c r="C73" s="72"/>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6"/>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3"/>
    </row>
    <row r="74" spans="2:97" ht="15" customHeight="1" x14ac:dyDescent="0.35">
      <c r="B74" s="112" t="s">
        <v>101</v>
      </c>
      <c r="C74" s="72"/>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6"/>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3"/>
    </row>
    <row r="75" spans="2:97" ht="15" customHeight="1" x14ac:dyDescent="0.35">
      <c r="B75" s="112" t="s">
        <v>102</v>
      </c>
      <c r="C75" s="72"/>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6"/>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3"/>
    </row>
    <row r="76" spans="2:97" ht="15" customHeight="1" x14ac:dyDescent="0.35">
      <c r="B76" s="112" t="s">
        <v>103</v>
      </c>
      <c r="C76" s="72"/>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6"/>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3"/>
    </row>
    <row r="77" spans="2:97" ht="15" customHeight="1" x14ac:dyDescent="0.35">
      <c r="B77" s="112" t="s">
        <v>104</v>
      </c>
      <c r="C77" s="72"/>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6"/>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3"/>
    </row>
    <row r="78" spans="2:97" ht="15" customHeight="1" x14ac:dyDescent="0.35">
      <c r="B78" s="112" t="s">
        <v>105</v>
      </c>
      <c r="C78" s="72"/>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6"/>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3"/>
    </row>
    <row r="79" spans="2:97" ht="15" customHeight="1" x14ac:dyDescent="0.35">
      <c r="B79" s="112" t="s">
        <v>106</v>
      </c>
      <c r="C79" s="72"/>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6"/>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3"/>
    </row>
    <row r="80" spans="2:97" ht="15" customHeight="1" x14ac:dyDescent="0.35">
      <c r="B80" s="112" t="s">
        <v>107</v>
      </c>
      <c r="C80" s="72"/>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6"/>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3"/>
    </row>
    <row r="81" spans="2:97" ht="15" customHeight="1" x14ac:dyDescent="0.35">
      <c r="B81" s="112" t="s">
        <v>108</v>
      </c>
      <c r="C81" s="72"/>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3"/>
    </row>
    <row r="82" spans="2:97" s="66" customFormat="1" x14ac:dyDescent="0.35">
      <c r="B82" s="112" t="s">
        <v>109</v>
      </c>
      <c r="C82" s="72"/>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2:97" s="66" customFormat="1" x14ac:dyDescent="0.35">
      <c r="B83" s="112" t="s">
        <v>110</v>
      </c>
      <c r="C83" s="72"/>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row>
    <row r="84" spans="2:97" s="66" customFormat="1" x14ac:dyDescent="0.35">
      <c r="B84" s="112" t="s">
        <v>111</v>
      </c>
      <c r="C84" s="72"/>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row>
    <row r="85" spans="2:97" s="66" customFormat="1" x14ac:dyDescent="0.35">
      <c r="B85" s="112" t="s">
        <v>112</v>
      </c>
      <c r="C85" s="72"/>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row>
    <row r="86" spans="2:97" s="66" customFormat="1" x14ac:dyDescent="0.35">
      <c r="B86" s="112" t="s">
        <v>113</v>
      </c>
      <c r="C86" s="72"/>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row>
    <row r="87" spans="2:97" s="66" customFormat="1" x14ac:dyDescent="0.35">
      <c r="B87" s="112" t="s">
        <v>114</v>
      </c>
      <c r="C87" s="72"/>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row>
    <row r="88" spans="2:97" x14ac:dyDescent="0.35">
      <c r="B88" s="112" t="s">
        <v>115</v>
      </c>
      <c r="C88" s="72"/>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row>
    <row r="89" spans="2:97" x14ac:dyDescent="0.35">
      <c r="B89" s="112" t="s">
        <v>116</v>
      </c>
      <c r="C89" s="72"/>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row>
    <row r="90" spans="2:97" x14ac:dyDescent="0.35">
      <c r="B90" s="112" t="s">
        <v>117</v>
      </c>
      <c r="C90" s="72"/>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2:97" x14ac:dyDescent="0.35">
      <c r="B91" s="112" t="s">
        <v>118</v>
      </c>
      <c r="C91" s="72"/>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row>
    <row r="92" spans="2:97" x14ac:dyDescent="0.35">
      <c r="B92" s="112" t="s">
        <v>119</v>
      </c>
      <c r="C92" s="72"/>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row>
    <row r="93" spans="2:97" x14ac:dyDescent="0.35">
      <c r="B93" s="112" t="s">
        <v>120</v>
      </c>
      <c r="C93" s="72"/>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row>
    <row r="94" spans="2:97" x14ac:dyDescent="0.35">
      <c r="B94" s="112" t="s">
        <v>121</v>
      </c>
      <c r="C94" s="72"/>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row>
    <row r="95" spans="2:97" x14ac:dyDescent="0.35">
      <c r="B95" s="112" t="s">
        <v>122</v>
      </c>
      <c r="C95" s="72"/>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row>
    <row r="96" spans="2:97" x14ac:dyDescent="0.35">
      <c r="B96" s="112" t="s">
        <v>123</v>
      </c>
      <c r="C96" s="72"/>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row>
    <row r="97" spans="2:97" x14ac:dyDescent="0.35">
      <c r="B97" s="112" t="s">
        <v>124</v>
      </c>
      <c r="C97" s="72"/>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row>
    <row r="98" spans="2:97" x14ac:dyDescent="0.35">
      <c r="B98" s="112" t="s">
        <v>125</v>
      </c>
      <c r="C98" s="72"/>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row>
    <row r="99" spans="2:97" x14ac:dyDescent="0.35">
      <c r="B99" s="112" t="s">
        <v>126</v>
      </c>
      <c r="C99" s="72"/>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row>
    <row r="100" spans="2:97" x14ac:dyDescent="0.35">
      <c r="B100" s="112" t="s">
        <v>127</v>
      </c>
      <c r="C100" s="72"/>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row>
    <row r="101" spans="2:97" x14ac:dyDescent="0.35">
      <c r="B101" s="112" t="s">
        <v>128</v>
      </c>
      <c r="C101" s="72"/>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row>
    <row r="102" spans="2:97" x14ac:dyDescent="0.35">
      <c r="B102" s="112" t="s">
        <v>129</v>
      </c>
      <c r="C102" s="72"/>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row>
    <row r="103" spans="2:97" x14ac:dyDescent="0.35">
      <c r="B103" s="112" t="s">
        <v>130</v>
      </c>
      <c r="C103" s="72"/>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row>
    <row r="104" spans="2:97" x14ac:dyDescent="0.35">
      <c r="B104" s="112" t="s">
        <v>131</v>
      </c>
      <c r="C104" s="72"/>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row>
    <row r="105" spans="2:97" s="66" customFormat="1" x14ac:dyDescent="0.35">
      <c r="B105" s="112" t="s">
        <v>132</v>
      </c>
      <c r="C105" s="72"/>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6"/>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row>
    <row r="106" spans="2:97" x14ac:dyDescent="0.35">
      <c r="B106" s="114"/>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row>
    <row r="107" spans="2:97" s="5" customFormat="1" ht="15.5" x14ac:dyDescent="0.35">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35">
      <c r="B108" s="102"/>
      <c r="C108" s="102"/>
      <c r="D108" s="102"/>
      <c r="E108" s="3"/>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3"/>
    </row>
    <row r="109" spans="2:97" ht="15" customHeight="1" x14ac:dyDescent="0.35">
      <c r="B109" s="107" t="s">
        <v>93</v>
      </c>
      <c r="C109" s="69" t="s">
        <v>94</v>
      </c>
      <c r="D109" s="70" t="s">
        <v>95</v>
      </c>
      <c r="E109" s="108" t="s">
        <v>96</v>
      </c>
      <c r="F109" s="108" t="s">
        <v>97</v>
      </c>
      <c r="G109" s="108" t="s">
        <v>98</v>
      </c>
      <c r="H109" s="108" t="s">
        <v>99</v>
      </c>
      <c r="I109" s="108" t="s">
        <v>100</v>
      </c>
      <c r="J109" s="108" t="s">
        <v>101</v>
      </c>
      <c r="K109" s="108" t="s">
        <v>102</v>
      </c>
      <c r="L109" s="108" t="s">
        <v>103</v>
      </c>
      <c r="M109" s="108" t="s">
        <v>104</v>
      </c>
      <c r="N109" s="108" t="s">
        <v>105</v>
      </c>
      <c r="O109" s="108" t="s">
        <v>106</v>
      </c>
      <c r="P109" s="108" t="s">
        <v>107</v>
      </c>
      <c r="Q109" s="108" t="s">
        <v>108</v>
      </c>
      <c r="R109" s="108" t="s">
        <v>109</v>
      </c>
      <c r="S109" s="108" t="s">
        <v>110</v>
      </c>
      <c r="T109" s="108" t="s">
        <v>111</v>
      </c>
      <c r="U109" s="108" t="s">
        <v>112</v>
      </c>
      <c r="V109" s="108" t="s">
        <v>113</v>
      </c>
      <c r="W109" s="108" t="s">
        <v>114</v>
      </c>
      <c r="X109" s="108" t="s">
        <v>115</v>
      </c>
      <c r="Y109" s="108" t="s">
        <v>116</v>
      </c>
      <c r="Z109" s="108" t="s">
        <v>117</v>
      </c>
      <c r="AA109" s="108" t="s">
        <v>118</v>
      </c>
      <c r="AB109" s="108" t="s">
        <v>119</v>
      </c>
      <c r="AC109" s="108" t="s">
        <v>120</v>
      </c>
      <c r="AD109" s="108" t="s">
        <v>121</v>
      </c>
      <c r="AE109" s="108" t="s">
        <v>122</v>
      </c>
      <c r="AF109" s="108" t="s">
        <v>123</v>
      </c>
      <c r="AG109" s="108" t="s">
        <v>124</v>
      </c>
      <c r="AH109" s="108" t="s">
        <v>125</v>
      </c>
      <c r="AI109" s="108" t="s">
        <v>126</v>
      </c>
      <c r="AJ109" s="108" t="s">
        <v>127</v>
      </c>
      <c r="AK109" s="108" t="s">
        <v>128</v>
      </c>
      <c r="AL109" s="108" t="s">
        <v>129</v>
      </c>
      <c r="AM109" s="108" t="s">
        <v>130</v>
      </c>
      <c r="AN109" s="108" t="s">
        <v>131</v>
      </c>
      <c r="AO109" s="108" t="s">
        <v>132</v>
      </c>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3"/>
    </row>
    <row r="110" spans="2:97" ht="15" customHeight="1" x14ac:dyDescent="0.35">
      <c r="B110" s="67" t="s">
        <v>133</v>
      </c>
      <c r="C110" s="71"/>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0"/>
      <c r="AO110" s="110"/>
      <c r="AP110" s="16"/>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3"/>
    </row>
    <row r="111" spans="2:97" ht="15" customHeight="1" x14ac:dyDescent="0.35">
      <c r="B111" s="68" t="s">
        <v>95</v>
      </c>
      <c r="C111" s="72"/>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6"/>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3"/>
    </row>
    <row r="112" spans="2:97" ht="15" customHeight="1" x14ac:dyDescent="0.35">
      <c r="B112" s="112" t="s">
        <v>96</v>
      </c>
      <c r="C112" s="72"/>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6"/>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3"/>
    </row>
    <row r="113" spans="1:97" ht="15" customHeight="1" x14ac:dyDescent="0.35">
      <c r="A113" s="102"/>
      <c r="B113" s="112" t="s">
        <v>97</v>
      </c>
      <c r="C113" s="72"/>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6"/>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3"/>
    </row>
    <row r="114" spans="1:97" ht="15" customHeight="1" x14ac:dyDescent="0.35">
      <c r="A114" s="102"/>
      <c r="B114" s="112" t="s">
        <v>98</v>
      </c>
      <c r="C114" s="72"/>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6"/>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3"/>
    </row>
    <row r="115" spans="1:97" ht="15" customHeight="1" x14ac:dyDescent="0.35">
      <c r="A115" s="102"/>
      <c r="B115" s="112" t="s">
        <v>99</v>
      </c>
      <c r="C115" s="72"/>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6"/>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3"/>
    </row>
    <row r="116" spans="1:97" s="50" customFormat="1" ht="15" customHeight="1" x14ac:dyDescent="0.35">
      <c r="B116" s="112" t="s">
        <v>100</v>
      </c>
      <c r="C116" s="72"/>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6"/>
    </row>
    <row r="117" spans="1:97" s="50" customFormat="1" ht="15" customHeight="1" x14ac:dyDescent="0.35">
      <c r="A117" s="51"/>
      <c r="B117" s="112" t="s">
        <v>101</v>
      </c>
      <c r="C117" s="72"/>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6"/>
    </row>
    <row r="118" spans="1:97" s="50" customFormat="1" ht="15" customHeight="1" x14ac:dyDescent="0.35">
      <c r="A118" s="52"/>
      <c r="B118" s="112" t="s">
        <v>102</v>
      </c>
      <c r="C118" s="72"/>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6"/>
    </row>
    <row r="119" spans="1:97" ht="15" customHeight="1" x14ac:dyDescent="0.35">
      <c r="A119" s="102"/>
      <c r="B119" s="112" t="s">
        <v>103</v>
      </c>
      <c r="C119" s="72"/>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6"/>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7" ht="15" customHeight="1" x14ac:dyDescent="0.35">
      <c r="A120" s="102"/>
      <c r="B120" s="112" t="s">
        <v>104</v>
      </c>
      <c r="C120" s="72"/>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6"/>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row>
    <row r="121" spans="1:97" ht="15" customHeight="1" x14ac:dyDescent="0.35">
      <c r="A121" s="102"/>
      <c r="B121" s="112" t="s">
        <v>105</v>
      </c>
      <c r="C121" s="72"/>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6"/>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row>
    <row r="122" spans="1:97" ht="15" customHeight="1" x14ac:dyDescent="0.35">
      <c r="A122" s="102"/>
      <c r="B122" s="112" t="s">
        <v>106</v>
      </c>
      <c r="C122" s="72"/>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6"/>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row>
    <row r="123" spans="1:97" s="6" customFormat="1" ht="15" customHeight="1" x14ac:dyDescent="0.35">
      <c r="B123" s="112" t="s">
        <v>107</v>
      </c>
      <c r="C123" s="72"/>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6"/>
    </row>
    <row r="124" spans="1:97" s="6" customFormat="1" ht="15" customHeight="1" x14ac:dyDescent="0.35">
      <c r="B124" s="112" t="s">
        <v>108</v>
      </c>
      <c r="C124" s="72"/>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97" s="66" customFormat="1" x14ac:dyDescent="0.35">
      <c r="A125" s="113"/>
      <c r="B125" s="112" t="s">
        <v>109</v>
      </c>
      <c r="C125" s="72"/>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row>
    <row r="126" spans="1:97" s="66" customFormat="1" x14ac:dyDescent="0.35">
      <c r="A126" s="113"/>
      <c r="B126" s="112" t="s">
        <v>110</v>
      </c>
      <c r="C126" s="72"/>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row>
    <row r="127" spans="1:97" s="66" customFormat="1" x14ac:dyDescent="0.35">
      <c r="A127" s="113"/>
      <c r="B127" s="112" t="s">
        <v>111</v>
      </c>
      <c r="C127" s="72"/>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row>
    <row r="128" spans="1:97" s="66" customFormat="1" x14ac:dyDescent="0.35">
      <c r="A128" s="113"/>
      <c r="B128" s="112" t="s">
        <v>112</v>
      </c>
      <c r="C128" s="72"/>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row>
    <row r="129" spans="2:41" s="66" customFormat="1" x14ac:dyDescent="0.35">
      <c r="B129" s="112" t="s">
        <v>113</v>
      </c>
      <c r="C129" s="72"/>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2:41" s="66" customFormat="1" x14ac:dyDescent="0.35">
      <c r="B130" s="112" t="s">
        <v>114</v>
      </c>
      <c r="C130" s="72"/>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2:41" s="66" customFormat="1" x14ac:dyDescent="0.35">
      <c r="B131" s="112" t="s">
        <v>115</v>
      </c>
      <c r="C131" s="72"/>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2:41" s="66" customFormat="1" x14ac:dyDescent="0.35">
      <c r="B132" s="112" t="s">
        <v>116</v>
      </c>
      <c r="C132" s="72"/>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2:41" s="66" customFormat="1" x14ac:dyDescent="0.35">
      <c r="B133" s="112" t="s">
        <v>117</v>
      </c>
      <c r="C133" s="72"/>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2:41" s="66" customFormat="1" x14ac:dyDescent="0.35">
      <c r="B134" s="112" t="s">
        <v>118</v>
      </c>
      <c r="C134" s="72"/>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2:41" s="66" customFormat="1" x14ac:dyDescent="0.35">
      <c r="B135" s="112" t="s">
        <v>119</v>
      </c>
      <c r="C135" s="72"/>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2:41" s="66" customFormat="1" x14ac:dyDescent="0.35">
      <c r="B136" s="112" t="s">
        <v>120</v>
      </c>
      <c r="C136" s="72"/>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2:41" s="66" customFormat="1" x14ac:dyDescent="0.35">
      <c r="B137" s="112" t="s">
        <v>121</v>
      </c>
      <c r="C137" s="72"/>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2:41" s="66" customFormat="1" x14ac:dyDescent="0.35">
      <c r="B138" s="112" t="s">
        <v>122</v>
      </c>
      <c r="C138" s="72"/>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2:41" x14ac:dyDescent="0.35">
      <c r="B139" s="112" t="s">
        <v>123</v>
      </c>
      <c r="C139" s="72"/>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2:41" x14ac:dyDescent="0.35">
      <c r="B140" s="112" t="s">
        <v>124</v>
      </c>
      <c r="C140" s="72"/>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2:41" x14ac:dyDescent="0.35">
      <c r="B141" s="112" t="s">
        <v>125</v>
      </c>
      <c r="C141" s="72"/>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2:41" x14ac:dyDescent="0.35">
      <c r="B142" s="112" t="s">
        <v>126</v>
      </c>
      <c r="C142" s="72"/>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2:41" x14ac:dyDescent="0.35">
      <c r="B143" s="112" t="s">
        <v>127</v>
      </c>
      <c r="C143" s="72"/>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2:41" x14ac:dyDescent="0.35">
      <c r="B144" s="112" t="s">
        <v>128</v>
      </c>
      <c r="C144" s="72"/>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97" x14ac:dyDescent="0.35">
      <c r="A145" s="102"/>
      <c r="B145" s="112" t="s">
        <v>129</v>
      </c>
      <c r="C145" s="72"/>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row>
    <row r="146" spans="1:97" x14ac:dyDescent="0.35">
      <c r="A146" s="102"/>
      <c r="B146" s="112" t="s">
        <v>130</v>
      </c>
      <c r="C146" s="72"/>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row>
    <row r="147" spans="1:97" x14ac:dyDescent="0.35">
      <c r="A147" s="102"/>
      <c r="B147" s="112" t="s">
        <v>131</v>
      </c>
      <c r="C147" s="72"/>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row>
    <row r="148" spans="1:97" s="66" customFormat="1" x14ac:dyDescent="0.35">
      <c r="A148" s="113"/>
      <c r="B148" s="112" t="s">
        <v>132</v>
      </c>
      <c r="C148" s="72"/>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6"/>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row>
    <row r="149" spans="1:97" x14ac:dyDescent="0.35">
      <c r="A149" s="102"/>
      <c r="B149" s="114"/>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7" ht="15" customHeight="1" x14ac:dyDescent="0.35">
      <c r="A150" s="102"/>
      <c r="B150" s="107" t="s">
        <v>134</v>
      </c>
      <c r="C150" s="69" t="s">
        <v>94</v>
      </c>
      <c r="D150" s="70" t="s">
        <v>95</v>
      </c>
      <c r="E150" s="108" t="s">
        <v>96</v>
      </c>
      <c r="F150" s="108" t="s">
        <v>97</v>
      </c>
      <c r="G150" s="108" t="s">
        <v>98</v>
      </c>
      <c r="H150" s="108" t="s">
        <v>99</v>
      </c>
      <c r="I150" s="108" t="s">
        <v>100</v>
      </c>
      <c r="J150" s="108" t="s">
        <v>101</v>
      </c>
      <c r="K150" s="108" t="s">
        <v>102</v>
      </c>
      <c r="L150" s="108" t="s">
        <v>103</v>
      </c>
      <c r="M150" s="108" t="s">
        <v>104</v>
      </c>
      <c r="N150" s="108" t="s">
        <v>105</v>
      </c>
      <c r="O150" s="108" t="s">
        <v>106</v>
      </c>
      <c r="P150" s="108" t="s">
        <v>107</v>
      </c>
      <c r="Q150" s="108" t="s">
        <v>108</v>
      </c>
      <c r="R150" s="108" t="s">
        <v>109</v>
      </c>
      <c r="S150" s="108" t="s">
        <v>110</v>
      </c>
      <c r="T150" s="108" t="s">
        <v>111</v>
      </c>
      <c r="U150" s="108" t="s">
        <v>112</v>
      </c>
      <c r="V150" s="108" t="s">
        <v>113</v>
      </c>
      <c r="W150" s="108" t="s">
        <v>114</v>
      </c>
      <c r="X150" s="108" t="s">
        <v>115</v>
      </c>
      <c r="Y150" s="108" t="s">
        <v>116</v>
      </c>
      <c r="Z150" s="108" t="s">
        <v>117</v>
      </c>
      <c r="AA150" s="108" t="s">
        <v>118</v>
      </c>
      <c r="AB150" s="108" t="s">
        <v>119</v>
      </c>
      <c r="AC150" s="108" t="s">
        <v>120</v>
      </c>
      <c r="AD150" s="108" t="s">
        <v>121</v>
      </c>
      <c r="AE150" s="108" t="s">
        <v>122</v>
      </c>
      <c r="AF150" s="108" t="s">
        <v>123</v>
      </c>
      <c r="AG150" s="108" t="s">
        <v>124</v>
      </c>
      <c r="AH150" s="108" t="s">
        <v>125</v>
      </c>
      <c r="AI150" s="108" t="s">
        <v>126</v>
      </c>
      <c r="AJ150" s="108" t="s">
        <v>127</v>
      </c>
      <c r="AK150" s="108" t="s">
        <v>128</v>
      </c>
      <c r="AL150" s="108" t="s">
        <v>129</v>
      </c>
      <c r="AM150" s="108" t="s">
        <v>130</v>
      </c>
      <c r="AN150" s="108" t="s">
        <v>131</v>
      </c>
      <c r="AO150" s="108" t="s">
        <v>132</v>
      </c>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3"/>
    </row>
    <row r="151" spans="1:97" ht="15" customHeight="1" x14ac:dyDescent="0.35">
      <c r="A151" s="102"/>
      <c r="B151" s="49" t="s">
        <v>133</v>
      </c>
      <c r="C151" s="71"/>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3"/>
    </row>
    <row r="152" spans="1:97" ht="15" customHeight="1" x14ac:dyDescent="0.35">
      <c r="A152" s="102"/>
      <c r="B152" s="68" t="s">
        <v>95</v>
      </c>
      <c r="C152" s="72"/>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6"/>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3"/>
    </row>
    <row r="153" spans="1:97" ht="15" customHeight="1" x14ac:dyDescent="0.35">
      <c r="A153" s="102"/>
      <c r="B153" s="112" t="s">
        <v>96</v>
      </c>
      <c r="C153" s="72"/>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6"/>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3"/>
    </row>
    <row r="154" spans="1:97" ht="15" customHeight="1" x14ac:dyDescent="0.35">
      <c r="A154" s="102"/>
      <c r="B154" s="112" t="s">
        <v>97</v>
      </c>
      <c r="C154" s="72"/>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6"/>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3"/>
    </row>
    <row r="155" spans="1:97" ht="15" customHeight="1" x14ac:dyDescent="0.35">
      <c r="A155" s="102"/>
      <c r="B155" s="112" t="s">
        <v>98</v>
      </c>
      <c r="C155" s="72"/>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6"/>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3"/>
    </row>
    <row r="156" spans="1:97" ht="15" customHeight="1" x14ac:dyDescent="0.35">
      <c r="A156" s="102"/>
      <c r="B156" s="112" t="s">
        <v>99</v>
      </c>
      <c r="C156" s="72"/>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6"/>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3"/>
    </row>
    <row r="157" spans="1:97" s="50" customFormat="1" ht="15" customHeight="1" x14ac:dyDescent="0.35">
      <c r="B157" s="112" t="s">
        <v>100</v>
      </c>
      <c r="C157" s="72"/>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6"/>
    </row>
    <row r="158" spans="1:97" s="50" customFormat="1" ht="15" customHeight="1" x14ac:dyDescent="0.35">
      <c r="A158" s="51"/>
      <c r="B158" s="112" t="s">
        <v>101</v>
      </c>
      <c r="C158" s="72"/>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6"/>
    </row>
    <row r="159" spans="1:97" s="50" customFormat="1" ht="15" customHeight="1" x14ac:dyDescent="0.35">
      <c r="A159" s="52"/>
      <c r="B159" s="112" t="s">
        <v>102</v>
      </c>
      <c r="C159" s="72"/>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6"/>
    </row>
    <row r="160" spans="1:97" ht="15" customHeight="1" x14ac:dyDescent="0.35">
      <c r="A160" s="102"/>
      <c r="B160" s="112" t="s">
        <v>103</v>
      </c>
      <c r="C160" s="72"/>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6"/>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row>
    <row r="161" spans="2:43" ht="15" customHeight="1" x14ac:dyDescent="0.35">
      <c r="B161" s="112" t="s">
        <v>104</v>
      </c>
      <c r="C161" s="72"/>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6"/>
      <c r="AQ161" s="102"/>
    </row>
    <row r="162" spans="2:43" ht="15" customHeight="1" x14ac:dyDescent="0.35">
      <c r="B162" s="112" t="s">
        <v>105</v>
      </c>
      <c r="C162" s="72"/>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6"/>
      <c r="AQ162" s="102"/>
    </row>
    <row r="163" spans="2:43" ht="15" customHeight="1" x14ac:dyDescent="0.35">
      <c r="B163" s="112" t="s">
        <v>106</v>
      </c>
      <c r="C163" s="72"/>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6"/>
      <c r="AQ163" s="102"/>
    </row>
    <row r="164" spans="2:43" s="6" customFormat="1" ht="15" customHeight="1" x14ac:dyDescent="0.35">
      <c r="B164" s="112" t="s">
        <v>107</v>
      </c>
      <c r="C164" s="72"/>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6"/>
      <c r="AQ164" s="102"/>
    </row>
    <row r="165" spans="2:43" s="6" customFormat="1" ht="15" customHeight="1" x14ac:dyDescent="0.35">
      <c r="B165" s="112" t="s">
        <v>108</v>
      </c>
      <c r="C165" s="72"/>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6"/>
    </row>
    <row r="166" spans="2:43" x14ac:dyDescent="0.35">
      <c r="B166" s="112" t="s">
        <v>109</v>
      </c>
      <c r="C166" s="72"/>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02"/>
      <c r="AQ166" s="102"/>
    </row>
    <row r="167" spans="2:43" x14ac:dyDescent="0.35">
      <c r="B167" s="112" t="s">
        <v>110</v>
      </c>
      <c r="C167" s="72"/>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02"/>
      <c r="AQ167" s="102"/>
    </row>
    <row r="168" spans="2:43" x14ac:dyDescent="0.35">
      <c r="B168" s="112" t="s">
        <v>111</v>
      </c>
      <c r="C168" s="72"/>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02"/>
      <c r="AQ168" s="102"/>
    </row>
    <row r="169" spans="2:43" x14ac:dyDescent="0.35">
      <c r="B169" s="112" t="s">
        <v>112</v>
      </c>
      <c r="C169" s="72"/>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02"/>
      <c r="AQ169" s="102"/>
    </row>
    <row r="170" spans="2:43" x14ac:dyDescent="0.35">
      <c r="B170" s="112" t="s">
        <v>113</v>
      </c>
      <c r="C170" s="72"/>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02"/>
      <c r="AQ170" s="102"/>
    </row>
    <row r="171" spans="2:43" x14ac:dyDescent="0.35">
      <c r="B171" s="112" t="s">
        <v>114</v>
      </c>
      <c r="C171" s="72"/>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02"/>
      <c r="AQ171" s="102"/>
    </row>
    <row r="172" spans="2:43" x14ac:dyDescent="0.35">
      <c r="B172" s="112" t="s">
        <v>115</v>
      </c>
      <c r="C172" s="72"/>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02"/>
      <c r="AQ172" s="102"/>
    </row>
    <row r="173" spans="2:43" x14ac:dyDescent="0.35">
      <c r="B173" s="112" t="s">
        <v>116</v>
      </c>
      <c r="C173" s="72"/>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02"/>
      <c r="AQ173" s="102"/>
    </row>
    <row r="174" spans="2:43" x14ac:dyDescent="0.35">
      <c r="B174" s="112" t="s">
        <v>117</v>
      </c>
      <c r="C174" s="72"/>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02"/>
      <c r="AQ174" s="102"/>
    </row>
    <row r="175" spans="2:43" x14ac:dyDescent="0.35">
      <c r="B175" s="112" t="s">
        <v>118</v>
      </c>
      <c r="C175" s="72"/>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02"/>
      <c r="AQ175" s="102"/>
    </row>
    <row r="176" spans="2:43" x14ac:dyDescent="0.35">
      <c r="B176" s="112" t="s">
        <v>119</v>
      </c>
      <c r="C176" s="72"/>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02"/>
      <c r="AQ176" s="102"/>
    </row>
    <row r="177" spans="2:42" x14ac:dyDescent="0.35">
      <c r="B177" s="112" t="s">
        <v>120</v>
      </c>
      <c r="C177" s="72"/>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02"/>
    </row>
    <row r="178" spans="2:42" x14ac:dyDescent="0.35">
      <c r="B178" s="112" t="s">
        <v>121</v>
      </c>
      <c r="C178" s="72"/>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02"/>
    </row>
    <row r="179" spans="2:42" x14ac:dyDescent="0.35">
      <c r="B179" s="112" t="s">
        <v>122</v>
      </c>
      <c r="C179" s="72"/>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02"/>
    </row>
    <row r="180" spans="2:42" x14ac:dyDescent="0.35">
      <c r="B180" s="112" t="s">
        <v>123</v>
      </c>
      <c r="C180" s="72"/>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02"/>
    </row>
    <row r="181" spans="2:42" x14ac:dyDescent="0.35">
      <c r="B181" s="112" t="s">
        <v>124</v>
      </c>
      <c r="C181" s="72"/>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02"/>
    </row>
    <row r="182" spans="2:42" x14ac:dyDescent="0.35">
      <c r="B182" s="112" t="s">
        <v>125</v>
      </c>
      <c r="C182" s="72"/>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02"/>
    </row>
    <row r="183" spans="2:42" x14ac:dyDescent="0.35">
      <c r="B183" s="112" t="s">
        <v>126</v>
      </c>
      <c r="C183" s="72"/>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02"/>
    </row>
    <row r="184" spans="2:42" x14ac:dyDescent="0.35">
      <c r="B184" s="112" t="s">
        <v>127</v>
      </c>
      <c r="C184" s="72"/>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02"/>
    </row>
    <row r="185" spans="2:42" x14ac:dyDescent="0.35">
      <c r="B185" s="112" t="s">
        <v>128</v>
      </c>
      <c r="C185" s="72"/>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02"/>
    </row>
    <row r="186" spans="2:42" x14ac:dyDescent="0.35">
      <c r="B186" s="112" t="s">
        <v>129</v>
      </c>
      <c r="C186" s="72"/>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02"/>
    </row>
    <row r="187" spans="2:42" x14ac:dyDescent="0.35">
      <c r="B187" s="112" t="s">
        <v>130</v>
      </c>
      <c r="C187" s="72"/>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02"/>
    </row>
    <row r="188" spans="2:42" x14ac:dyDescent="0.35">
      <c r="B188" s="112" t="s">
        <v>131</v>
      </c>
      <c r="C188" s="72"/>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02"/>
    </row>
    <row r="189" spans="2:42" s="66" customFormat="1" x14ac:dyDescent="0.35">
      <c r="B189" s="112" t="s">
        <v>132</v>
      </c>
      <c r="C189" s="72"/>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6"/>
    </row>
    <row r="190" spans="2:42" x14ac:dyDescent="0.35">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2:42" hidden="1" x14ac:dyDescent="0.35">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2:42" hidden="1" x14ac:dyDescent="0.35">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259" s="66" customFormat="1" ht="15" hidden="1" customHeight="1" x14ac:dyDescent="0.35"/>
    <row r="260" s="66" customFormat="1" hidden="1" x14ac:dyDescent="0.35"/>
    <row r="261" s="66" customFormat="1" hidden="1" x14ac:dyDescent="0.35"/>
    <row r="262" s="66" customFormat="1" hidden="1" x14ac:dyDescent="0.35"/>
    <row r="263" s="66" customFormat="1" hidden="1" x14ac:dyDescent="0.35"/>
    <row r="264" s="66" customFormat="1" hidden="1" x14ac:dyDescent="0.35"/>
    <row r="265" s="66" customFormat="1" hidden="1" x14ac:dyDescent="0.35"/>
    <row r="266" s="66" customFormat="1" hidden="1" x14ac:dyDescent="0.35"/>
    <row r="267" s="66" customFormat="1" hidden="1" x14ac:dyDescent="0.35"/>
    <row r="268" s="66" customFormat="1" hidden="1" x14ac:dyDescent="0.35"/>
    <row r="269" s="66" customFormat="1" hidden="1" x14ac:dyDescent="0.35"/>
    <row r="270" s="66" customFormat="1" hidden="1" x14ac:dyDescent="0.35"/>
    <row r="271" s="66" customFormat="1" hidden="1" x14ac:dyDescent="0.35"/>
    <row r="272" s="66" customFormat="1" hidden="1" x14ac:dyDescent="0.35"/>
    <row r="273" s="66" customFormat="1" hidden="1" x14ac:dyDescent="0.35"/>
    <row r="274" s="66" customFormat="1" hidden="1" x14ac:dyDescent="0.35"/>
    <row r="275" s="66" customFormat="1" hidden="1" x14ac:dyDescent="0.35"/>
    <row r="277" x14ac:dyDescent="0.35"/>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opLeftCell="B35" zoomScale="70" zoomScaleNormal="85" workbookViewId="0">
      <selection activeCell="D67" sqref="D67"/>
    </sheetView>
  </sheetViews>
  <sheetFormatPr defaultRowHeight="12.5" x14ac:dyDescent="0.25"/>
  <sheetData>
    <row r="1" spans="2:44" s="2" customFormat="1" ht="18.5" x14ac:dyDescent="0.45">
      <c r="B1" s="2" t="s">
        <v>135</v>
      </c>
    </row>
    <row r="2" spans="2:44" s="50" customFormat="1" ht="15" customHeight="1" x14ac:dyDescent="0.35">
      <c r="B2" s="53"/>
    </row>
    <row r="3" spans="2:44" s="50" customFormat="1" ht="15" customHeight="1" x14ac:dyDescent="0.35">
      <c r="B3" s="115" t="s">
        <v>136</v>
      </c>
      <c r="C3" s="115"/>
      <c r="D3" s="116">
        <v>2023</v>
      </c>
      <c r="E3" s="3" t="s">
        <v>137</v>
      </c>
    </row>
    <row r="4" spans="2:44" s="50" customFormat="1" ht="15" customHeight="1" x14ac:dyDescent="0.35">
      <c r="B4" s="115" t="s">
        <v>138</v>
      </c>
      <c r="C4" s="115"/>
      <c r="D4" s="116">
        <v>2023</v>
      </c>
      <c r="E4" s="3" t="s">
        <v>139</v>
      </c>
    </row>
    <row r="5" spans="2:44" s="50" customFormat="1" ht="15" customHeight="1" x14ac:dyDescent="0.35">
      <c r="B5" s="53"/>
    </row>
    <row r="6" spans="2:44" s="5" customFormat="1" ht="15.5" x14ac:dyDescent="0.35">
      <c r="B6" s="5" t="s">
        <v>140</v>
      </c>
    </row>
    <row r="7" spans="2:44" s="47" customFormat="1" ht="15" customHeight="1" x14ac:dyDescent="0.35">
      <c r="B7" s="102"/>
      <c r="C7" s="101"/>
      <c r="D7" s="3"/>
      <c r="E7" s="3"/>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4" s="47" customFormat="1" ht="15" customHeight="1" x14ac:dyDescent="0.35">
      <c r="B8" s="150" t="s">
        <v>141</v>
      </c>
      <c r="C8" s="102"/>
      <c r="D8" s="46" t="s">
        <v>142</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2"/>
    </row>
    <row r="9" spans="2:44" s="47" customFormat="1" ht="15" customHeight="1" x14ac:dyDescent="0.35">
      <c r="B9" s="150"/>
      <c r="C9" s="102"/>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2"/>
    </row>
    <row r="10" spans="2:44" s="47" customFormat="1" ht="15" customHeight="1" x14ac:dyDescent="0.35">
      <c r="B10" s="117" t="s">
        <v>143</v>
      </c>
      <c r="C10" s="102"/>
      <c r="D10" s="118"/>
      <c r="E10" s="118">
        <v>0</v>
      </c>
      <c r="F10" s="118">
        <v>0</v>
      </c>
      <c r="G10" s="118">
        <v>0</v>
      </c>
      <c r="H10" s="118">
        <v>0</v>
      </c>
      <c r="I10" s="118">
        <v>0</v>
      </c>
      <c r="J10" s="118">
        <v>0</v>
      </c>
      <c r="K10" s="118">
        <v>0</v>
      </c>
      <c r="L10" s="118">
        <v>36.230462931767029</v>
      </c>
      <c r="M10" s="118">
        <v>39.507506010458265</v>
      </c>
      <c r="N10" s="118">
        <v>42.784549089145145</v>
      </c>
      <c r="O10" s="118">
        <v>46.061592167835897</v>
      </c>
      <c r="P10" s="118">
        <v>49.338635246524703</v>
      </c>
      <c r="Q10" s="118">
        <v>52.615678325213509</v>
      </c>
      <c r="R10" s="118">
        <v>55.892721403902812</v>
      </c>
      <c r="S10" s="118">
        <v>59.1697644825921</v>
      </c>
      <c r="T10" s="118">
        <v>62.446807561282846</v>
      </c>
      <c r="U10" s="118">
        <v>65.72385063996974</v>
      </c>
      <c r="V10" s="118">
        <v>69.00089371866143</v>
      </c>
      <c r="W10" s="118">
        <v>72.277936797350264</v>
      </c>
      <c r="X10" s="118">
        <v>75.554979876040036</v>
      </c>
      <c r="Y10" s="118">
        <v>78.832022954726909</v>
      </c>
      <c r="Z10" s="118">
        <v>82.109066033417662</v>
      </c>
      <c r="AA10" s="118">
        <v>85.386109112106482</v>
      </c>
      <c r="AB10" s="118">
        <v>88.663152190795273</v>
      </c>
      <c r="AC10" s="118">
        <v>91.940195269486026</v>
      </c>
      <c r="AD10" s="118">
        <v>95.217238348174845</v>
      </c>
      <c r="AE10" s="118">
        <v>98.494281426863651</v>
      </c>
      <c r="AF10" s="118">
        <v>101.77132450555247</v>
      </c>
      <c r="AG10" s="118">
        <v>105.04836758424416</v>
      </c>
      <c r="AH10" s="118">
        <v>108.32541066293108</v>
      </c>
      <c r="AI10" s="118">
        <v>108.32541066293108</v>
      </c>
      <c r="AJ10" s="118">
        <v>108.32541066293108</v>
      </c>
      <c r="AK10" s="118">
        <v>108.32541066293108</v>
      </c>
      <c r="AL10" s="118">
        <v>108.32541066293108</v>
      </c>
      <c r="AM10" s="118">
        <v>108.32541066293108</v>
      </c>
      <c r="AN10" s="118">
        <v>108.32541066293108</v>
      </c>
      <c r="AO10" s="118">
        <v>108.32541066293108</v>
      </c>
      <c r="AP10" s="118">
        <v>108.32541066293108</v>
      </c>
      <c r="AQ10" s="118">
        <v>108.32541066293108</v>
      </c>
      <c r="AR10" s="3" t="s">
        <v>144</v>
      </c>
    </row>
    <row r="11" spans="2:44" s="47" customFormat="1" ht="15" customHeight="1" x14ac:dyDescent="0.35">
      <c r="B11" s="117" t="s">
        <v>145</v>
      </c>
      <c r="C11" s="102"/>
      <c r="D11" s="118"/>
      <c r="E11" s="118">
        <v>15.945028856200379</v>
      </c>
      <c r="F11" s="118">
        <v>16.239208822374696</v>
      </c>
      <c r="G11" s="118">
        <v>16.712706899628884</v>
      </c>
      <c r="H11" s="118">
        <v>17.365523087963282</v>
      </c>
      <c r="I11" s="118">
        <v>18.197657387377593</v>
      </c>
      <c r="J11" s="118">
        <v>19.209109797871871</v>
      </c>
      <c r="K11" s="118">
        <v>20.399880319446062</v>
      </c>
      <c r="L11" s="118">
        <v>21.769968952100445</v>
      </c>
      <c r="M11" s="118">
        <v>23.31937569583474</v>
      </c>
      <c r="N11" s="118">
        <v>25.048100550649085</v>
      </c>
      <c r="O11" s="118">
        <v>26.956143516543037</v>
      </c>
      <c r="P11" s="118">
        <v>29.043504593517564</v>
      </c>
      <c r="Q11" s="118">
        <v>31.31018378157189</v>
      </c>
      <c r="R11" s="118">
        <v>33.756181080706106</v>
      </c>
      <c r="S11" s="118">
        <v>36.381496490920128</v>
      </c>
      <c r="T11" s="118">
        <v>39.186130012214583</v>
      </c>
      <c r="U11" s="118">
        <v>42.170081644588983</v>
      </c>
      <c r="V11" s="118">
        <v>45.333351388042779</v>
      </c>
      <c r="W11" s="118">
        <v>48.675939242577492</v>
      </c>
      <c r="X11" s="118">
        <v>52.197845208191616</v>
      </c>
      <c r="Y11" s="118">
        <v>55.899069284885812</v>
      </c>
      <c r="Z11" s="118">
        <v>59.779611472660079</v>
      </c>
      <c r="AA11" s="118">
        <v>63.839471771514461</v>
      </c>
      <c r="AB11" s="118">
        <v>68.078650181448637</v>
      </c>
      <c r="AC11" s="118">
        <v>72.497146702462899</v>
      </c>
      <c r="AD11" s="118">
        <v>77.094961334555734</v>
      </c>
      <c r="AE11" s="118">
        <v>81.87209407773129</v>
      </c>
      <c r="AF11" s="118">
        <v>86.828544931985689</v>
      </c>
      <c r="AG11" s="118">
        <v>91.964313897319329</v>
      </c>
      <c r="AH11" s="118">
        <v>97.27940097373444</v>
      </c>
      <c r="AI11" s="118">
        <v>102.77380616122798</v>
      </c>
      <c r="AJ11" s="118">
        <v>102.77380616122798</v>
      </c>
      <c r="AK11" s="118">
        <v>102.77380616122798</v>
      </c>
      <c r="AL11" s="118">
        <v>102.77380616122798</v>
      </c>
      <c r="AM11" s="118">
        <v>102.77380616122798</v>
      </c>
      <c r="AN11" s="118">
        <v>102.77380616122798</v>
      </c>
      <c r="AO11" s="118">
        <v>102.77380616122798</v>
      </c>
      <c r="AP11" s="118">
        <v>102.77380616122798</v>
      </c>
      <c r="AQ11" s="118">
        <v>102.77380616122798</v>
      </c>
      <c r="AR11" s="3" t="s">
        <v>146</v>
      </c>
    </row>
    <row r="12" spans="2:44" s="47" customFormat="1" ht="15" customHeight="1" x14ac:dyDescent="0.35">
      <c r="B12" s="117" t="s">
        <v>147</v>
      </c>
      <c r="C12" s="102"/>
      <c r="D12" s="118"/>
      <c r="E12" s="118">
        <v>0</v>
      </c>
      <c r="F12" s="118">
        <v>0</v>
      </c>
      <c r="G12" s="118">
        <v>0</v>
      </c>
      <c r="H12" s="118">
        <v>0</v>
      </c>
      <c r="I12" s="118">
        <v>0</v>
      </c>
      <c r="J12" s="118">
        <v>0</v>
      </c>
      <c r="K12" s="118">
        <v>0</v>
      </c>
      <c r="L12" s="118">
        <v>0</v>
      </c>
      <c r="M12" s="118">
        <v>0</v>
      </c>
      <c r="N12" s="118">
        <v>0</v>
      </c>
      <c r="O12" s="118">
        <v>0</v>
      </c>
      <c r="P12" s="118">
        <v>2.1908346961933955</v>
      </c>
      <c r="Q12" s="118">
        <v>4.3315455822901852</v>
      </c>
      <c r="R12" s="118">
        <v>6.1334202810250771</v>
      </c>
      <c r="S12" s="118">
        <v>7.9911169652514555</v>
      </c>
      <c r="T12" s="118">
        <v>9.9046356349706333</v>
      </c>
      <c r="U12" s="118">
        <v>11.873976290180316</v>
      </c>
      <c r="V12" s="118">
        <v>13.899138930883124</v>
      </c>
      <c r="W12" s="118">
        <v>15.980123557078405</v>
      </c>
      <c r="X12" s="118">
        <v>18.116930168764519</v>
      </c>
      <c r="Y12" s="118">
        <v>20.309558765942118</v>
      </c>
      <c r="Z12" s="118">
        <v>22.558009348613183</v>
      </c>
      <c r="AA12" s="118">
        <v>24.862281916777032</v>
      </c>
      <c r="AB12" s="118">
        <v>27.222376470430415</v>
      </c>
      <c r="AC12" s="118">
        <v>29.638293009576589</v>
      </c>
      <c r="AD12" s="118">
        <v>32.110031534215565</v>
      </c>
      <c r="AE12" s="118">
        <v>34.63759204434669</v>
      </c>
      <c r="AF12" s="118">
        <v>37.220974539969291</v>
      </c>
      <c r="AG12" s="118">
        <v>39.86017902108339</v>
      </c>
      <c r="AH12" s="118">
        <v>42.555205487689626</v>
      </c>
      <c r="AI12" s="118">
        <v>45.306053939789322</v>
      </c>
      <c r="AJ12" s="118">
        <v>48.112724377379195</v>
      </c>
      <c r="AK12" s="118">
        <v>50.975216800461872</v>
      </c>
      <c r="AL12" s="118">
        <v>53.89353120903732</v>
      </c>
      <c r="AM12" s="118">
        <v>53.89353120903732</v>
      </c>
      <c r="AN12" s="118">
        <v>53.89353120903732</v>
      </c>
      <c r="AO12" s="118">
        <v>53.89353120903732</v>
      </c>
      <c r="AP12" s="118">
        <v>53.89353120903732</v>
      </c>
      <c r="AQ12" s="118">
        <v>53.89353120903732</v>
      </c>
      <c r="AR12" s="3" t="s">
        <v>148</v>
      </c>
    </row>
    <row r="13" spans="2:44" s="47" customFormat="1" ht="15" customHeight="1" x14ac:dyDescent="0.35">
      <c r="B13" s="117" t="s">
        <v>149</v>
      </c>
      <c r="C13" s="102"/>
      <c r="D13" s="118"/>
      <c r="E13" s="118">
        <v>0</v>
      </c>
      <c r="F13" s="118">
        <v>0</v>
      </c>
      <c r="G13" s="118">
        <v>3.6689250678372041</v>
      </c>
      <c r="H13" s="118">
        <v>3.678131659123125</v>
      </c>
      <c r="I13" s="118">
        <v>3.6873643709039428</v>
      </c>
      <c r="J13" s="118">
        <v>3.6966232872828853</v>
      </c>
      <c r="K13" s="118">
        <v>3.7059084926663091</v>
      </c>
      <c r="L13" s="118">
        <v>3.7152200717650747</v>
      </c>
      <c r="M13" s="118">
        <v>3.7245581095958702</v>
      </c>
      <c r="N13" s="118">
        <v>3.7339226914821468</v>
      </c>
      <c r="O13" s="118">
        <v>3.7433139030555496</v>
      </c>
      <c r="P13" s="118">
        <v>3.7527318302572561</v>
      </c>
      <c r="Q13" s="118">
        <v>3.7621765593386578</v>
      </c>
      <c r="R13" s="118">
        <v>3.7716481768632457</v>
      </c>
      <c r="S13" s="118">
        <v>3.7811467697074548</v>
      </c>
      <c r="T13" s="118">
        <v>3.790672425061917</v>
      </c>
      <c r="U13" s="118">
        <v>3.8002252304329378</v>
      </c>
      <c r="V13" s="118">
        <v>3.8098052736433208</v>
      </c>
      <c r="W13" s="118">
        <v>3.8194126428341</v>
      </c>
      <c r="X13" s="118">
        <v>3.8290474264657495</v>
      </c>
      <c r="Y13" s="118">
        <v>3.8387097133186954</v>
      </c>
      <c r="Z13" s="118">
        <v>3.8483995924958747</v>
      </c>
      <c r="AA13" s="118">
        <v>3.8581171534224881</v>
      </c>
      <c r="AB13" s="118">
        <v>3.8678624858490669</v>
      </c>
      <c r="AC13" s="118">
        <v>3.8776356798510596</v>
      </c>
      <c r="AD13" s="118">
        <v>3.8874368258309455</v>
      </c>
      <c r="AE13" s="118">
        <v>3.8972660145196683</v>
      </c>
      <c r="AF13" s="118">
        <v>3.9071233369776239</v>
      </c>
      <c r="AG13" s="118">
        <v>3.9170088845959476</v>
      </c>
      <c r="AH13" s="118">
        <v>3.9269227490981304</v>
      </c>
      <c r="AI13" s="118">
        <v>3.9368650225405579</v>
      </c>
      <c r="AJ13" s="118">
        <v>3.9368650225405579</v>
      </c>
      <c r="AK13" s="118">
        <v>3.9368650225405579</v>
      </c>
      <c r="AL13" s="118">
        <v>3.9368650225405579</v>
      </c>
      <c r="AM13" s="118">
        <v>3.9368650225405579</v>
      </c>
      <c r="AN13" s="118">
        <v>3.9368650225405579</v>
      </c>
      <c r="AO13" s="118">
        <v>3.9368650225405579</v>
      </c>
      <c r="AP13" s="118">
        <v>3.9368650225405579</v>
      </c>
      <c r="AQ13" s="118">
        <v>3.9368650225405579</v>
      </c>
      <c r="AR13" s="3" t="s">
        <v>150</v>
      </c>
    </row>
    <row r="14" spans="2:44" s="47" customFormat="1" ht="15" customHeight="1" x14ac:dyDescent="0.35">
      <c r="B14" s="102" t="s">
        <v>151</v>
      </c>
      <c r="C14" s="102"/>
      <c r="D14" s="118"/>
      <c r="E14" s="118">
        <v>0</v>
      </c>
      <c r="F14" s="118">
        <v>0</v>
      </c>
      <c r="G14" s="118">
        <v>5.5604684931662325</v>
      </c>
      <c r="H14" s="118">
        <v>5.5723309192830772</v>
      </c>
      <c r="I14" s="118">
        <v>5.5842197310570461</v>
      </c>
      <c r="J14" s="118">
        <v>5.5961349895426427</v>
      </c>
      <c r="K14" s="118">
        <v>5.6080767559404956</v>
      </c>
      <c r="L14" s="118">
        <v>5.6200450915981293</v>
      </c>
      <c r="M14" s="118">
        <v>5.6320400580102508</v>
      </c>
      <c r="N14" s="118">
        <v>5.6440617168191443</v>
      </c>
      <c r="O14" s="118">
        <v>5.6561101298145759</v>
      </c>
      <c r="P14" s="118">
        <v>5.6681853589355677</v>
      </c>
      <c r="Q14" s="118">
        <v>5.6802874662685419</v>
      </c>
      <c r="R14" s="118">
        <v>5.6924165140499028</v>
      </c>
      <c r="S14" s="118">
        <v>5.7045725646649679</v>
      </c>
      <c r="T14" s="118">
        <v>5.7167556806489044</v>
      </c>
      <c r="U14" s="118">
        <v>5.7289659246870492</v>
      </c>
      <c r="V14" s="118">
        <v>5.7412033596150751</v>
      </c>
      <c r="W14" s="118">
        <v>5.7534680484196503</v>
      </c>
      <c r="X14" s="118">
        <v>5.765760054238898</v>
      </c>
      <c r="Y14" s="118">
        <v>5.77807944036197</v>
      </c>
      <c r="Z14" s="118">
        <v>5.7904262702306832</v>
      </c>
      <c r="AA14" s="118">
        <v>5.8028006074384022</v>
      </c>
      <c r="AB14" s="118">
        <v>5.8152025157322251</v>
      </c>
      <c r="AC14" s="118">
        <v>5.8276320590118109</v>
      </c>
      <c r="AD14" s="118">
        <v>5.8400893013299449</v>
      </c>
      <c r="AE14" s="118">
        <v>5.8525743068939855</v>
      </c>
      <c r="AF14" s="118">
        <v>5.865087140065433</v>
      </c>
      <c r="AG14" s="118">
        <v>5.8776278653600595</v>
      </c>
      <c r="AH14" s="118">
        <v>5.8901965474491833</v>
      </c>
      <c r="AI14" s="118">
        <v>5.9027932511585135</v>
      </c>
      <c r="AJ14" s="118">
        <v>5.9027932511585135</v>
      </c>
      <c r="AK14" s="118">
        <v>5.9027932511585135</v>
      </c>
      <c r="AL14" s="118">
        <v>5.9027932511585135</v>
      </c>
      <c r="AM14" s="118">
        <v>5.9027932511585135</v>
      </c>
      <c r="AN14" s="118">
        <v>5.9027932511585135</v>
      </c>
      <c r="AO14" s="118">
        <v>5.9027932511585135</v>
      </c>
      <c r="AP14" s="118">
        <v>5.9027932511585135</v>
      </c>
      <c r="AQ14" s="118">
        <v>5.9027932511585135</v>
      </c>
      <c r="AR14" s="3" t="s">
        <v>152</v>
      </c>
    </row>
    <row r="15" spans="2:44" s="47" customFormat="1" ht="15" customHeight="1" x14ac:dyDescent="0.35">
      <c r="B15" s="102"/>
      <c r="C15" s="102"/>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3"/>
    </row>
    <row r="16" spans="2:44" s="47" customFormat="1" ht="15" customHeight="1" x14ac:dyDescent="0.35">
      <c r="B16" s="150" t="s">
        <v>153</v>
      </c>
      <c r="C16" s="102"/>
      <c r="D16" s="46" t="s">
        <v>142</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35">
      <c r="B17" s="150"/>
      <c r="C17" s="102"/>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35">
      <c r="B18" s="117" t="s">
        <v>143</v>
      </c>
      <c r="C18" s="102"/>
      <c r="D18" s="118"/>
      <c r="E18" s="118">
        <v>41.14613100728657</v>
      </c>
      <c r="F18" s="118">
        <v>45.191863203200377</v>
      </c>
      <c r="G18" s="118">
        <v>49.237595399111271</v>
      </c>
      <c r="H18" s="118">
        <v>53.283327595025568</v>
      </c>
      <c r="I18" s="118">
        <v>57.329059790937904</v>
      </c>
      <c r="J18" s="118">
        <v>61.374791986850752</v>
      </c>
      <c r="K18" s="118">
        <v>65.420524182763586</v>
      </c>
      <c r="L18" s="118">
        <v>69.466256378674004</v>
      </c>
      <c r="M18" s="118">
        <v>73.511988574589267</v>
      </c>
      <c r="N18" s="118">
        <v>77.557720770501632</v>
      </c>
      <c r="O18" s="118">
        <v>81.603452966413968</v>
      </c>
      <c r="P18" s="118">
        <v>85.649185162327285</v>
      </c>
      <c r="Q18" s="118">
        <v>89.694917358237703</v>
      </c>
      <c r="R18" s="118">
        <v>93.740649554151986</v>
      </c>
      <c r="S18" s="118">
        <v>97.786381750065303</v>
      </c>
      <c r="T18" s="118">
        <v>101.83211394597767</v>
      </c>
      <c r="U18" s="118">
        <v>105.87784614188807</v>
      </c>
      <c r="V18" s="118">
        <v>109.92357833780332</v>
      </c>
      <c r="W18" s="118">
        <v>113.96931053371569</v>
      </c>
      <c r="X18" s="118">
        <v>118.01504272962802</v>
      </c>
      <c r="Y18" s="118">
        <v>122.06077492554134</v>
      </c>
      <c r="Z18" s="118">
        <v>122.06077492554134</v>
      </c>
      <c r="AA18" s="118">
        <v>122.06077492554134</v>
      </c>
      <c r="AB18" s="118">
        <v>122.06077492554134</v>
      </c>
      <c r="AC18" s="118">
        <v>122.06077492554134</v>
      </c>
      <c r="AD18" s="118">
        <v>122.06077492554134</v>
      </c>
      <c r="AE18" s="118">
        <v>122.06077492554134</v>
      </c>
      <c r="AF18" s="118">
        <v>122.06077492554134</v>
      </c>
      <c r="AG18" s="118">
        <v>122.06077492554134</v>
      </c>
      <c r="AH18" s="118">
        <v>122.06077492554134</v>
      </c>
      <c r="AI18" s="118">
        <v>122.06077492554134</v>
      </c>
      <c r="AJ18" s="118">
        <v>122.06077492554134</v>
      </c>
      <c r="AK18" s="118">
        <v>122.06077492554134</v>
      </c>
      <c r="AL18" s="118">
        <v>122.06077492554134</v>
      </c>
      <c r="AM18" s="118">
        <v>122.06077492554134</v>
      </c>
      <c r="AN18" s="118">
        <v>122.06077492554134</v>
      </c>
      <c r="AO18" s="118">
        <v>122.06077492554134</v>
      </c>
      <c r="AP18" s="118">
        <v>122.06077492554134</v>
      </c>
      <c r="AQ18" s="118">
        <v>122.06077492554134</v>
      </c>
      <c r="AR18" s="3" t="s">
        <v>154</v>
      </c>
    </row>
    <row r="19" spans="2:44" s="47" customFormat="1" ht="15" customHeight="1" x14ac:dyDescent="0.35">
      <c r="B19" s="102"/>
      <c r="C19" s="102"/>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3"/>
    </row>
    <row r="20" spans="2:44" s="5" customFormat="1" ht="15.5" x14ac:dyDescent="0.35">
      <c r="B20" s="5" t="s">
        <v>155</v>
      </c>
    </row>
    <row r="21" spans="2:44" s="47" customFormat="1" ht="15" customHeight="1" x14ac:dyDescent="0.35">
      <c r="B21" s="102"/>
      <c r="C21" s="101"/>
      <c r="D21" s="54"/>
      <c r="E21" s="54"/>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02"/>
    </row>
    <row r="22" spans="2:44" s="47" customFormat="1" ht="15" customHeight="1" x14ac:dyDescent="0.35">
      <c r="B22" s="150" t="s">
        <v>141</v>
      </c>
      <c r="C22" s="102"/>
      <c r="D22" s="46" t="s">
        <v>142</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2"/>
    </row>
    <row r="23" spans="2:44" s="47" customFormat="1" ht="15" customHeight="1" x14ac:dyDescent="0.35">
      <c r="B23" s="150"/>
      <c r="C23" s="102"/>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2"/>
    </row>
    <row r="24" spans="2:44" s="47" customFormat="1" ht="15" customHeight="1" x14ac:dyDescent="0.35">
      <c r="B24" s="117" t="s">
        <v>145</v>
      </c>
      <c r="C24" s="102"/>
      <c r="D24" s="118"/>
      <c r="E24" s="118">
        <v>5.4967545450049151</v>
      </c>
      <c r="F24" s="118">
        <v>5.5617694069419219</v>
      </c>
      <c r="G24" s="118">
        <v>5.7957155630505133</v>
      </c>
      <c r="H24" s="118">
        <v>6.198593013330667</v>
      </c>
      <c r="I24" s="118">
        <v>6.7704017577823938</v>
      </c>
      <c r="J24" s="118">
        <v>7.5111417964057035</v>
      </c>
      <c r="K24" s="118">
        <v>8.4208131292005799</v>
      </c>
      <c r="L24" s="118">
        <v>9.4994157561670463</v>
      </c>
      <c r="M24" s="118">
        <v>10.74694967730508</v>
      </c>
      <c r="N24" s="118">
        <v>12.163414892614664</v>
      </c>
      <c r="O24" s="118">
        <v>13.748811402095862</v>
      </c>
      <c r="P24" s="118">
        <v>15.50313920574861</v>
      </c>
      <c r="Q24" s="118">
        <v>17.426398303572924</v>
      </c>
      <c r="R24" s="118">
        <v>19.518588695568852</v>
      </c>
      <c r="S24" s="118">
        <v>21.779710381736301</v>
      </c>
      <c r="T24" s="118">
        <v>24.209763362075329</v>
      </c>
      <c r="U24" s="118">
        <v>26.80874763658602</v>
      </c>
      <c r="V24" s="118">
        <v>29.576663205268183</v>
      </c>
      <c r="W24" s="118">
        <v>32.513510068121974</v>
      </c>
      <c r="X24" s="118">
        <v>35.619288225147272</v>
      </c>
      <c r="Y24" s="118">
        <v>38.893997676344291</v>
      </c>
      <c r="Z24" s="118">
        <v>42.337638421712683</v>
      </c>
      <c r="AA24" s="118">
        <v>45.950210461252837</v>
      </c>
      <c r="AB24" s="118">
        <v>49.731713794964357</v>
      </c>
      <c r="AC24" s="118">
        <v>53.682148422847717</v>
      </c>
      <c r="AD24" s="118">
        <v>57.801514344902508</v>
      </c>
      <c r="AE24" s="118">
        <v>62.08981156112894</v>
      </c>
      <c r="AF24" s="118">
        <v>66.547040071526723</v>
      </c>
      <c r="AG24" s="118">
        <v>71.173199876096191</v>
      </c>
      <c r="AH24" s="118">
        <v>75.968290974837259</v>
      </c>
      <c r="AI24" s="118">
        <v>80.932313367750425</v>
      </c>
      <c r="AJ24" s="118">
        <v>80.932313367750425</v>
      </c>
      <c r="AK24" s="118">
        <v>80.932313367750425</v>
      </c>
      <c r="AL24" s="118">
        <v>80.932313367750425</v>
      </c>
      <c r="AM24" s="118">
        <v>80.932313367750425</v>
      </c>
      <c r="AN24" s="118">
        <v>80.932313367750425</v>
      </c>
      <c r="AO24" s="118">
        <v>80.932313367750425</v>
      </c>
      <c r="AP24" s="118">
        <v>80.932313367750425</v>
      </c>
      <c r="AQ24" s="118">
        <v>80.932313367750425</v>
      </c>
      <c r="AR24" s="3" t="s">
        <v>156</v>
      </c>
    </row>
    <row r="25" spans="2:44" s="47" customFormat="1" ht="15" customHeight="1" x14ac:dyDescent="0.35">
      <c r="B25" s="117" t="s">
        <v>147</v>
      </c>
      <c r="C25" s="102"/>
      <c r="D25" s="118"/>
      <c r="E25" s="118">
        <v>0</v>
      </c>
      <c r="F25" s="118">
        <v>0</v>
      </c>
      <c r="G25" s="118">
        <v>0</v>
      </c>
      <c r="H25" s="118">
        <v>0</v>
      </c>
      <c r="I25" s="118">
        <v>0</v>
      </c>
      <c r="J25" s="118">
        <v>0</v>
      </c>
      <c r="K25" s="118">
        <v>0</v>
      </c>
      <c r="L25" s="118">
        <v>0</v>
      </c>
      <c r="M25" s="118">
        <v>0</v>
      </c>
      <c r="N25" s="118">
        <v>0</v>
      </c>
      <c r="O25" s="118">
        <v>0</v>
      </c>
      <c r="P25" s="118">
        <v>0</v>
      </c>
      <c r="Q25" s="118">
        <v>0</v>
      </c>
      <c r="R25" s="118">
        <v>2.1908346961933955</v>
      </c>
      <c r="S25" s="118">
        <v>4.3315455822901852</v>
      </c>
      <c r="T25" s="118">
        <v>6.1334202810250771</v>
      </c>
      <c r="U25" s="118">
        <v>7.9911169652514555</v>
      </c>
      <c r="V25" s="118">
        <v>9.9046356349706333</v>
      </c>
      <c r="W25" s="118">
        <v>11.873976290180316</v>
      </c>
      <c r="X25" s="118">
        <v>13.899138930883124</v>
      </c>
      <c r="Y25" s="118">
        <v>15.980123557078405</v>
      </c>
      <c r="Z25" s="118">
        <v>18.116930168764519</v>
      </c>
      <c r="AA25" s="118">
        <v>20.309558765942118</v>
      </c>
      <c r="AB25" s="118">
        <v>22.558009348613183</v>
      </c>
      <c r="AC25" s="118">
        <v>24.862281916777032</v>
      </c>
      <c r="AD25" s="118">
        <v>27.222376470430415</v>
      </c>
      <c r="AE25" s="118">
        <v>29.638293009576589</v>
      </c>
      <c r="AF25" s="118">
        <v>32.110031534215565</v>
      </c>
      <c r="AG25" s="118">
        <v>34.63759204434669</v>
      </c>
      <c r="AH25" s="118">
        <v>37.220974539969291</v>
      </c>
      <c r="AI25" s="118">
        <v>39.86017902108339</v>
      </c>
      <c r="AJ25" s="118">
        <v>42.555205487689626</v>
      </c>
      <c r="AK25" s="118">
        <v>45.306053939789322</v>
      </c>
      <c r="AL25" s="118">
        <v>48.112724377379195</v>
      </c>
      <c r="AM25" s="118">
        <v>50.975216800461872</v>
      </c>
      <c r="AN25" s="118">
        <v>53.89353120903732</v>
      </c>
      <c r="AO25" s="118">
        <v>53.89353120903732</v>
      </c>
      <c r="AP25" s="118">
        <v>53.89353120903732</v>
      </c>
      <c r="AQ25" s="118">
        <v>53.89353120903732</v>
      </c>
      <c r="AR25" s="3" t="s">
        <v>157</v>
      </c>
    </row>
    <row r="26" spans="2:44" s="47" customFormat="1" ht="15" customHeight="1" x14ac:dyDescent="0.35">
      <c r="B26" s="117" t="s">
        <v>149</v>
      </c>
      <c r="C26" s="102"/>
      <c r="D26" s="118"/>
      <c r="E26" s="118">
        <v>0</v>
      </c>
      <c r="F26" s="118">
        <v>0</v>
      </c>
      <c r="G26" s="118">
        <v>0</v>
      </c>
      <c r="H26" s="118">
        <v>0</v>
      </c>
      <c r="I26" s="118">
        <v>0</v>
      </c>
      <c r="J26" s="118">
        <v>3.9970980953356117</v>
      </c>
      <c r="K26" s="118">
        <v>4.0080049663566149</v>
      </c>
      <c r="L26" s="118">
        <v>4.0189454896299175</v>
      </c>
      <c r="M26" s="118">
        <v>4.029919782995167</v>
      </c>
      <c r="N26" s="118">
        <v>4.0409279647545508</v>
      </c>
      <c r="O26" s="118">
        <v>4.0519701536741657</v>
      </c>
      <c r="P26" s="118">
        <v>4.0630464689866317</v>
      </c>
      <c r="Q26" s="118">
        <v>4.0741570303918246</v>
      </c>
      <c r="R26" s="118">
        <v>4.0853019580611916</v>
      </c>
      <c r="S26" s="118">
        <v>4.0964813726371219</v>
      </c>
      <c r="T26" s="118">
        <v>4.1076953952370259</v>
      </c>
      <c r="U26" s="118">
        <v>4.1189441474539352</v>
      </c>
      <c r="V26" s="118">
        <v>4.1302277513598247</v>
      </c>
      <c r="W26" s="118">
        <v>4.1415463295064443</v>
      </c>
      <c r="X26" s="118">
        <v>4.1529000049284921</v>
      </c>
      <c r="Y26" s="118">
        <v>4.1642889011448281</v>
      </c>
      <c r="Z26" s="118">
        <v>4.1757131421609657</v>
      </c>
      <c r="AA26" s="118">
        <v>4.1871728524709928</v>
      </c>
      <c r="AB26" s="118">
        <v>4.198668157060351</v>
      </c>
      <c r="AC26" s="118">
        <v>4.2101991814064759</v>
      </c>
      <c r="AD26" s="118">
        <v>4.2217660514824855</v>
      </c>
      <c r="AE26" s="118">
        <v>4.2333688937585121</v>
      </c>
      <c r="AF26" s="118">
        <v>4.2450078352037686</v>
      </c>
      <c r="AG26" s="118">
        <v>4.2566830032893082</v>
      </c>
      <c r="AH26" s="118">
        <v>4.2683945259892786</v>
      </c>
      <c r="AI26" s="118">
        <v>4.280142531784267</v>
      </c>
      <c r="AJ26" s="118">
        <v>4.280142531784267</v>
      </c>
      <c r="AK26" s="118">
        <v>4.280142531784267</v>
      </c>
      <c r="AL26" s="118">
        <v>4.280142531784267</v>
      </c>
      <c r="AM26" s="118">
        <v>4.280142531784267</v>
      </c>
      <c r="AN26" s="118">
        <v>4.280142531784267</v>
      </c>
      <c r="AO26" s="118">
        <v>4.280142531784267</v>
      </c>
      <c r="AP26" s="118">
        <v>4.280142531784267</v>
      </c>
      <c r="AQ26" s="118">
        <v>4.280142531784267</v>
      </c>
      <c r="AR26" s="3" t="s">
        <v>158</v>
      </c>
    </row>
    <row r="27" spans="2:44" s="47" customFormat="1" ht="15" customHeight="1" x14ac:dyDescent="0.35">
      <c r="B27" s="117" t="s">
        <v>151</v>
      </c>
      <c r="C27" s="102"/>
      <c r="D27" s="118"/>
      <c r="E27" s="118">
        <v>0</v>
      </c>
      <c r="F27" s="118">
        <v>0</v>
      </c>
      <c r="G27" s="118">
        <v>0</v>
      </c>
      <c r="H27" s="118">
        <v>0</v>
      </c>
      <c r="I27" s="118">
        <v>0</v>
      </c>
      <c r="J27" s="118">
        <v>6.0557593009490045</v>
      </c>
      <c r="K27" s="118">
        <v>6.0698042728608499</v>
      </c>
      <c r="L27" s="118">
        <v>6.083883207945421</v>
      </c>
      <c r="M27" s="118">
        <v>6.0979961916402177</v>
      </c>
      <c r="N27" s="118">
        <v>6.112143309606183</v>
      </c>
      <c r="O27" s="118">
        <v>6.1263246477271771</v>
      </c>
      <c r="P27" s="118">
        <v>6.1405402921116909</v>
      </c>
      <c r="Q27" s="118">
        <v>6.1547903290914201</v>
      </c>
      <c r="R27" s="118">
        <v>6.1690748452253352</v>
      </c>
      <c r="S27" s="118">
        <v>6.1833939272964757</v>
      </c>
      <c r="T27" s="118">
        <v>6.1977476623153445</v>
      </c>
      <c r="U27" s="118">
        <v>6.2121361375185931</v>
      </c>
      <c r="V27" s="118">
        <v>6.2265594403715916</v>
      </c>
      <c r="W27" s="118">
        <v>6.2410176585668626</v>
      </c>
      <c r="X27" s="118">
        <v>6.2555108800268373</v>
      </c>
      <c r="Y27" s="118">
        <v>6.2700391929026322</v>
      </c>
      <c r="Z27" s="118">
        <v>6.2846026855759929</v>
      </c>
      <c r="AA27" s="118">
        <v>6.2992014466586301</v>
      </c>
      <c r="AB27" s="118">
        <v>6.3138355649952702</v>
      </c>
      <c r="AC27" s="118">
        <v>6.3285051296604076</v>
      </c>
      <c r="AD27" s="118">
        <v>6.3432102299626765</v>
      </c>
      <c r="AE27" s="118">
        <v>6.3579509554436608</v>
      </c>
      <c r="AF27" s="118">
        <v>6.3727273958782362</v>
      </c>
      <c r="AG27" s="118">
        <v>6.3875396412766392</v>
      </c>
      <c r="AH27" s="118">
        <v>6.4023877818832071</v>
      </c>
      <c r="AI27" s="118">
        <v>6.4172719081790657</v>
      </c>
      <c r="AJ27" s="118">
        <v>6.4172719081790657</v>
      </c>
      <c r="AK27" s="118">
        <v>6.4172719081790657</v>
      </c>
      <c r="AL27" s="118">
        <v>6.4172719081790657</v>
      </c>
      <c r="AM27" s="118">
        <v>6.4172719081790657</v>
      </c>
      <c r="AN27" s="118">
        <v>6.4172719081790657</v>
      </c>
      <c r="AO27" s="118">
        <v>6.4172719081790657</v>
      </c>
      <c r="AP27" s="118">
        <v>6.4172719081790657</v>
      </c>
      <c r="AQ27" s="118">
        <v>6.4172719081790657</v>
      </c>
      <c r="AR27" s="3" t="s">
        <v>159</v>
      </c>
    </row>
    <row r="28" spans="2:44" s="47" customFormat="1" ht="15" customHeight="1" x14ac:dyDescent="0.35">
      <c r="B28" s="117"/>
      <c r="C28" s="102"/>
      <c r="D28" s="119"/>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s="119"/>
      <c r="AR28" s="3"/>
    </row>
    <row r="29" spans="2:44" s="47" customFormat="1" ht="15" customHeight="1" x14ac:dyDescent="0.35">
      <c r="B29" s="150" t="s">
        <v>153</v>
      </c>
      <c r="C29" s="102"/>
      <c r="D29" s="46" t="s">
        <v>142</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35">
      <c r="B30" s="150"/>
      <c r="C30" s="102"/>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35">
      <c r="B31" s="117" t="s">
        <v>143</v>
      </c>
      <c r="C31" s="102"/>
      <c r="D31" s="118"/>
      <c r="E31" s="118">
        <v>19.151886360799484</v>
      </c>
      <c r="F31" s="118">
        <v>21.218313505279664</v>
      </c>
      <c r="G31" s="118">
        <v>23.284740649760082</v>
      </c>
      <c r="H31" s="118">
        <v>25.35116779424002</v>
      </c>
      <c r="I31" s="118">
        <v>27.417594938720445</v>
      </c>
      <c r="J31" s="118">
        <v>29.484022083201346</v>
      </c>
      <c r="K31" s="118">
        <v>31.550449227680801</v>
      </c>
      <c r="L31" s="118">
        <v>33.616876372161713</v>
      </c>
      <c r="M31" s="118">
        <v>35.683303516641644</v>
      </c>
      <c r="N31" s="118">
        <v>37.749730661121582</v>
      </c>
      <c r="O31" s="118">
        <v>39.816157805602487</v>
      </c>
      <c r="P31" s="118">
        <v>41.882584950082901</v>
      </c>
      <c r="Q31" s="118">
        <v>43.949012094562846</v>
      </c>
      <c r="R31" s="118">
        <v>46.01543923904326</v>
      </c>
      <c r="S31" s="118">
        <v>48.081866383524165</v>
      </c>
      <c r="T31" s="118">
        <v>50.14829352800313</v>
      </c>
      <c r="U31" s="118">
        <v>52.214720672484525</v>
      </c>
      <c r="V31" s="118">
        <v>54.281147816963973</v>
      </c>
      <c r="W31" s="118">
        <v>56.347574961445346</v>
      </c>
      <c r="X31" s="118">
        <v>58.414002105925796</v>
      </c>
      <c r="Y31" s="118">
        <v>60.480429250404747</v>
      </c>
      <c r="Z31" s="118">
        <v>60.480429250404747</v>
      </c>
      <c r="AA31" s="118">
        <v>60.480429250404747</v>
      </c>
      <c r="AB31" s="118">
        <v>60.480429250404747</v>
      </c>
      <c r="AC31" s="118">
        <v>60.480429250404747</v>
      </c>
      <c r="AD31" s="118">
        <v>60.480429250404747</v>
      </c>
      <c r="AE31" s="118">
        <v>60.480429250404747</v>
      </c>
      <c r="AF31" s="118">
        <v>60.480429250404747</v>
      </c>
      <c r="AG31" s="118">
        <v>60.480429250404747</v>
      </c>
      <c r="AH31" s="118">
        <v>60.480429250404747</v>
      </c>
      <c r="AI31" s="118">
        <v>60.480429250404747</v>
      </c>
      <c r="AJ31" s="118">
        <v>60.480429250404747</v>
      </c>
      <c r="AK31" s="118">
        <v>60.480429250404747</v>
      </c>
      <c r="AL31" s="118">
        <v>60.480429250404747</v>
      </c>
      <c r="AM31" s="118">
        <v>60.480429250404747</v>
      </c>
      <c r="AN31" s="118">
        <v>60.480429250404747</v>
      </c>
      <c r="AO31" s="118">
        <v>60.480429250404747</v>
      </c>
      <c r="AP31" s="118">
        <v>60.480429250404747</v>
      </c>
      <c r="AQ31" s="118">
        <v>60.480429250404747</v>
      </c>
      <c r="AR31" s="3" t="s">
        <v>160</v>
      </c>
    </row>
    <row r="32" spans="2:44" s="47" customFormat="1" ht="15" customHeight="1" x14ac:dyDescent="0.35">
      <c r="B32" s="102"/>
      <c r="C32" s="102"/>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3"/>
    </row>
    <row r="33" spans="2:44" s="5" customFormat="1" ht="15.5" x14ac:dyDescent="0.35">
      <c r="B33" s="5" t="s">
        <v>161</v>
      </c>
    </row>
    <row r="34" spans="2:44" s="47" customFormat="1" ht="15" customHeight="1" x14ac:dyDescent="0.35">
      <c r="B34" s="102"/>
      <c r="C34" s="101"/>
      <c r="D34" s="54"/>
      <c r="E34" s="54"/>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02"/>
    </row>
    <row r="35" spans="2:44" s="47" customFormat="1" ht="15" customHeight="1" x14ac:dyDescent="0.35">
      <c r="B35" s="150" t="s">
        <v>141</v>
      </c>
      <c r="C35" s="102"/>
      <c r="D35" s="46" t="s">
        <v>142</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2"/>
    </row>
    <row r="36" spans="2:44" s="47" customFormat="1" ht="15" customHeight="1" x14ac:dyDescent="0.35">
      <c r="B36" s="150"/>
      <c r="C36" s="102"/>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2"/>
    </row>
    <row r="37" spans="2:44" s="47" customFormat="1" ht="15" customHeight="1" x14ac:dyDescent="0.35">
      <c r="B37" s="117" t="s">
        <v>145</v>
      </c>
      <c r="C37" s="102"/>
      <c r="D37" s="118"/>
      <c r="E37" s="118">
        <v>22.003632440951492</v>
      </c>
      <c r="F37" s="118">
        <v>24.976372050389344</v>
      </c>
      <c r="G37" s="118">
        <v>27.927644620525012</v>
      </c>
      <c r="H37" s="118">
        <v>30.857450151358531</v>
      </c>
      <c r="I37" s="118">
        <v>33.765788642889852</v>
      </c>
      <c r="J37" s="118">
        <v>36.65266009511901</v>
      </c>
      <c r="K37" s="118">
        <v>39.518064508046024</v>
      </c>
      <c r="L37" s="118">
        <v>42.362001881670842</v>
      </c>
      <c r="M37" s="118">
        <v>45.184472215993473</v>
      </c>
      <c r="N37" s="118">
        <v>47.985475511013945</v>
      </c>
      <c r="O37" s="118">
        <v>50.765011766732215</v>
      </c>
      <c r="P37" s="118">
        <v>53.523080983148425</v>
      </c>
      <c r="Q37" s="118">
        <v>56.259683160262263</v>
      </c>
      <c r="R37" s="118">
        <v>58.974818298074148</v>
      </c>
      <c r="S37" s="118">
        <v>61.668486396583702</v>
      </c>
      <c r="T37" s="118">
        <v>64.340687455791155</v>
      </c>
      <c r="U37" s="118">
        <v>66.991421475696413</v>
      </c>
      <c r="V37" s="118">
        <v>69.620688456299433</v>
      </c>
      <c r="W37" s="118">
        <v>72.228488397600231</v>
      </c>
      <c r="X37" s="118">
        <v>74.814821299599259</v>
      </c>
      <c r="Y37" s="118">
        <v>77.379687162295795</v>
      </c>
      <c r="Z37" s="118">
        <v>79.923085985689937</v>
      </c>
      <c r="AA37" s="118">
        <v>82.445017769782297</v>
      </c>
      <c r="AB37" s="118">
        <v>84.945482514572419</v>
      </c>
      <c r="AC37" s="118">
        <v>87.424480220060218</v>
      </c>
      <c r="AD37" s="118">
        <v>89.882010886245794</v>
      </c>
      <c r="AE37" s="118">
        <v>92.318074513129417</v>
      </c>
      <c r="AF37" s="118">
        <v>94.732671100711102</v>
      </c>
      <c r="AG37" s="118">
        <v>97.125800648989994</v>
      </c>
      <c r="AH37" s="118">
        <v>99.497463157966706</v>
      </c>
      <c r="AI37" s="118">
        <v>101.84765862764202</v>
      </c>
      <c r="AJ37" s="118">
        <v>101.84765862764202</v>
      </c>
      <c r="AK37" s="118">
        <v>101.84765862764202</v>
      </c>
      <c r="AL37" s="118">
        <v>101.84765862764202</v>
      </c>
      <c r="AM37" s="118">
        <v>101.84765862764202</v>
      </c>
      <c r="AN37" s="118">
        <v>101.84765862764202</v>
      </c>
      <c r="AO37" s="118">
        <v>101.84765862764202</v>
      </c>
      <c r="AP37" s="118">
        <v>101.84765862764202</v>
      </c>
      <c r="AQ37" s="118">
        <v>101.84765862764202</v>
      </c>
      <c r="AR37" s="3" t="s">
        <v>162</v>
      </c>
    </row>
    <row r="38" spans="2:44" s="47" customFormat="1" ht="15" customHeight="1" x14ac:dyDescent="0.35">
      <c r="B38" s="117" t="s">
        <v>147</v>
      </c>
      <c r="C38" s="102"/>
      <c r="D38" s="118"/>
      <c r="E38" s="118">
        <v>0</v>
      </c>
      <c r="F38" s="118">
        <v>0</v>
      </c>
      <c r="G38" s="118">
        <v>0</v>
      </c>
      <c r="H38" s="118">
        <v>0</v>
      </c>
      <c r="I38" s="118">
        <v>0</v>
      </c>
      <c r="J38" s="118">
        <v>0</v>
      </c>
      <c r="K38" s="118">
        <v>0</v>
      </c>
      <c r="L38" s="118">
        <v>0</v>
      </c>
      <c r="M38" s="118">
        <v>0</v>
      </c>
      <c r="N38" s="118">
        <v>0</v>
      </c>
      <c r="O38" s="118">
        <v>0</v>
      </c>
      <c r="P38" s="118">
        <v>0</v>
      </c>
      <c r="Q38" s="118">
        <v>0</v>
      </c>
      <c r="R38" s="118">
        <v>2.1908346961933955</v>
      </c>
      <c r="S38" s="118">
        <v>4.3315455822901852</v>
      </c>
      <c r="T38" s="118">
        <v>6.1334202810250771</v>
      </c>
      <c r="U38" s="118">
        <v>7.9911169652514555</v>
      </c>
      <c r="V38" s="118">
        <v>9.9046356349706333</v>
      </c>
      <c r="W38" s="118">
        <v>11.873976290180316</v>
      </c>
      <c r="X38" s="118">
        <v>13.899138930883124</v>
      </c>
      <c r="Y38" s="118">
        <v>15.980123557078405</v>
      </c>
      <c r="Z38" s="118">
        <v>18.116930168764519</v>
      </c>
      <c r="AA38" s="118">
        <v>20.309558765942118</v>
      </c>
      <c r="AB38" s="118">
        <v>22.558009348613183</v>
      </c>
      <c r="AC38" s="118">
        <v>24.862281916777032</v>
      </c>
      <c r="AD38" s="118">
        <v>27.222376470430415</v>
      </c>
      <c r="AE38" s="118">
        <v>29.638293009576589</v>
      </c>
      <c r="AF38" s="118">
        <v>32.110031534215565</v>
      </c>
      <c r="AG38" s="118">
        <v>34.63759204434669</v>
      </c>
      <c r="AH38" s="118">
        <v>37.220974539969291</v>
      </c>
      <c r="AI38" s="118">
        <v>39.86017902108339</v>
      </c>
      <c r="AJ38" s="118">
        <v>42.555205487689626</v>
      </c>
      <c r="AK38" s="118">
        <v>45.306053939789322</v>
      </c>
      <c r="AL38" s="118">
        <v>48.112724377379195</v>
      </c>
      <c r="AM38" s="118">
        <v>50.975216800461872</v>
      </c>
      <c r="AN38" s="118">
        <v>53.89353120903732</v>
      </c>
      <c r="AO38" s="118">
        <v>53.89353120903732</v>
      </c>
      <c r="AP38" s="118">
        <v>53.89353120903732</v>
      </c>
      <c r="AQ38" s="118">
        <v>53.89353120903732</v>
      </c>
      <c r="AR38" s="3" t="s">
        <v>163</v>
      </c>
    </row>
    <row r="39" spans="2:44" s="47" customFormat="1" ht="15" customHeight="1" x14ac:dyDescent="0.35">
      <c r="B39" s="117" t="s">
        <v>149</v>
      </c>
      <c r="C39" s="102"/>
      <c r="D39" s="118"/>
      <c r="E39" s="118">
        <v>0</v>
      </c>
      <c r="F39" s="118">
        <v>0</v>
      </c>
      <c r="G39" s="118">
        <v>0</v>
      </c>
      <c r="H39" s="118">
        <v>0</v>
      </c>
      <c r="I39" s="118">
        <v>0</v>
      </c>
      <c r="J39" s="118">
        <v>7.1263148664203326</v>
      </c>
      <c r="K39" s="118">
        <v>7.1610288989719528</v>
      </c>
      <c r="L39" s="118">
        <v>7.195934901559851</v>
      </c>
      <c r="M39" s="118">
        <v>7.2310340835267581</v>
      </c>
      <c r="N39" s="118">
        <v>7.2663276627694664</v>
      </c>
      <c r="O39" s="118">
        <v>7.3018168658058276</v>
      </c>
      <c r="P39" s="118">
        <v>7.337502927840263</v>
      </c>
      <c r="Q39" s="118">
        <v>7.3733870928321545</v>
      </c>
      <c r="R39" s="118">
        <v>7.4094706135634203</v>
      </c>
      <c r="S39" s="118">
        <v>7.445754751707093</v>
      </c>
      <c r="T39" s="118">
        <v>7.4822407778957594</v>
      </c>
      <c r="U39" s="118">
        <v>7.5189299717920806</v>
      </c>
      <c r="V39" s="118">
        <v>7.555823622158071</v>
      </c>
      <c r="W39" s="118">
        <v>7.5929230269267256</v>
      </c>
      <c r="X39" s="118">
        <v>7.6302294932722488</v>
      </c>
      <c r="Y39" s="118">
        <v>7.6677443376833079</v>
      </c>
      <c r="Z39" s="118">
        <v>7.7054688860343816</v>
      </c>
      <c r="AA39" s="118">
        <v>7.7434044736596332</v>
      </c>
      <c r="AB39" s="118">
        <v>7.7815524454260858</v>
      </c>
      <c r="AC39" s="118">
        <v>7.8199141558089842</v>
      </c>
      <c r="AD39" s="118">
        <v>7.8584909689648912</v>
      </c>
      <c r="AE39" s="118">
        <v>7.8972842588094281</v>
      </c>
      <c r="AF39" s="118">
        <v>7.9362954090921827</v>
      </c>
      <c r="AG39" s="118">
        <v>7.975525813473495</v>
      </c>
      <c r="AH39" s="118">
        <v>8.0149768756030237</v>
      </c>
      <c r="AI39" s="118">
        <v>8.0546500091962017</v>
      </c>
      <c r="AJ39" s="118">
        <v>8.0546500091962017</v>
      </c>
      <c r="AK39" s="118">
        <v>8.0546500091962017</v>
      </c>
      <c r="AL39" s="118">
        <v>8.0546500091962017</v>
      </c>
      <c r="AM39" s="118">
        <v>8.0546500091962017</v>
      </c>
      <c r="AN39" s="118">
        <v>8.0546500091962017</v>
      </c>
      <c r="AO39" s="118">
        <v>8.0546500091962017</v>
      </c>
      <c r="AP39" s="118">
        <v>8.0546500091962017</v>
      </c>
      <c r="AQ39" s="118">
        <v>8.0546500091962017</v>
      </c>
      <c r="AR39" s="3" t="s">
        <v>164</v>
      </c>
    </row>
    <row r="40" spans="2:44" s="47" customFormat="1" ht="15" customHeight="1" x14ac:dyDescent="0.35">
      <c r="B40" s="102" t="s">
        <v>151</v>
      </c>
      <c r="C40" s="102"/>
      <c r="D40" s="118"/>
      <c r="E40" s="118">
        <v>0</v>
      </c>
      <c r="F40" s="118">
        <v>0</v>
      </c>
      <c r="G40" s="118">
        <v>0</v>
      </c>
      <c r="H40" s="118">
        <v>0</v>
      </c>
      <c r="I40" s="118">
        <v>0</v>
      </c>
      <c r="J40" s="118">
        <v>10.7737470973864</v>
      </c>
      <c r="K40" s="118">
        <v>10.818163438389666</v>
      </c>
      <c r="L40" s="118">
        <v>10.862770859994386</v>
      </c>
      <c r="M40" s="118">
        <v>10.907570217995223</v>
      </c>
      <c r="N40" s="118">
        <v>10.952562372162364</v>
      </c>
      <c r="O40" s="118">
        <v>10.997748186261683</v>
      </c>
      <c r="P40" s="118">
        <v>11.043128528071891</v>
      </c>
      <c r="Q40" s="118">
        <v>11.08870426940527</v>
      </c>
      <c r="R40" s="118">
        <v>11.134476286127047</v>
      </c>
      <c r="S40" s="118">
        <v>11.18044545817466</v>
      </c>
      <c r="T40" s="118">
        <v>11.226612669576307</v>
      </c>
      <c r="U40" s="118">
        <v>11.272978808472336</v>
      </c>
      <c r="V40" s="118">
        <v>11.319544767133424</v>
      </c>
      <c r="W40" s="118">
        <v>11.366311441981869</v>
      </c>
      <c r="X40" s="118">
        <v>11.413279733609643</v>
      </c>
      <c r="Y40" s="118">
        <v>11.460450546800622</v>
      </c>
      <c r="Z40" s="118">
        <v>11.507824790549106</v>
      </c>
      <c r="AA40" s="118">
        <v>11.555403378080758</v>
      </c>
      <c r="AB40" s="118">
        <v>11.603187226872244</v>
      </c>
      <c r="AC40" s="118">
        <v>11.651177258673407</v>
      </c>
      <c r="AD40" s="118">
        <v>11.699374399525089</v>
      </c>
      <c r="AE40" s="118">
        <v>11.747779579782469</v>
      </c>
      <c r="AF40" s="118">
        <v>11.796393734134195</v>
      </c>
      <c r="AG40" s="118">
        <v>11.845217801623152</v>
      </c>
      <c r="AH40" s="118">
        <v>11.894252725669256</v>
      </c>
      <c r="AI40" s="118">
        <v>11.943499454087371</v>
      </c>
      <c r="AJ40" s="118">
        <v>11.943499454087371</v>
      </c>
      <c r="AK40" s="118">
        <v>11.943499454087371</v>
      </c>
      <c r="AL40" s="118">
        <v>11.943499454087371</v>
      </c>
      <c r="AM40" s="118">
        <v>11.943499454087371</v>
      </c>
      <c r="AN40" s="118">
        <v>11.943499454087371</v>
      </c>
      <c r="AO40" s="118">
        <v>11.943499454087371</v>
      </c>
      <c r="AP40" s="118">
        <v>11.943499454087371</v>
      </c>
      <c r="AQ40" s="118">
        <v>11.943499454087371</v>
      </c>
      <c r="AR40" s="3" t="s">
        <v>165</v>
      </c>
    </row>
    <row r="41" spans="2:44" s="47" customFormat="1" ht="15" customHeight="1" x14ac:dyDescent="0.35">
      <c r="B41" s="102"/>
      <c r="C41" s="102"/>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02"/>
    </row>
    <row r="42" spans="2:44" s="47" customFormat="1" ht="15" customHeight="1" x14ac:dyDescent="0.35">
      <c r="B42" s="150" t="s">
        <v>153</v>
      </c>
      <c r="C42" s="102"/>
      <c r="D42" s="46" t="s">
        <v>142</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2"/>
    </row>
    <row r="43" spans="2:44" s="47" customFormat="1" ht="15" customHeight="1" x14ac:dyDescent="0.35">
      <c r="B43" s="150"/>
      <c r="C43" s="102"/>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2"/>
    </row>
    <row r="44" spans="2:44" s="47" customFormat="1" ht="15" customHeight="1" x14ac:dyDescent="0.35">
      <c r="B44" s="117" t="s">
        <v>143</v>
      </c>
      <c r="C44" s="102"/>
      <c r="D44" s="118"/>
      <c r="E44" s="118">
        <v>53.446681519489552</v>
      </c>
      <c r="F44" s="118">
        <v>57.481523453772276</v>
      </c>
      <c r="G44" s="118">
        <v>61.51636538805262</v>
      </c>
      <c r="H44" s="118">
        <v>65.551207322334378</v>
      </c>
      <c r="I44" s="118">
        <v>69.58604925661713</v>
      </c>
      <c r="J44" s="118">
        <v>73.620891190897936</v>
      </c>
      <c r="K44" s="118">
        <v>77.655733125180674</v>
      </c>
      <c r="L44" s="118">
        <v>81.69057505946148</v>
      </c>
      <c r="M44" s="118">
        <v>85.725416993744233</v>
      </c>
      <c r="N44" s="118">
        <v>89.760258928025053</v>
      </c>
      <c r="O44" s="118">
        <v>93.795100862306825</v>
      </c>
      <c r="P44" s="118">
        <v>97.829942796588583</v>
      </c>
      <c r="Q44" s="118">
        <v>101.86478473087037</v>
      </c>
      <c r="R44" s="118">
        <v>105.89962666515213</v>
      </c>
      <c r="S44" s="118">
        <v>109.93446859943293</v>
      </c>
      <c r="T44" s="118">
        <v>113.96931053371664</v>
      </c>
      <c r="U44" s="118">
        <v>118.00415246799648</v>
      </c>
      <c r="V44" s="118">
        <v>122.03899440227924</v>
      </c>
      <c r="W44" s="118">
        <v>126.07383633656006</v>
      </c>
      <c r="X44" s="118">
        <v>130.10867827084181</v>
      </c>
      <c r="Y44" s="118">
        <v>134.14352020512456</v>
      </c>
      <c r="Z44" s="118">
        <v>134.14352020512456</v>
      </c>
      <c r="AA44" s="118">
        <v>134.14352020512456</v>
      </c>
      <c r="AB44" s="118">
        <v>134.14352020512456</v>
      </c>
      <c r="AC44" s="118">
        <v>134.14352020512456</v>
      </c>
      <c r="AD44" s="118">
        <v>134.14352020512456</v>
      </c>
      <c r="AE44" s="118">
        <v>134.14352020512456</v>
      </c>
      <c r="AF44" s="118">
        <v>134.14352020512456</v>
      </c>
      <c r="AG44" s="118">
        <v>134.14352020512456</v>
      </c>
      <c r="AH44" s="118">
        <v>134.14352020512456</v>
      </c>
      <c r="AI44" s="118">
        <v>134.14352020512456</v>
      </c>
      <c r="AJ44" s="118">
        <v>134.14352020512456</v>
      </c>
      <c r="AK44" s="118">
        <v>134.14352020512456</v>
      </c>
      <c r="AL44" s="118">
        <v>134.14352020512456</v>
      </c>
      <c r="AM44" s="118">
        <v>134.14352020512456</v>
      </c>
      <c r="AN44" s="118">
        <v>134.14352020512456</v>
      </c>
      <c r="AO44" s="118">
        <v>134.14352020512456</v>
      </c>
      <c r="AP44" s="118">
        <v>134.14352020512456</v>
      </c>
      <c r="AQ44" s="118">
        <v>134.14352020512456</v>
      </c>
      <c r="AR44" s="3" t="s">
        <v>166</v>
      </c>
    </row>
    <row r="45" spans="2:44" s="47" customFormat="1" ht="15" customHeight="1" x14ac:dyDescent="0.35">
      <c r="B45" s="117"/>
      <c r="C45" s="102"/>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3"/>
    </row>
    <row r="46" spans="2:44" s="47" customFormat="1" ht="15" customHeight="1" x14ac:dyDescent="0.35">
      <c r="B46" s="55" t="s">
        <v>167</v>
      </c>
      <c r="C46" s="102"/>
      <c r="D46" s="55" t="s">
        <v>393</v>
      </c>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3"/>
    </row>
    <row r="47" spans="2:44" s="47" customFormat="1" ht="15" customHeight="1" x14ac:dyDescent="0.35">
      <c r="B47" s="102"/>
      <c r="C47" s="102"/>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02"/>
    </row>
    <row r="48" spans="2:44" s="2" customFormat="1" ht="18.5" x14ac:dyDescent="0.45">
      <c r="B48" s="2" t="s">
        <v>168</v>
      </c>
    </row>
    <row r="49" spans="2:96" s="47" customFormat="1" ht="15" customHeight="1" x14ac:dyDescent="0.35">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row>
    <row r="50" spans="2:96" s="47" customFormat="1" ht="15" customHeight="1" x14ac:dyDescent="0.35">
      <c r="B50" s="102"/>
      <c r="C50" s="102"/>
      <c r="D50" s="102"/>
      <c r="E50" s="102"/>
      <c r="F50" s="3"/>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row>
    <row r="51" spans="2:96" s="47" customFormat="1" ht="15" customHeight="1" x14ac:dyDescent="0.35">
      <c r="B51" s="102" t="s">
        <v>169</v>
      </c>
      <c r="C51" s="102"/>
      <c r="D51" s="121">
        <v>2023</v>
      </c>
      <c r="E51" s="3" t="s">
        <v>170</v>
      </c>
      <c r="F51" s="3"/>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row>
    <row r="52" spans="2:96" s="47" customFormat="1" ht="15" customHeight="1" x14ac:dyDescent="0.35">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row>
    <row r="53" spans="2:96" s="47" customFormat="1" ht="15" customHeight="1" x14ac:dyDescent="0.35">
      <c r="B53" s="102" t="s">
        <v>171</v>
      </c>
      <c r="C53" s="102"/>
      <c r="D53" s="121">
        <f>Current_year_in-PV_base_year_in</f>
        <v>2</v>
      </c>
      <c r="E53" s="3" t="s">
        <v>172</v>
      </c>
      <c r="F53" s="3"/>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row>
    <row r="54" spans="2:96" s="47" customFormat="1" ht="15" customHeight="1" x14ac:dyDescent="0.35">
      <c r="B54" s="102" t="s">
        <v>173</v>
      </c>
      <c r="C54" s="102"/>
      <c r="D54" s="121">
        <v>30</v>
      </c>
      <c r="E54" s="3" t="s">
        <v>174</v>
      </c>
      <c r="F54" s="3"/>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row>
    <row r="55" spans="2:96" s="47" customFormat="1" ht="15" customHeight="1" x14ac:dyDescent="0.35">
      <c r="B55" s="102" t="s">
        <v>175</v>
      </c>
      <c r="C55" s="102"/>
      <c r="D55" s="121">
        <v>75</v>
      </c>
      <c r="E55" s="3" t="s">
        <v>176</v>
      </c>
      <c r="F55" s="3"/>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row>
    <row r="56" spans="2:96" s="47" customFormat="1" ht="15" customHeight="1" x14ac:dyDescent="0.35">
      <c r="B56" s="102" t="s">
        <v>177</v>
      </c>
      <c r="C56" s="102"/>
      <c r="D56" s="122">
        <v>3.5000000000000003E-2</v>
      </c>
      <c r="E56" s="3" t="s">
        <v>178</v>
      </c>
      <c r="F56" s="3"/>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row>
    <row r="57" spans="2:96" s="47" customFormat="1" ht="15" customHeight="1" x14ac:dyDescent="0.35">
      <c r="B57" s="102" t="s">
        <v>179</v>
      </c>
      <c r="C57" s="102"/>
      <c r="D57" s="122">
        <v>0.03</v>
      </c>
      <c r="E57" s="3" t="s">
        <v>180</v>
      </c>
      <c r="F57" s="3"/>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row>
    <row r="58" spans="2:96" s="47" customFormat="1" ht="15" customHeight="1" x14ac:dyDescent="0.35">
      <c r="B58" s="102" t="s">
        <v>181</v>
      </c>
      <c r="C58" s="102"/>
      <c r="D58" s="122">
        <v>2.5000000000000001E-2</v>
      </c>
      <c r="E58" s="3" t="s">
        <v>182</v>
      </c>
      <c r="F58" s="3"/>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row>
    <row r="59" spans="2:96" s="47" customFormat="1" ht="15" customHeight="1" x14ac:dyDescent="0.35">
      <c r="B59" s="102"/>
      <c r="C59" s="102"/>
      <c r="D59" s="123"/>
      <c r="E59" s="3"/>
      <c r="F59" s="3"/>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row>
    <row r="60" spans="2:96" s="47" customFormat="1" ht="15" customHeight="1" x14ac:dyDescent="0.35">
      <c r="B60" s="55" t="s">
        <v>167</v>
      </c>
      <c r="C60" s="55"/>
      <c r="D60" s="55" t="s">
        <v>394</v>
      </c>
      <c r="E60" s="3"/>
      <c r="F60" s="3"/>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row>
    <row r="61" spans="2:96" s="47" customFormat="1" ht="15" customHeight="1" x14ac:dyDescent="0.35">
      <c r="B61" s="102"/>
      <c r="C61" s="102"/>
      <c r="D61" s="123"/>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row>
    <row r="62" spans="2:96" s="47" customFormat="1" ht="15" customHeight="1" x14ac:dyDescent="0.35">
      <c r="B62" s="102"/>
      <c r="C62" s="102"/>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2"/>
      <c r="CR62" s="102"/>
    </row>
    <row r="63" spans="2:96" s="47" customFormat="1" ht="15" customHeight="1" x14ac:dyDescent="0.35">
      <c r="B63" s="102" t="s">
        <v>183</v>
      </c>
      <c r="C63" s="102"/>
      <c r="D63" s="56">
        <v>72.125210139005858</v>
      </c>
      <c r="E63" s="56">
        <v>73.710065801155281</v>
      </c>
      <c r="F63" s="56">
        <v>74.846244183861117</v>
      </c>
      <c r="G63" s="56">
        <v>76.423935131295991</v>
      </c>
      <c r="H63" s="56">
        <v>77.431667831365459</v>
      </c>
      <c r="I63" s="56">
        <v>77.943269996563018</v>
      </c>
      <c r="J63" s="56">
        <v>79.471638632557088</v>
      </c>
      <c r="K63" s="56">
        <v>80.947362190865917</v>
      </c>
      <c r="L63" s="56">
        <v>82.502935975486295</v>
      </c>
      <c r="M63" s="56">
        <v>84.261510010352509</v>
      </c>
      <c r="N63" s="56">
        <v>88.639462210283355</v>
      </c>
      <c r="O63" s="56">
        <v>88.514027784555992</v>
      </c>
      <c r="P63" s="56">
        <v>93.323524250482578</v>
      </c>
      <c r="Q63" s="56">
        <v>100</v>
      </c>
      <c r="R63" s="56">
        <v>103.83644513853338</v>
      </c>
      <c r="S63" s="56">
        <v>107.35218079199443</v>
      </c>
      <c r="T63" s="56">
        <v>109.76846895421627</v>
      </c>
      <c r="U63" s="56">
        <v>112.02379237117708</v>
      </c>
      <c r="V63" s="56">
        <v>114.18299879546288</v>
      </c>
      <c r="W63" s="56">
        <v>116.26899816682132</v>
      </c>
      <c r="X63" s="56">
        <v>118.51378524529244</v>
      </c>
      <c r="Y63" s="56">
        <v>121.07411999722073</v>
      </c>
      <c r="Z63" s="56">
        <v>123.8588247571568</v>
      </c>
      <c r="AA63" s="56">
        <v>126.7075777265714</v>
      </c>
      <c r="AB63" s="56">
        <v>129.62185201428252</v>
      </c>
      <c r="AC63" s="56">
        <v>132.603154610611</v>
      </c>
      <c r="AD63" s="56">
        <v>135.65302716665505</v>
      </c>
      <c r="AE63" s="56">
        <v>138.7730467914881</v>
      </c>
      <c r="AF63" s="56">
        <v>141.96482686769235</v>
      </c>
      <c r="AG63" s="56">
        <v>145.23001788564923</v>
      </c>
      <c r="AH63" s="56">
        <v>148.57030829701912</v>
      </c>
      <c r="AI63" s="56">
        <v>151.98742538785055</v>
      </c>
      <c r="AJ63" s="56">
        <v>155.48313617177109</v>
      </c>
      <c r="AK63" s="56">
        <v>159.05924830372183</v>
      </c>
      <c r="AL63" s="56">
        <v>162.71761101470739</v>
      </c>
      <c r="AM63" s="56">
        <v>166.46011606804564</v>
      </c>
      <c r="AN63" s="56">
        <v>170.2886987376107</v>
      </c>
      <c r="AO63" s="56">
        <v>174.20533880857573</v>
      </c>
      <c r="AP63" s="56">
        <v>178.21206160117296</v>
      </c>
      <c r="AQ63" s="56">
        <v>182.31093901799991</v>
      </c>
      <c r="AR63" s="56">
        <v>186.50409061541387</v>
      </c>
      <c r="AS63" s="56">
        <v>190.79368469956839</v>
      </c>
      <c r="AT63" s="56">
        <v>195.18193944765844</v>
      </c>
      <c r="AU63" s="56">
        <v>199.67112405495456</v>
      </c>
      <c r="AV63" s="56">
        <v>204.2635599082185</v>
      </c>
      <c r="AW63" s="56">
        <v>208.96162178610754</v>
      </c>
      <c r="AX63" s="56">
        <v>213.76773908718798</v>
      </c>
      <c r="AY63" s="56">
        <v>218.68439708619331</v>
      </c>
      <c r="AZ63" s="56">
        <v>223.71413821917571</v>
      </c>
      <c r="BA63" s="56">
        <v>228.85956339821672</v>
      </c>
      <c r="BB63" s="56">
        <v>234.1233333563757</v>
      </c>
      <c r="BC63" s="56">
        <v>239.50817002357229</v>
      </c>
      <c r="BD63" s="56">
        <v>245.01685793411446</v>
      </c>
      <c r="BE63" s="56">
        <v>250.65224566659907</v>
      </c>
      <c r="BF63" s="56">
        <v>256.41724731693085</v>
      </c>
      <c r="BG63" s="56">
        <v>262.31484400522021</v>
      </c>
      <c r="BH63" s="56">
        <v>268.34808541734026</v>
      </c>
      <c r="BI63" s="56">
        <v>274.52009138193904</v>
      </c>
      <c r="BJ63" s="56">
        <v>280.83405348372361</v>
      </c>
      <c r="BK63" s="56">
        <v>287.29323671384918</v>
      </c>
      <c r="BL63" s="56">
        <v>293.90098115826771</v>
      </c>
      <c r="BM63" s="56">
        <v>300.66070372490782</v>
      </c>
      <c r="BN63" s="56">
        <v>307.57589991058069</v>
      </c>
      <c r="BO63" s="56">
        <v>314.65014560852399</v>
      </c>
      <c r="BP63" s="56">
        <v>321.88709895752004</v>
      </c>
      <c r="BQ63" s="56">
        <v>329.29050223354295</v>
      </c>
      <c r="BR63" s="56">
        <v>336.86418378491442</v>
      </c>
      <c r="BS63" s="56">
        <v>344.61206001196734</v>
      </c>
      <c r="BT63" s="56">
        <v>352.53813739224262</v>
      </c>
      <c r="BU63" s="56">
        <v>360.64651455226414</v>
      </c>
      <c r="BV63" s="56">
        <v>368.94138438696615</v>
      </c>
      <c r="BW63" s="56">
        <v>377.42703622786632</v>
      </c>
      <c r="BX63" s="56">
        <v>386.10785806110727</v>
      </c>
      <c r="BY63" s="56">
        <v>394.98833879651272</v>
      </c>
      <c r="BZ63" s="56">
        <v>404.07307058883248</v>
      </c>
      <c r="CA63" s="56">
        <v>413.36675121237556</v>
      </c>
      <c r="CB63" s="56">
        <v>422.87418649026023</v>
      </c>
      <c r="CC63" s="56">
        <v>432.60029277953612</v>
      </c>
      <c r="CD63" s="56">
        <v>442.5500995134654</v>
      </c>
      <c r="CE63" s="56">
        <v>452.72875180227504</v>
      </c>
      <c r="CF63" s="56">
        <v>463.14151309372738</v>
      </c>
      <c r="CG63" s="56">
        <v>473.7937678948831</v>
      </c>
      <c r="CH63" s="56">
        <v>484.69102455646532</v>
      </c>
      <c r="CI63" s="56">
        <v>495.83891812126399</v>
      </c>
      <c r="CJ63" s="56">
        <v>507.24321323805299</v>
      </c>
      <c r="CK63" s="56">
        <v>518.90980714252817</v>
      </c>
      <c r="CL63" s="56">
        <v>530.84473270680621</v>
      </c>
      <c r="CM63" s="56">
        <v>543.05416155906278</v>
      </c>
      <c r="CN63" s="56">
        <v>555.54440727492101</v>
      </c>
      <c r="CO63" s="56">
        <v>568.3219286422443</v>
      </c>
      <c r="CP63" s="56">
        <v>581.39333300101578</v>
      </c>
      <c r="CQ63" s="57" t="s">
        <v>184</v>
      </c>
      <c r="CR63" s="3"/>
    </row>
    <row r="64" spans="2:96" s="47" customFormat="1" ht="15" customHeight="1" x14ac:dyDescent="0.35">
      <c r="B64" s="102" t="s">
        <v>185</v>
      </c>
      <c r="C64" s="102"/>
      <c r="D64" s="146">
        <v>135.32541538721591</v>
      </c>
      <c r="E64" s="146">
        <v>135.72920035087168</v>
      </c>
      <c r="F64" s="146">
        <v>136.85675715976171</v>
      </c>
      <c r="G64" s="146">
        <v>138.39060036894045</v>
      </c>
      <c r="H64" s="146">
        <v>141.7490909252611</v>
      </c>
      <c r="I64" s="146">
        <v>143.85681138377072</v>
      </c>
      <c r="J64" s="146">
        <v>145.46144065339672</v>
      </c>
      <c r="K64" s="146">
        <v>148.51319769973136</v>
      </c>
      <c r="L64" s="146">
        <v>149.86650227928774</v>
      </c>
      <c r="M64" s="146">
        <v>151.51977746837758</v>
      </c>
      <c r="N64" s="146">
        <v>135.68698078846879</v>
      </c>
      <c r="O64" s="146">
        <v>146.79689353630164</v>
      </c>
      <c r="P64" s="146">
        <v>152.49065861785786</v>
      </c>
      <c r="Q64" s="146">
        <v>151.58851308145597</v>
      </c>
      <c r="R64" s="146">
        <v>151.5071076748473</v>
      </c>
      <c r="S64" s="146">
        <v>153.03863007076464</v>
      </c>
      <c r="T64" s="146">
        <v>154.54647838309143</v>
      </c>
      <c r="U64" s="146">
        <v>156.34589247977652</v>
      </c>
      <c r="V64" s="146">
        <v>157.99935866883249</v>
      </c>
      <c r="W64" s="146">
        <v>159.70578174140101</v>
      </c>
      <c r="X64" s="146">
        <v>161.46540021848608</v>
      </c>
      <c r="Y64" s="146">
        <v>163.95728129882326</v>
      </c>
      <c r="Z64" s="146">
        <v>166.55839339107308</v>
      </c>
      <c r="AA64" s="146">
        <v>169.28233071955196</v>
      </c>
      <c r="AB64" s="146">
        <v>172.10853766475108</v>
      </c>
      <c r="AC64" s="146">
        <v>175.01020233659401</v>
      </c>
      <c r="AD64" s="146">
        <v>178.00867044247028</v>
      </c>
      <c r="AE64" s="146">
        <v>181.18786789535559</v>
      </c>
      <c r="AF64" s="146">
        <v>184.3179905096535</v>
      </c>
      <c r="AG64" s="146">
        <v>187.41021237427449</v>
      </c>
      <c r="AH64" s="146">
        <v>190.43720910551002</v>
      </c>
      <c r="AI64" s="146">
        <v>193.42894820650599</v>
      </c>
      <c r="AJ64" s="146">
        <v>196.385013703195</v>
      </c>
      <c r="AK64" s="146">
        <v>199.33493519397788</v>
      </c>
      <c r="AL64" s="146">
        <v>202.29684792106897</v>
      </c>
      <c r="AM64" s="146">
        <v>205.25283384280362</v>
      </c>
      <c r="AN64" s="146">
        <v>208.24056898035127</v>
      </c>
      <c r="AO64" s="146">
        <v>211.25362282775808</v>
      </c>
      <c r="AP64" s="146">
        <v>214.2985246353085</v>
      </c>
      <c r="AQ64" s="146">
        <v>217.37343523897255</v>
      </c>
      <c r="AR64" s="146">
        <v>220.4908588741545</v>
      </c>
      <c r="AS64" s="146">
        <v>223.66618561340059</v>
      </c>
      <c r="AT64" s="146">
        <v>226.89459878603935</v>
      </c>
      <c r="AU64" s="146">
        <v>230.15923812437669</v>
      </c>
      <c r="AV64" s="146">
        <v>233.46044554318789</v>
      </c>
      <c r="AW64" s="146">
        <v>236.79369094201473</v>
      </c>
      <c r="AX64" s="146">
        <v>240.14277669205759</v>
      </c>
      <c r="AY64" s="146">
        <v>243.51148765492297</v>
      </c>
      <c r="AZ64" s="146">
        <v>246.89878692324032</v>
      </c>
      <c r="BA64" s="146">
        <v>250.32318344236074</v>
      </c>
      <c r="BB64" s="146">
        <v>253.75626203580504</v>
      </c>
      <c r="BC64" s="146">
        <v>257.26689545862678</v>
      </c>
      <c r="BD64" s="146">
        <v>260.76953874569028</v>
      </c>
      <c r="BE64" s="146">
        <v>264.27935276274167</v>
      </c>
      <c r="BF64" s="146">
        <v>267.80445860093369</v>
      </c>
      <c r="BG64" s="146">
        <v>271.38172519038551</v>
      </c>
      <c r="BH64" s="146">
        <v>274.99949545244317</v>
      </c>
      <c r="BI64" s="146">
        <v>278.65989610950714</v>
      </c>
      <c r="BJ64" s="146">
        <v>282.42684908777915</v>
      </c>
      <c r="BK64" s="146">
        <v>286.39659176901557</v>
      </c>
      <c r="BL64" s="146">
        <v>290.52965236267926</v>
      </c>
      <c r="BM64" s="146">
        <v>294.74372951684848</v>
      </c>
      <c r="BN64" s="146">
        <v>299.01427853106128</v>
      </c>
      <c r="BO64" s="146">
        <v>303.36186392728496</v>
      </c>
      <c r="BP64" s="146">
        <v>307.0682903879873</v>
      </c>
      <c r="BQ64" s="146">
        <v>310.73354209812715</v>
      </c>
      <c r="BR64" s="146">
        <v>314.24901468553088</v>
      </c>
      <c r="BS64" s="146">
        <v>317.84600352687073</v>
      </c>
      <c r="BT64" s="146">
        <v>321.45675270693988</v>
      </c>
      <c r="BU64" s="146">
        <v>325.05895294663202</v>
      </c>
      <c r="BV64" s="146">
        <v>328.7240765249764</v>
      </c>
      <c r="BW64" s="146">
        <v>332.58092530922613</v>
      </c>
      <c r="BX64" s="146">
        <v>336.62625488691054</v>
      </c>
      <c r="BY64" s="146">
        <v>340.76696400601492</v>
      </c>
      <c r="BZ64" s="146">
        <v>344.93794604766299</v>
      </c>
      <c r="CA64" s="146">
        <v>349.32961570984503</v>
      </c>
      <c r="CB64" s="146">
        <v>353.9153927709246</v>
      </c>
      <c r="CC64" s="146">
        <v>358.63971957709015</v>
      </c>
      <c r="CD64" s="146">
        <v>363.54063210018955</v>
      </c>
      <c r="CE64" s="146">
        <v>368.67631032538367</v>
      </c>
      <c r="CF64" s="146">
        <v>373.85719960817835</v>
      </c>
      <c r="CG64" s="146">
        <v>379.38639175100724</v>
      </c>
      <c r="CH64" s="146">
        <v>385.01849789794193</v>
      </c>
      <c r="CI64" s="146">
        <v>390.72375789961546</v>
      </c>
      <c r="CJ64" s="146">
        <v>396.52664561714562</v>
      </c>
      <c r="CK64" s="146">
        <v>402.43448335492462</v>
      </c>
      <c r="CL64" s="146">
        <v>408.44209769551907</v>
      </c>
      <c r="CM64" s="146">
        <v>414.53885691710786</v>
      </c>
      <c r="CN64" s="146">
        <v>420.71998034555924</v>
      </c>
      <c r="CO64" s="146">
        <v>426.98196476983327</v>
      </c>
      <c r="CP64" s="146">
        <v>433.32285006737499</v>
      </c>
      <c r="CQ64" s="57" t="s">
        <v>186</v>
      </c>
      <c r="CR64" s="102"/>
    </row>
    <row r="65" spans="2:95" s="47" customFormat="1" ht="15" customHeight="1" x14ac:dyDescent="0.35">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row>
    <row r="66" spans="2:95" s="47" customFormat="1" ht="15" customHeight="1" x14ac:dyDescent="0.35">
      <c r="B66" s="102" t="s">
        <v>167</v>
      </c>
      <c r="C66" s="102"/>
      <c r="D66" s="55" t="s">
        <v>395</v>
      </c>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3"/>
    </row>
    <row r="67" spans="2:95" s="47" customFormat="1" ht="15" customHeight="1" x14ac:dyDescent="0.35">
      <c r="B67" s="102"/>
      <c r="C67" s="102"/>
      <c r="D67" s="55"/>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3"/>
    </row>
    <row r="68" spans="2:95" s="47" customFormat="1" ht="15" customHeight="1" x14ac:dyDescent="0.35">
      <c r="B68" s="102" t="s">
        <v>187</v>
      </c>
      <c r="C68" s="102"/>
      <c r="D68" s="121">
        <v>1.3</v>
      </c>
      <c r="E68" s="57" t="s">
        <v>188</v>
      </c>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3"/>
    </row>
    <row r="69" spans="2:95" s="47" customFormat="1" ht="15" customHeight="1" x14ac:dyDescent="0.35">
      <c r="B69" s="102"/>
      <c r="C69" s="102"/>
      <c r="D69" s="55"/>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3"/>
    </row>
    <row r="70" spans="2:95" s="47" customFormat="1" ht="15" customHeight="1" x14ac:dyDescent="0.35">
      <c r="B70" s="102" t="s">
        <v>189</v>
      </c>
      <c r="C70" s="102"/>
      <c r="D70" s="124">
        <v>2.2999999999999998</v>
      </c>
      <c r="E70" s="124">
        <v>2.2999999999999998</v>
      </c>
      <c r="F70" s="124">
        <v>2.2999999999999998</v>
      </c>
      <c r="G70" s="124">
        <v>2.2999999999999998</v>
      </c>
      <c r="H70" s="124">
        <v>2.2999999999999998</v>
      </c>
      <c r="I70" s="124">
        <v>2.2999999999999998</v>
      </c>
      <c r="J70" s="124">
        <v>2.2999999999999998</v>
      </c>
      <c r="K70" s="124">
        <v>2.2999999999999998</v>
      </c>
      <c r="L70" s="124">
        <v>2.2999999999999998</v>
      </c>
      <c r="M70" s="124">
        <v>2.2999999999999998</v>
      </c>
      <c r="N70" s="124">
        <v>2.2999999999999998</v>
      </c>
      <c r="O70" s="124">
        <v>2.2999999999999998</v>
      </c>
      <c r="P70" s="124">
        <v>2.2999999999999998</v>
      </c>
      <c r="Q70" s="124">
        <v>2.2999999999999998</v>
      </c>
      <c r="R70" s="124">
        <v>2.2999999999999998</v>
      </c>
      <c r="S70" s="124">
        <v>2.2999999999999998</v>
      </c>
      <c r="T70" s="124">
        <v>2.2999999999999998</v>
      </c>
      <c r="U70" s="124">
        <v>2.2999999999999998</v>
      </c>
      <c r="V70" s="124">
        <v>2.2999999999999998</v>
      </c>
      <c r="W70" s="124">
        <v>2.2999999999999998</v>
      </c>
      <c r="X70" s="124">
        <v>2.2999999999999998</v>
      </c>
      <c r="Y70" s="124">
        <v>2.2999999999999998</v>
      </c>
      <c r="Z70" s="124">
        <v>2.2999999999999998</v>
      </c>
      <c r="AA70" s="124">
        <v>2.2999999999999998</v>
      </c>
      <c r="AB70" s="124">
        <v>2.2999999999999998</v>
      </c>
      <c r="AC70" s="124">
        <v>2.2999999999999998</v>
      </c>
      <c r="AD70" s="124">
        <v>2.2999999999999998</v>
      </c>
      <c r="AE70" s="124">
        <v>2.2999999999999998</v>
      </c>
      <c r="AF70" s="124">
        <v>2.2999999999999998</v>
      </c>
      <c r="AG70" s="124">
        <v>2.2999999999999998</v>
      </c>
      <c r="AH70" s="124">
        <v>2.2999999999999998</v>
      </c>
      <c r="AI70" s="124">
        <v>2.2999999999999998</v>
      </c>
      <c r="AJ70" s="124">
        <v>2.2999999999999998</v>
      </c>
      <c r="AK70" s="124">
        <v>2.2999999999999998</v>
      </c>
      <c r="AL70" s="124">
        <v>2.2999999999999998</v>
      </c>
      <c r="AM70" s="124">
        <v>2.2999999999999998</v>
      </c>
      <c r="AN70" s="124">
        <v>2.2999999999999998</v>
      </c>
      <c r="AO70" s="124">
        <v>2.2999999999999998</v>
      </c>
      <c r="AP70" s="124">
        <v>2.2999999999999998</v>
      </c>
      <c r="AQ70" s="124">
        <v>2.2999999999999998</v>
      </c>
      <c r="AR70" s="124">
        <v>2.2999999999999998</v>
      </c>
      <c r="AS70" s="124">
        <v>2.2999999999999998</v>
      </c>
      <c r="AT70" s="124">
        <v>2.2999999999999998</v>
      </c>
      <c r="AU70" s="124">
        <v>2.2999999999999998</v>
      </c>
      <c r="AV70" s="124">
        <v>2.2999999999999998</v>
      </c>
      <c r="AW70" s="124">
        <v>2.2999999999999998</v>
      </c>
      <c r="AX70" s="124">
        <v>2.2999999999999998</v>
      </c>
      <c r="AY70" s="124">
        <v>2.2999999999999998</v>
      </c>
      <c r="AZ70" s="124">
        <v>2.2999999999999998</v>
      </c>
      <c r="BA70" s="124">
        <v>2.2999999999999998</v>
      </c>
      <c r="BB70" s="124">
        <v>2.2999999999999998</v>
      </c>
      <c r="BC70" s="124">
        <v>2.2999999999999998</v>
      </c>
      <c r="BD70" s="124">
        <v>2.2999999999999998</v>
      </c>
      <c r="BE70" s="124">
        <v>2.2999999999999998</v>
      </c>
      <c r="BF70" s="124">
        <v>2.2999999999999998</v>
      </c>
      <c r="BG70" s="124">
        <v>2.2999999999999998</v>
      </c>
      <c r="BH70" s="124">
        <v>2.2999999999999998</v>
      </c>
      <c r="BI70" s="124">
        <v>2.2999999999999998</v>
      </c>
      <c r="BJ70" s="124">
        <v>2.2999999999999998</v>
      </c>
      <c r="BK70" s="124">
        <v>2.2999999999999998</v>
      </c>
      <c r="BL70" s="124">
        <v>2.2999999999999998</v>
      </c>
      <c r="BM70" s="124">
        <v>2.2999999999999998</v>
      </c>
      <c r="BN70" s="124">
        <v>2.2999999999999998</v>
      </c>
      <c r="BO70" s="124">
        <v>2.2999999999999998</v>
      </c>
      <c r="BP70" s="124">
        <v>2.2999999999999998</v>
      </c>
      <c r="BQ70" s="124">
        <v>2.2999999999999998</v>
      </c>
      <c r="BR70" s="124">
        <v>2.2999999999999998</v>
      </c>
      <c r="BS70" s="124">
        <v>2.2999999999999998</v>
      </c>
      <c r="BT70" s="124">
        <v>2.2999999999999998</v>
      </c>
      <c r="BU70" s="124">
        <v>2.2999999999999998</v>
      </c>
      <c r="BV70" s="124">
        <v>2.2999999999999998</v>
      </c>
      <c r="BW70" s="124">
        <v>2.2999999999999998</v>
      </c>
      <c r="BX70" s="124">
        <v>2.2999999999999998</v>
      </c>
      <c r="BY70" s="124">
        <v>2.2999999999999998</v>
      </c>
      <c r="BZ70" s="124">
        <v>2.2999999999999998</v>
      </c>
      <c r="CA70" s="124">
        <v>2.2999999999999998</v>
      </c>
      <c r="CB70" s="124">
        <v>2.2999999999999998</v>
      </c>
      <c r="CC70" s="124">
        <v>2.2999999999999998</v>
      </c>
      <c r="CD70" s="124">
        <v>2.2999999999999998</v>
      </c>
      <c r="CE70" s="124">
        <v>2.2999999999999998</v>
      </c>
      <c r="CF70" s="124">
        <v>2.2999999999999998</v>
      </c>
      <c r="CG70" s="124">
        <v>2.2999999999999998</v>
      </c>
      <c r="CH70" s="124">
        <v>2.2999999999999998</v>
      </c>
      <c r="CI70" s="124">
        <v>2.2999999999999998</v>
      </c>
      <c r="CJ70" s="124">
        <v>2.2999999999999998</v>
      </c>
      <c r="CK70" s="124">
        <v>2.2999999999999998</v>
      </c>
      <c r="CL70" s="124">
        <v>2.2999999999999998</v>
      </c>
      <c r="CM70" s="124">
        <v>2.2999999999999998</v>
      </c>
      <c r="CN70" s="124">
        <v>2.2999999999999998</v>
      </c>
      <c r="CO70" s="124">
        <v>2.2999999999999998</v>
      </c>
      <c r="CP70" s="124">
        <v>2.2999999999999998</v>
      </c>
      <c r="CQ70" s="3" t="s">
        <v>190</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tabSelected="1" zoomScale="70" zoomScaleNormal="70" workbookViewId="0">
      <pane xSplit="3" ySplit="2" topLeftCell="K1053" activePane="bottomRight" state="frozen"/>
      <selection pane="topRight" activeCell="D1" sqref="D1"/>
      <selection pane="bottomLeft" activeCell="A3" sqref="A3"/>
      <selection pane="bottomRight" activeCell="K999" sqref="K999"/>
    </sheetView>
  </sheetViews>
  <sheetFormatPr defaultColWidth="0" defaultRowHeight="12.5" zeroHeight="1" outlineLevelRow="1" x14ac:dyDescent="0.25"/>
  <cols>
    <col min="1" max="1" width="9.08984375" customWidth="1"/>
    <col min="2" max="2" width="23" customWidth="1"/>
    <col min="3" max="3" width="17.453125" customWidth="1"/>
    <col min="4" max="4" width="16" customWidth="1"/>
    <col min="5" max="5" width="12" customWidth="1"/>
    <col min="6" max="10" width="9.08984375" customWidth="1"/>
    <col min="11" max="11" width="10.90625" customWidth="1"/>
    <col min="12" max="16" width="9.08984375" customWidth="1"/>
    <col min="17" max="17" width="11.90625" customWidth="1"/>
    <col min="18" max="29" width="9.08984375" customWidth="1"/>
    <col min="30" max="39" width="10" bestFit="1" customWidth="1"/>
    <col min="40" max="40" width="12" customWidth="1"/>
    <col min="41" max="41" width="10" bestFit="1" customWidth="1"/>
    <col min="42" max="42" width="17.6328125" customWidth="1"/>
    <col min="43" max="80" width="8.6328125" customWidth="1"/>
    <col min="81" max="94" width="9.08984375" customWidth="1"/>
    <col min="95" max="95" width="45.54296875" bestFit="1" customWidth="1"/>
    <col min="96" max="16384" width="9.08984375" hidden="1"/>
  </cols>
  <sheetData>
    <row r="1" spans="1:95" x14ac:dyDescent="0.25"/>
    <row r="2" spans="1:95" s="1" customFormat="1" ht="26" x14ac:dyDescent="0.6">
      <c r="B2" s="1" t="s">
        <v>191</v>
      </c>
    </row>
    <row r="3" spans="1:95" s="22" customFormat="1" x14ac:dyDescent="0.25"/>
    <row r="4" spans="1:95" s="2" customFormat="1" ht="18.5" x14ac:dyDescent="0.45">
      <c r="B4" s="2" t="s">
        <v>84</v>
      </c>
    </row>
    <row r="5" spans="1:95" s="22" customFormat="1" x14ac:dyDescent="0.25"/>
    <row r="6" spans="1:95" s="5" customFormat="1" ht="15.5" x14ac:dyDescent="0.35">
      <c r="B6" s="5" t="s">
        <v>192</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7" t="s">
        <v>93</v>
      </c>
      <c r="C8" s="49" t="s">
        <v>94</v>
      </c>
      <c r="D8" s="70" t="s">
        <v>95</v>
      </c>
      <c r="E8" s="70" t="s">
        <v>96</v>
      </c>
      <c r="F8" s="70" t="s">
        <v>97</v>
      </c>
      <c r="G8" s="70" t="s">
        <v>98</v>
      </c>
      <c r="H8" s="70" t="s">
        <v>99</v>
      </c>
      <c r="I8" s="70" t="s">
        <v>100</v>
      </c>
      <c r="J8" s="70" t="s">
        <v>101</v>
      </c>
      <c r="K8" s="70" t="s">
        <v>102</v>
      </c>
      <c r="L8" s="70" t="s">
        <v>103</v>
      </c>
      <c r="M8" s="70" t="s">
        <v>104</v>
      </c>
      <c r="N8" s="70" t="s">
        <v>105</v>
      </c>
      <c r="O8" s="70" t="s">
        <v>106</v>
      </c>
      <c r="P8" s="70" t="s">
        <v>107</v>
      </c>
      <c r="Q8" s="70" t="s">
        <v>108</v>
      </c>
      <c r="R8" s="70" t="s">
        <v>109</v>
      </c>
      <c r="S8" s="70" t="s">
        <v>110</v>
      </c>
      <c r="T8" s="70" t="s">
        <v>111</v>
      </c>
      <c r="U8" s="70" t="s">
        <v>112</v>
      </c>
      <c r="V8" s="70" t="s">
        <v>113</v>
      </c>
      <c r="W8" s="70" t="s">
        <v>114</v>
      </c>
      <c r="X8" s="70" t="s">
        <v>115</v>
      </c>
      <c r="Y8" s="70" t="s">
        <v>116</v>
      </c>
      <c r="Z8" s="70" t="s">
        <v>117</v>
      </c>
      <c r="AA8" s="70" t="s">
        <v>118</v>
      </c>
      <c r="AB8" s="70" t="s">
        <v>119</v>
      </c>
      <c r="AC8" s="70" t="s">
        <v>120</v>
      </c>
      <c r="AD8" s="70" t="s">
        <v>121</v>
      </c>
      <c r="AE8" s="70" t="s">
        <v>122</v>
      </c>
      <c r="AF8" s="70" t="s">
        <v>123</v>
      </c>
      <c r="AG8" s="70" t="s">
        <v>124</v>
      </c>
      <c r="AH8" s="70" t="s">
        <v>125</v>
      </c>
      <c r="AI8" s="70" t="s">
        <v>126</v>
      </c>
      <c r="AJ8" s="70" t="s">
        <v>127</v>
      </c>
      <c r="AK8" s="70" t="s">
        <v>128</v>
      </c>
      <c r="AL8" s="70" t="s">
        <v>129</v>
      </c>
      <c r="AM8" s="70" t="s">
        <v>130</v>
      </c>
      <c r="AN8" s="70" t="s">
        <v>131</v>
      </c>
      <c r="AO8" s="70"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133</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8" t="s">
        <v>95</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2" t="s">
        <v>96</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2" t="s">
        <v>97</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2" t="s">
        <v>98</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2" t="s">
        <v>99</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2" t="s">
        <v>100</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2" t="s">
        <v>101</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2" t="s">
        <v>102</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2" t="s">
        <v>103</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5">
      <c r="A19" s="55"/>
      <c r="B19" s="112" t="s">
        <v>104</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5">
      <c r="A20" s="55"/>
      <c r="B20" s="112" t="s">
        <v>105</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5">
      <c r="A21" s="55"/>
      <c r="B21" s="112" t="s">
        <v>106</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5" x14ac:dyDescent="0.35">
      <c r="A22" s="55"/>
      <c r="B22" s="112" t="s">
        <v>107</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5" x14ac:dyDescent="0.35">
      <c r="A23" s="55"/>
      <c r="B23" s="112" t="s">
        <v>108</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5" x14ac:dyDescent="0.35">
      <c r="A24" s="55"/>
      <c r="B24" s="112" t="s">
        <v>109</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5" x14ac:dyDescent="0.35">
      <c r="A25" s="55"/>
      <c r="B25" s="112" t="s">
        <v>110</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5" x14ac:dyDescent="0.35">
      <c r="A26" s="55"/>
      <c r="B26" s="112" t="s">
        <v>111</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5" x14ac:dyDescent="0.35">
      <c r="A27" s="55"/>
      <c r="B27" s="112" t="s">
        <v>112</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5" x14ac:dyDescent="0.35">
      <c r="A28" s="55"/>
      <c r="B28" s="112" t="s">
        <v>113</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5" x14ac:dyDescent="0.35">
      <c r="A29" s="55"/>
      <c r="B29" s="112" t="s">
        <v>114</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5" x14ac:dyDescent="0.35">
      <c r="A30" s="55"/>
      <c r="B30" s="112" t="s">
        <v>115</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5" x14ac:dyDescent="0.35">
      <c r="A31" s="55"/>
      <c r="B31" s="112" t="s">
        <v>116</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5" x14ac:dyDescent="0.35">
      <c r="A32" s="55"/>
      <c r="B32" s="112" t="s">
        <v>117</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5" x14ac:dyDescent="0.35">
      <c r="A33" s="55"/>
      <c r="B33" s="112" t="s">
        <v>118</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5" x14ac:dyDescent="0.35">
      <c r="A34" s="55"/>
      <c r="B34" s="112" t="s">
        <v>119</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5" x14ac:dyDescent="0.35">
      <c r="A35" s="55"/>
      <c r="B35" s="112" t="s">
        <v>120</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5" x14ac:dyDescent="0.35">
      <c r="A36" s="55"/>
      <c r="B36" s="112" t="s">
        <v>121</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5" x14ac:dyDescent="0.35">
      <c r="A37" s="55"/>
      <c r="B37" s="112" t="s">
        <v>122</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5" x14ac:dyDescent="0.35">
      <c r="A38" s="55"/>
      <c r="B38" s="112" t="s">
        <v>123</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5" x14ac:dyDescent="0.35">
      <c r="A39" s="55"/>
      <c r="B39" s="112" t="s">
        <v>124</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5" x14ac:dyDescent="0.35">
      <c r="A40" s="55"/>
      <c r="B40" s="112" t="s">
        <v>125</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5" x14ac:dyDescent="0.35">
      <c r="A41" s="55"/>
      <c r="B41" s="112" t="s">
        <v>126</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5" x14ac:dyDescent="0.35">
      <c r="A42" s="55"/>
      <c r="B42" s="112" t="s">
        <v>127</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5" x14ac:dyDescent="0.35">
      <c r="A43" s="55"/>
      <c r="B43" s="112" t="s">
        <v>128</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5" x14ac:dyDescent="0.35">
      <c r="A44" s="55"/>
      <c r="B44" s="112" t="s">
        <v>129</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5" x14ac:dyDescent="0.35">
      <c r="A45" s="55"/>
      <c r="B45" s="112" t="s">
        <v>130</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5" x14ac:dyDescent="0.35">
      <c r="A46" s="55"/>
      <c r="B46" s="112" t="s">
        <v>131</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5" x14ac:dyDescent="0.35">
      <c r="A47" s="55"/>
      <c r="B47" s="112" t="s">
        <v>132</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5">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5">
      <c r="A49" s="55"/>
      <c r="B49" s="107" t="s">
        <v>134</v>
      </c>
      <c r="C49" s="49" t="s">
        <v>94</v>
      </c>
      <c r="D49" s="70" t="s">
        <v>95</v>
      </c>
      <c r="E49" s="70" t="s">
        <v>96</v>
      </c>
      <c r="F49" s="70" t="s">
        <v>97</v>
      </c>
      <c r="G49" s="70" t="s">
        <v>98</v>
      </c>
      <c r="H49" s="70" t="s">
        <v>99</v>
      </c>
      <c r="I49" s="70" t="s">
        <v>100</v>
      </c>
      <c r="J49" s="70" t="s">
        <v>101</v>
      </c>
      <c r="K49" s="70" t="s">
        <v>102</v>
      </c>
      <c r="L49" s="70" t="s">
        <v>103</v>
      </c>
      <c r="M49" s="70" t="s">
        <v>104</v>
      </c>
      <c r="N49" s="70" t="s">
        <v>105</v>
      </c>
      <c r="O49" s="70" t="s">
        <v>106</v>
      </c>
      <c r="P49" s="70" t="s">
        <v>107</v>
      </c>
      <c r="Q49" s="70" t="s">
        <v>108</v>
      </c>
      <c r="R49" s="70" t="s">
        <v>109</v>
      </c>
      <c r="S49" s="70" t="s">
        <v>110</v>
      </c>
      <c r="T49" s="70" t="s">
        <v>111</v>
      </c>
      <c r="U49" s="70" t="s">
        <v>112</v>
      </c>
      <c r="V49" s="70" t="s">
        <v>113</v>
      </c>
      <c r="W49" s="70" t="s">
        <v>114</v>
      </c>
      <c r="X49" s="70" t="s">
        <v>115</v>
      </c>
      <c r="Y49" s="70" t="s">
        <v>116</v>
      </c>
      <c r="Z49" s="70" t="s">
        <v>117</v>
      </c>
      <c r="AA49" s="70" t="s">
        <v>118</v>
      </c>
      <c r="AB49" s="70" t="s">
        <v>119</v>
      </c>
      <c r="AC49" s="70" t="s">
        <v>120</v>
      </c>
      <c r="AD49" s="70" t="s">
        <v>121</v>
      </c>
      <c r="AE49" s="70" t="s">
        <v>122</v>
      </c>
      <c r="AF49" s="70" t="s">
        <v>123</v>
      </c>
      <c r="AG49" s="70" t="s">
        <v>124</v>
      </c>
      <c r="AH49" s="70" t="s">
        <v>125</v>
      </c>
      <c r="AI49" s="70" t="s">
        <v>126</v>
      </c>
      <c r="AJ49" s="70" t="s">
        <v>127</v>
      </c>
      <c r="AK49" s="70" t="s">
        <v>128</v>
      </c>
      <c r="AL49" s="70" t="s">
        <v>129</v>
      </c>
      <c r="AM49" s="70" t="s">
        <v>130</v>
      </c>
      <c r="AN49" s="70" t="s">
        <v>131</v>
      </c>
      <c r="AO49" s="70" t="s">
        <v>132</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5">
      <c r="A50" s="102"/>
      <c r="B50" s="49" t="s">
        <v>133</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5">
      <c r="A51" s="102"/>
      <c r="B51" s="68" t="s">
        <v>95</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5">
      <c r="A52" s="102"/>
      <c r="B52" s="112" t="s">
        <v>96</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5">
      <c r="A53" s="102"/>
      <c r="B53" s="112" t="s">
        <v>97</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5">
      <c r="A54" s="102"/>
      <c r="B54" s="112" t="s">
        <v>98</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5">
      <c r="A55" s="102"/>
      <c r="B55" s="112" t="s">
        <v>99</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5">
      <c r="A56" s="102"/>
      <c r="B56" s="112" t="s">
        <v>100</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5">
      <c r="A57" s="102"/>
      <c r="B57" s="112" t="s">
        <v>101</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5">
      <c r="A58" s="102"/>
      <c r="B58" s="112" t="s">
        <v>102</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5">
      <c r="A59" s="102"/>
      <c r="B59" s="112" t="s">
        <v>103</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5">
      <c r="A60" s="102"/>
      <c r="B60" s="112" t="s">
        <v>104</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5">
      <c r="A61" s="102"/>
      <c r="B61" s="112" t="s">
        <v>105</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5">
      <c r="A62" s="102"/>
      <c r="B62" s="112" t="s">
        <v>106</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5">
      <c r="A63" s="102"/>
      <c r="B63" s="112" t="s">
        <v>107</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5">
      <c r="A64" s="102"/>
      <c r="B64" s="112" t="s">
        <v>108</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5">
      <c r="A65" s="102"/>
      <c r="B65" s="112" t="s">
        <v>109</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5">
      <c r="A66" s="102"/>
      <c r="B66" s="112" t="s">
        <v>110</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5">
      <c r="A67" s="102"/>
      <c r="B67" s="112" t="s">
        <v>111</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5">
      <c r="A68" s="102"/>
      <c r="B68" s="112" t="s">
        <v>112</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5">
      <c r="A69" s="102"/>
      <c r="B69" s="112" t="s">
        <v>113</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5">
      <c r="A70" s="102"/>
      <c r="B70" s="112" t="s">
        <v>114</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5">
      <c r="A71" s="102"/>
      <c r="B71" s="112" t="s">
        <v>115</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5">
      <c r="A72" s="102"/>
      <c r="B72" s="112" t="s">
        <v>116</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5">
      <c r="A73" s="102"/>
      <c r="B73" s="112" t="s">
        <v>117</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5">
      <c r="A74" s="102"/>
      <c r="B74" s="112" t="s">
        <v>118</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5">
      <c r="A75" s="102"/>
      <c r="B75" s="112" t="s">
        <v>119</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5">
      <c r="A76" s="102"/>
      <c r="B76" s="112" t="s">
        <v>120</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5">
      <c r="A77" s="102"/>
      <c r="B77" s="112" t="s">
        <v>121</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5">
      <c r="A78" s="102"/>
      <c r="B78" s="112" t="s">
        <v>122</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5">
      <c r="A79" s="102"/>
      <c r="B79" s="112" t="s">
        <v>123</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5">
      <c r="A80" s="102"/>
      <c r="B80" s="112" t="s">
        <v>124</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5">
      <c r="A81" s="102"/>
      <c r="B81" s="112" t="s">
        <v>125</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5">
      <c r="A82" s="102"/>
      <c r="B82" s="112" t="s">
        <v>126</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5">
      <c r="A83" s="102"/>
      <c r="B83" s="112" t="s">
        <v>127</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5">
      <c r="A84" s="102"/>
      <c r="B84" s="112" t="s">
        <v>128</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5">
      <c r="A85" s="102"/>
      <c r="B85" s="112" t="s">
        <v>129</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5">
      <c r="A86" s="102"/>
      <c r="B86" s="112" t="s">
        <v>130</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5">
      <c r="A87" s="102"/>
      <c r="B87" s="112" t="s">
        <v>131</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5" x14ac:dyDescent="0.35">
      <c r="A88" s="55"/>
      <c r="B88" s="112" t="s">
        <v>132</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5">
      <c r="A89" s="55"/>
      <c r="B89" s="127"/>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5" x14ac:dyDescent="0.35">
      <c r="B90" s="5" t="s">
        <v>193</v>
      </c>
    </row>
    <row r="91" spans="1:96" ht="15" customHeight="1" x14ac:dyDescent="0.3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5">
      <c r="A92" s="102"/>
      <c r="B92" s="107" t="s">
        <v>93</v>
      </c>
      <c r="C92" s="49" t="s">
        <v>94</v>
      </c>
      <c r="D92" s="70" t="s">
        <v>95</v>
      </c>
      <c r="E92" s="70" t="s">
        <v>96</v>
      </c>
      <c r="F92" s="70" t="s">
        <v>97</v>
      </c>
      <c r="G92" s="70" t="s">
        <v>98</v>
      </c>
      <c r="H92" s="70" t="s">
        <v>99</v>
      </c>
      <c r="I92" s="70" t="s">
        <v>100</v>
      </c>
      <c r="J92" s="70" t="s">
        <v>101</v>
      </c>
      <c r="K92" s="70" t="s">
        <v>102</v>
      </c>
      <c r="L92" s="70" t="s">
        <v>103</v>
      </c>
      <c r="M92" s="70" t="s">
        <v>104</v>
      </c>
      <c r="N92" s="70" t="s">
        <v>105</v>
      </c>
      <c r="O92" s="70" t="s">
        <v>106</v>
      </c>
      <c r="P92" s="70" t="s">
        <v>107</v>
      </c>
      <c r="Q92" s="70" t="s">
        <v>108</v>
      </c>
      <c r="R92" s="70" t="s">
        <v>109</v>
      </c>
      <c r="S92" s="70" t="s">
        <v>110</v>
      </c>
      <c r="T92" s="70" t="s">
        <v>111</v>
      </c>
      <c r="U92" s="70" t="s">
        <v>112</v>
      </c>
      <c r="V92" s="70" t="s">
        <v>113</v>
      </c>
      <c r="W92" s="70" t="s">
        <v>114</v>
      </c>
      <c r="X92" s="70" t="s">
        <v>115</v>
      </c>
      <c r="Y92" s="70" t="s">
        <v>116</v>
      </c>
      <c r="Z92" s="70" t="s">
        <v>117</v>
      </c>
      <c r="AA92" s="70" t="s">
        <v>118</v>
      </c>
      <c r="AB92" s="70" t="s">
        <v>119</v>
      </c>
      <c r="AC92" s="70" t="s">
        <v>120</v>
      </c>
      <c r="AD92" s="70" t="s">
        <v>121</v>
      </c>
      <c r="AE92" s="70" t="s">
        <v>122</v>
      </c>
      <c r="AF92" s="70" t="s">
        <v>123</v>
      </c>
      <c r="AG92" s="70" t="s">
        <v>124</v>
      </c>
      <c r="AH92" s="70" t="s">
        <v>125</v>
      </c>
      <c r="AI92" s="70" t="s">
        <v>126</v>
      </c>
      <c r="AJ92" s="70" t="s">
        <v>127</v>
      </c>
      <c r="AK92" s="70" t="s">
        <v>128</v>
      </c>
      <c r="AL92" s="70" t="s">
        <v>129</v>
      </c>
      <c r="AM92" s="70" t="s">
        <v>130</v>
      </c>
      <c r="AN92" s="70" t="s">
        <v>131</v>
      </c>
      <c r="AO92" s="70" t="s">
        <v>132</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5">
      <c r="A93" s="102"/>
      <c r="B93" s="49" t="s">
        <v>133</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5">
      <c r="A94" s="102"/>
      <c r="B94" s="68" t="s">
        <v>95</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5">
      <c r="A95" s="102"/>
      <c r="B95" s="112" t="s">
        <v>96</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5">
      <c r="A96" s="102"/>
      <c r="B96" s="112" t="s">
        <v>97</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5">
      <c r="A97" s="102"/>
      <c r="B97" s="112" t="s">
        <v>98</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5">
      <c r="A98" s="102"/>
      <c r="B98" s="112" t="s">
        <v>99</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45">
      <c r="A99" s="50"/>
      <c r="B99" s="112" t="s">
        <v>100</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2" t="s">
        <v>101</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2" t="s">
        <v>102</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2"/>
      <c r="B102" s="112" t="s">
        <v>103</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5">
      <c r="A103" s="102"/>
      <c r="B103" s="112" t="s">
        <v>104</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5">
      <c r="A104" s="102"/>
      <c r="B104" s="112" t="s">
        <v>105</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5">
      <c r="A105" s="102"/>
      <c r="B105" s="112" t="s">
        <v>106</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5">
      <c r="A106" s="6"/>
      <c r="B106" s="112" t="s">
        <v>107</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2" t="s">
        <v>108</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5">
      <c r="B108" s="112" t="s">
        <v>109</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5">
      <c r="B109" s="112" t="s">
        <v>110</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5">
      <c r="B110" s="112" t="s">
        <v>111</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5">
      <c r="B111" s="112" t="s">
        <v>112</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5">
      <c r="B112" s="112" t="s">
        <v>113</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5">
      <c r="B113" s="112" t="s">
        <v>114</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5">
      <c r="B114" s="112" t="s">
        <v>115</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5">
      <c r="B115" s="112" t="s">
        <v>116</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5">
      <c r="B116" s="112" t="s">
        <v>117</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5">
      <c r="B117" s="112" t="s">
        <v>118</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5">
      <c r="B118" s="112" t="s">
        <v>119</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5">
      <c r="B119" s="112" t="s">
        <v>120</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5">
      <c r="B120" s="112" t="s">
        <v>121</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5">
      <c r="B121" s="112" t="s">
        <v>122</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5">
      <c r="B122" s="112" t="s">
        <v>123</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5">
      <c r="B123" s="112" t="s">
        <v>124</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5">
      <c r="B124" s="112" t="s">
        <v>125</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5">
      <c r="B125" s="112" t="s">
        <v>126</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5">
      <c r="B126" s="112" t="s">
        <v>127</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5">
      <c r="B127" s="112" t="s">
        <v>128</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5">
      <c r="B128" s="112" t="s">
        <v>129</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5">
      <c r="B129" s="112" t="s">
        <v>130</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5">
      <c r="B130" s="112" t="s">
        <v>131</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5" x14ac:dyDescent="0.35">
      <c r="A131" s="55"/>
      <c r="B131" s="112" t="s">
        <v>132</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5" x14ac:dyDescent="0.35">
      <c r="B133" s="5" t="s">
        <v>193</v>
      </c>
    </row>
    <row r="134" spans="1:96" ht="15" customHeight="1" x14ac:dyDescent="0.3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5">
      <c r="A135" s="102"/>
      <c r="B135" s="107" t="s">
        <v>134</v>
      </c>
      <c r="C135" s="49" t="s">
        <v>94</v>
      </c>
      <c r="D135" s="70" t="s">
        <v>95</v>
      </c>
      <c r="E135" s="70" t="s">
        <v>96</v>
      </c>
      <c r="F135" s="70" t="s">
        <v>97</v>
      </c>
      <c r="G135" s="70" t="s">
        <v>98</v>
      </c>
      <c r="H135" s="70" t="s">
        <v>99</v>
      </c>
      <c r="I135" s="70" t="s">
        <v>100</v>
      </c>
      <c r="J135" s="70" t="s">
        <v>101</v>
      </c>
      <c r="K135" s="70" t="s">
        <v>102</v>
      </c>
      <c r="L135" s="70" t="s">
        <v>103</v>
      </c>
      <c r="M135" s="70" t="s">
        <v>104</v>
      </c>
      <c r="N135" s="70" t="s">
        <v>105</v>
      </c>
      <c r="O135" s="70" t="s">
        <v>106</v>
      </c>
      <c r="P135" s="70" t="s">
        <v>107</v>
      </c>
      <c r="Q135" s="70" t="s">
        <v>108</v>
      </c>
      <c r="R135" s="70" t="s">
        <v>109</v>
      </c>
      <c r="S135" s="70" t="s">
        <v>110</v>
      </c>
      <c r="T135" s="70" t="s">
        <v>111</v>
      </c>
      <c r="U135" s="70" t="s">
        <v>112</v>
      </c>
      <c r="V135" s="70" t="s">
        <v>113</v>
      </c>
      <c r="W135" s="70" t="s">
        <v>114</v>
      </c>
      <c r="X135" s="70" t="s">
        <v>115</v>
      </c>
      <c r="Y135" s="70" t="s">
        <v>116</v>
      </c>
      <c r="Z135" s="70" t="s">
        <v>117</v>
      </c>
      <c r="AA135" s="70" t="s">
        <v>118</v>
      </c>
      <c r="AB135" s="70" t="s">
        <v>119</v>
      </c>
      <c r="AC135" s="70" t="s">
        <v>120</v>
      </c>
      <c r="AD135" s="70" t="s">
        <v>121</v>
      </c>
      <c r="AE135" s="70" t="s">
        <v>122</v>
      </c>
      <c r="AF135" s="70" t="s">
        <v>123</v>
      </c>
      <c r="AG135" s="70" t="s">
        <v>124</v>
      </c>
      <c r="AH135" s="70" t="s">
        <v>125</v>
      </c>
      <c r="AI135" s="70" t="s">
        <v>126</v>
      </c>
      <c r="AJ135" s="70" t="s">
        <v>127</v>
      </c>
      <c r="AK135" s="70" t="s">
        <v>128</v>
      </c>
      <c r="AL135" s="70" t="s">
        <v>129</v>
      </c>
      <c r="AM135" s="70" t="s">
        <v>130</v>
      </c>
      <c r="AN135" s="70" t="s">
        <v>131</v>
      </c>
      <c r="AO135" s="70" t="s">
        <v>132</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5">
      <c r="A136" s="102"/>
      <c r="B136" s="49" t="s">
        <v>133</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5">
      <c r="A137" s="102"/>
      <c r="B137" s="68" t="s">
        <v>95</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5">
      <c r="A138" s="102"/>
      <c r="B138" s="112" t="s">
        <v>96</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5">
      <c r="A139" s="102"/>
      <c r="B139" s="112" t="s">
        <v>97</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5">
      <c r="A140" s="102"/>
      <c r="B140" s="112" t="s">
        <v>98</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5">
      <c r="A141" s="102"/>
      <c r="B141" s="112" t="s">
        <v>99</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45">
      <c r="A142" s="50"/>
      <c r="B142" s="112" t="s">
        <v>100</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2" t="s">
        <v>101</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2" t="s">
        <v>102</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2"/>
      <c r="B145" s="112" t="s">
        <v>103</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5">
      <c r="A146" s="102"/>
      <c r="B146" s="112" t="s">
        <v>104</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5">
      <c r="A147" s="102"/>
      <c r="B147" s="112" t="s">
        <v>105</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5">
      <c r="A148" s="102"/>
      <c r="B148" s="112" t="s">
        <v>106</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5">
      <c r="A149" s="6"/>
      <c r="B149" s="112" t="s">
        <v>107</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2" t="s">
        <v>108</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5">
      <c r="B151" s="112" t="s">
        <v>109</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5">
      <c r="B152" s="112" t="s">
        <v>110</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5">
      <c r="B153" s="112" t="s">
        <v>111</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5">
      <c r="B154" s="112" t="s">
        <v>112</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5">
      <c r="B155" s="112" t="s">
        <v>113</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5">
      <c r="B156" s="112" t="s">
        <v>114</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5">
      <c r="B157" s="112" t="s">
        <v>115</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5">
      <c r="B158" s="112" t="s">
        <v>116</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5">
      <c r="B159" s="112" t="s">
        <v>117</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5">
      <c r="B160" s="112" t="s">
        <v>118</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5">
      <c r="B161" s="112" t="s">
        <v>119</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5">
      <c r="B162" s="112" t="s">
        <v>120</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5">
      <c r="B163" s="112" t="s">
        <v>121</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5">
      <c r="B164" s="112" t="s">
        <v>122</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5">
      <c r="B165" s="112" t="s">
        <v>123</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5">
      <c r="B166" s="112" t="s">
        <v>124</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5">
      <c r="B167" s="112" t="s">
        <v>125</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5">
      <c r="B168" s="112" t="s">
        <v>126</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5">
      <c r="B169" s="112" t="s">
        <v>127</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5">
      <c r="B170" s="112" t="s">
        <v>128</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5">
      <c r="B171" s="112" t="s">
        <v>129</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5">
      <c r="B172" s="112" t="s">
        <v>130</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5">
      <c r="B173" s="112" t="s">
        <v>131</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5" x14ac:dyDescent="0.35">
      <c r="A174" s="55"/>
      <c r="B174" s="112" t="s">
        <v>132</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5">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5">
      <c r="B176" s="129" t="s">
        <v>194</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195</v>
      </c>
    </row>
    <row r="177" spans="1:95" s="6" customFormat="1" ht="15" customHeight="1" x14ac:dyDescent="0.35">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5">
      <c r="B178" s="129" t="s">
        <v>196</v>
      </c>
      <c r="C178" s="50"/>
      <c r="D178" s="128">
        <f>SUMIF($D$94:$AN$130,"&gt;0",$D$94:$AN$130)</f>
        <v>0</v>
      </c>
      <c r="E178" s="16" t="s">
        <v>197</v>
      </c>
      <c r="F178" s="128"/>
      <c r="G178" s="128"/>
      <c r="H178" s="128"/>
      <c r="I178" s="130"/>
      <c r="J178" s="128"/>
      <c r="K178" s="128"/>
      <c r="L178" s="128"/>
      <c r="M178" s="128"/>
      <c r="N178" s="128"/>
      <c r="O178" s="128"/>
      <c r="P178" s="128"/>
      <c r="Q178" s="128"/>
      <c r="R178" s="16"/>
    </row>
    <row r="179" spans="1:95" s="6" customFormat="1" ht="15" customHeight="1" x14ac:dyDescent="0.35">
      <c r="B179" s="129" t="s">
        <v>198</v>
      </c>
      <c r="C179" s="50"/>
      <c r="D179" s="128">
        <f>-SUMIF($D$94:$AN$130,"&lt;0",$D$94:$AN$130)</f>
        <v>0</v>
      </c>
      <c r="E179" s="16" t="s">
        <v>199</v>
      </c>
      <c r="F179" s="128"/>
      <c r="G179" s="128"/>
      <c r="H179" s="128"/>
      <c r="I179" s="128"/>
      <c r="J179" s="128"/>
      <c r="K179" s="128"/>
      <c r="L179" s="128"/>
      <c r="M179" s="128"/>
      <c r="N179" s="128"/>
      <c r="O179" s="128"/>
      <c r="P179" s="128"/>
      <c r="Q179" s="128"/>
      <c r="R179" s="16"/>
    </row>
    <row r="180" spans="1:95" s="6" customFormat="1" ht="15" customHeight="1" x14ac:dyDescent="0.35">
      <c r="B180" s="129" t="s">
        <v>200</v>
      </c>
      <c r="C180" s="50"/>
      <c r="D180" s="131" t="str">
        <f>IF(C198=0,"n/a",SUMIF($D$137:$AN$173,"&gt;0",$D$137:$AN$173))</f>
        <v>n/a</v>
      </c>
      <c r="E180" s="16" t="s">
        <v>201</v>
      </c>
      <c r="F180" s="128"/>
      <c r="G180" s="128"/>
      <c r="H180" s="128"/>
      <c r="I180" s="128"/>
      <c r="J180" s="128"/>
      <c r="K180" s="128"/>
      <c r="L180" s="128"/>
      <c r="M180" s="128"/>
      <c r="N180" s="128"/>
      <c r="O180" s="128"/>
      <c r="P180" s="128"/>
      <c r="Q180" s="128"/>
      <c r="R180" s="16"/>
    </row>
    <row r="181" spans="1:95" s="6" customFormat="1" ht="15" customHeight="1" x14ac:dyDescent="0.35">
      <c r="B181" s="129" t="s">
        <v>202</v>
      </c>
      <c r="C181" s="50"/>
      <c r="D181" s="131" t="str">
        <f>IF(C198=0,"n/a",-SUMIF($D$137:$AN$173,"&lt;0",$D$137:$AN$173))</f>
        <v>n/a</v>
      </c>
      <c r="E181" s="16" t="s">
        <v>203</v>
      </c>
      <c r="F181" s="128"/>
      <c r="G181" s="128"/>
      <c r="H181" s="128"/>
      <c r="I181" s="128"/>
      <c r="J181" s="128"/>
      <c r="K181" s="128"/>
      <c r="L181" s="128"/>
      <c r="M181" s="128"/>
      <c r="N181" s="128"/>
      <c r="O181" s="128"/>
      <c r="P181" s="128"/>
      <c r="Q181" s="128"/>
      <c r="R181" s="16"/>
    </row>
    <row r="182" spans="1:95" ht="15" customHeight="1" x14ac:dyDescent="0.3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5" x14ac:dyDescent="0.45">
      <c r="B183" s="2" t="s">
        <v>204</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2" t="s">
        <v>205</v>
      </c>
      <c r="C185" s="11" t="str">
        <f>Scheme_type_in</f>
        <v>road</v>
      </c>
      <c r="D185" s="3" t="s">
        <v>206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2" t="s">
        <v>140</v>
      </c>
      <c r="C187" s="11">
        <f>(Scheme_type="Road")*1</f>
        <v>1</v>
      </c>
      <c r="D187" s="3" t="s">
        <v>207</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2" t="s">
        <v>155</v>
      </c>
      <c r="C188" s="11">
        <f>(Scheme_type="Rail")*1</f>
        <v>0</v>
      </c>
      <c r="D188" s="3" t="s">
        <v>208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2" t="s">
        <v>161</v>
      </c>
      <c r="C189" s="11">
        <f>(Scheme_type="Aviation")*1</f>
        <v>0</v>
      </c>
      <c r="D189" s="3" t="s">
        <v>209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2"/>
      <c r="B191" s="102" t="s">
        <v>210</v>
      </c>
      <c r="C191" s="65" t="str">
        <f>Night_noise_impact_in</f>
        <v>yes</v>
      </c>
      <c r="D191" s="3" t="s">
        <v>211</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5">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5">
      <c r="A193" s="102"/>
      <c r="B193" s="102" t="s">
        <v>212</v>
      </c>
      <c r="C193" s="11">
        <f>(Night_noise_impact="yes")*1</f>
        <v>1</v>
      </c>
      <c r="D193" s="3" t="s">
        <v>213</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5">
      <c r="A194" s="102"/>
      <c r="B194" s="102" t="s">
        <v>214</v>
      </c>
      <c r="C194" s="11">
        <f>(Night_noise_impact="no")*1</f>
        <v>0</v>
      </c>
      <c r="D194" s="3" t="s">
        <v>215</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5">
      <c r="A196" s="102"/>
      <c r="B196" s="102" t="s">
        <v>216</v>
      </c>
      <c r="C196" s="65" t="str">
        <f>Night_noise_modelling_in</f>
        <v>no</v>
      </c>
      <c r="D196" s="3" t="s">
        <v>217</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5">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5">
      <c r="A198" s="102"/>
      <c r="B198" s="102" t="s">
        <v>218</v>
      </c>
      <c r="C198" s="11">
        <f>(Night_noise_modelling="yes")*1</f>
        <v>0</v>
      </c>
      <c r="D198" s="3" t="s">
        <v>219</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5">
      <c r="A199" s="102"/>
      <c r="B199" s="102" t="s">
        <v>220</v>
      </c>
      <c r="C199" s="11">
        <f>(Night_noise_modelling="no")*1</f>
        <v>1</v>
      </c>
      <c r="D199" s="3" t="s">
        <v>221</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143</v>
      </c>
      <c r="C201" s="9"/>
      <c r="D201" s="10"/>
      <c r="E201" s="10"/>
    </row>
    <row r="202" spans="1:95" ht="15" customHeight="1" x14ac:dyDescent="0.35">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5">
      <c r="A203" s="102"/>
      <c r="B203" s="151" t="s">
        <v>222</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5">
      <c r="A204" s="102"/>
      <c r="B204" s="151"/>
      <c r="C204" s="64" t="s">
        <v>223</v>
      </c>
      <c r="D204" s="12" t="s">
        <v>95</v>
      </c>
      <c r="E204" s="13" t="s">
        <v>96</v>
      </c>
      <c r="F204" s="97" t="s">
        <v>97</v>
      </c>
      <c r="G204" s="97" t="s">
        <v>98</v>
      </c>
      <c r="H204" s="97" t="s">
        <v>99</v>
      </c>
      <c r="I204" s="97" t="s">
        <v>100</v>
      </c>
      <c r="J204" s="97" t="s">
        <v>101</v>
      </c>
      <c r="K204" s="97" t="s">
        <v>102</v>
      </c>
      <c r="L204" s="97" t="s">
        <v>103</v>
      </c>
      <c r="M204" s="97" t="s">
        <v>104</v>
      </c>
      <c r="N204" s="97" t="s">
        <v>105</v>
      </c>
      <c r="O204" s="97" t="s">
        <v>106</v>
      </c>
      <c r="P204" s="97" t="s">
        <v>107</v>
      </c>
      <c r="Q204" s="97" t="s">
        <v>108</v>
      </c>
      <c r="R204" s="97" t="s">
        <v>109</v>
      </c>
      <c r="S204" s="97" t="s">
        <v>110</v>
      </c>
      <c r="T204" s="97" t="s">
        <v>111</v>
      </c>
      <c r="U204" s="97" t="s">
        <v>112</v>
      </c>
      <c r="V204" s="97" t="s">
        <v>113</v>
      </c>
      <c r="W204" s="97" t="s">
        <v>114</v>
      </c>
      <c r="X204" s="97" t="s">
        <v>115</v>
      </c>
      <c r="Y204" s="97" t="s">
        <v>116</v>
      </c>
      <c r="Z204" s="97" t="s">
        <v>117</v>
      </c>
      <c r="AA204" s="97" t="s">
        <v>118</v>
      </c>
      <c r="AB204" s="97" t="s">
        <v>119</v>
      </c>
      <c r="AC204" s="97" t="s">
        <v>120</v>
      </c>
      <c r="AD204" s="97" t="s">
        <v>121</v>
      </c>
      <c r="AE204" s="97" t="s">
        <v>122</v>
      </c>
      <c r="AF204" s="97" t="s">
        <v>123</v>
      </c>
      <c r="AG204" s="97" t="s">
        <v>124</v>
      </c>
      <c r="AH204" s="97" t="s">
        <v>125</v>
      </c>
      <c r="AI204" s="97" t="s">
        <v>126</v>
      </c>
      <c r="AJ204" s="97" t="s">
        <v>127</v>
      </c>
      <c r="AK204" s="97" t="s">
        <v>128</v>
      </c>
      <c r="AL204" s="97" t="s">
        <v>129</v>
      </c>
      <c r="AM204" s="97" t="s">
        <v>130</v>
      </c>
      <c r="AN204" s="97" t="s">
        <v>131</v>
      </c>
      <c r="AO204" s="97" t="s">
        <v>132</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5">
      <c r="A205" s="102"/>
      <c r="B205" s="102" t="s">
        <v>224</v>
      </c>
      <c r="C205" s="102">
        <f>Road_mask*Night_impact_mask*Night_modelling_mask</f>
        <v>0</v>
      </c>
      <c r="D205" s="118">
        <f t="shared" ref="D205:AN205" si="0">Sleep_disturbance_values_road_1dB_night_in</f>
        <v>0</v>
      </c>
      <c r="E205" s="118">
        <f t="shared" si="0"/>
        <v>41.14613100728657</v>
      </c>
      <c r="F205" s="118">
        <f t="shared" si="0"/>
        <v>45.191863203200377</v>
      </c>
      <c r="G205" s="118">
        <f t="shared" si="0"/>
        <v>49.237595399111271</v>
      </c>
      <c r="H205" s="118">
        <f t="shared" si="0"/>
        <v>53.283327595025568</v>
      </c>
      <c r="I205" s="118">
        <f t="shared" si="0"/>
        <v>57.329059790937904</v>
      </c>
      <c r="J205" s="118">
        <f t="shared" si="0"/>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5">
      <c r="A206" s="102"/>
      <c r="B206" s="102" t="s">
        <v>225</v>
      </c>
      <c r="C206" s="101">
        <f>Rail_mask*Night_impact_mask*Night_modelling_mask</f>
        <v>0</v>
      </c>
      <c r="D206" s="118">
        <f t="shared" ref="D206:AO206" si="1">Sleep_disturbance_values_rail_1dB_night_in</f>
        <v>0</v>
      </c>
      <c r="E206" s="118">
        <f t="shared" si="1"/>
        <v>19.151886360799484</v>
      </c>
      <c r="F206" s="118">
        <f t="shared" si="1"/>
        <v>21.218313505279664</v>
      </c>
      <c r="G206" s="118">
        <f t="shared" si="1"/>
        <v>23.284740649760082</v>
      </c>
      <c r="H206" s="118">
        <f t="shared" si="1"/>
        <v>25.35116779424002</v>
      </c>
      <c r="I206" s="118">
        <f t="shared" si="1"/>
        <v>27.417594938720445</v>
      </c>
      <c r="J206" s="118">
        <f t="shared" si="1"/>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5">
      <c r="A207" s="102"/>
      <c r="B207" s="102" t="s">
        <v>226</v>
      </c>
      <c r="C207" s="101">
        <f>Aviation_mask*Night_impact_mask*Night_modelling_mask</f>
        <v>0</v>
      </c>
      <c r="D207" s="118">
        <f t="shared" ref="D207:AO207" si="2">Sleep_disturbance_values_aviation_1dB_night_in</f>
        <v>0</v>
      </c>
      <c r="E207" s="118">
        <f t="shared" si="2"/>
        <v>53.446681519489552</v>
      </c>
      <c r="F207" s="118">
        <f t="shared" si="2"/>
        <v>57.481523453772276</v>
      </c>
      <c r="G207" s="118">
        <f t="shared" si="2"/>
        <v>61.51636538805262</v>
      </c>
      <c r="H207" s="118">
        <f t="shared" si="2"/>
        <v>65.551207322334378</v>
      </c>
      <c r="I207" s="118">
        <f t="shared" si="2"/>
        <v>69.58604925661713</v>
      </c>
      <c r="J207" s="118">
        <f t="shared" si="2"/>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5">
      <c r="A208" s="102"/>
      <c r="B208" s="102" t="s">
        <v>227</v>
      </c>
      <c r="C208" s="102">
        <f>Road_mask*Night_impact_mask*Non_night_modelling_mask</f>
        <v>1</v>
      </c>
      <c r="D208" s="118">
        <f t="shared" ref="D208:AO208" si="3">Sleep_disturbance_values_road_1dB_16hr_in</f>
        <v>0</v>
      </c>
      <c r="E208" s="118">
        <f t="shared" si="3"/>
        <v>0</v>
      </c>
      <c r="F208" s="118">
        <f t="shared" si="3"/>
        <v>0</v>
      </c>
      <c r="G208" s="118">
        <f t="shared" si="3"/>
        <v>0</v>
      </c>
      <c r="H208" s="118">
        <f t="shared" si="3"/>
        <v>0</v>
      </c>
      <c r="I208" s="118">
        <f t="shared" si="3"/>
        <v>0</v>
      </c>
      <c r="J208" s="118">
        <f t="shared" si="3"/>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5">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5">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5">
      <c r="A211" s="102"/>
      <c r="B211" s="151"/>
      <c r="C211" s="102"/>
      <c r="D211" s="12" t="s">
        <v>95</v>
      </c>
      <c r="E211" s="13" t="s">
        <v>96</v>
      </c>
      <c r="F211" s="97" t="s">
        <v>97</v>
      </c>
      <c r="G211" s="97" t="s">
        <v>98</v>
      </c>
      <c r="H211" s="97" t="s">
        <v>99</v>
      </c>
      <c r="I211" s="97" t="s">
        <v>100</v>
      </c>
      <c r="J211" s="97" t="s">
        <v>101</v>
      </c>
      <c r="K211" s="97" t="s">
        <v>102</v>
      </c>
      <c r="L211" s="97" t="s">
        <v>103</v>
      </c>
      <c r="M211" s="97" t="s">
        <v>104</v>
      </c>
      <c r="N211" s="97" t="s">
        <v>105</v>
      </c>
      <c r="O211" s="97" t="s">
        <v>106</v>
      </c>
      <c r="P211" s="97" t="s">
        <v>107</v>
      </c>
      <c r="Q211" s="97" t="s">
        <v>108</v>
      </c>
      <c r="R211" s="97" t="s">
        <v>109</v>
      </c>
      <c r="S211" s="97" t="s">
        <v>110</v>
      </c>
      <c r="T211" s="97" t="s">
        <v>111</v>
      </c>
      <c r="U211" s="97" t="s">
        <v>112</v>
      </c>
      <c r="V211" s="97" t="s">
        <v>113</v>
      </c>
      <c r="W211" s="97" t="s">
        <v>114</v>
      </c>
      <c r="X211" s="97" t="s">
        <v>115</v>
      </c>
      <c r="Y211" s="97" t="s">
        <v>116</v>
      </c>
      <c r="Z211" s="97" t="s">
        <v>117</v>
      </c>
      <c r="AA211" s="97" t="s">
        <v>118</v>
      </c>
      <c r="AB211" s="97" t="s">
        <v>119</v>
      </c>
      <c r="AC211" s="97" t="s">
        <v>120</v>
      </c>
      <c r="AD211" s="97" t="s">
        <v>121</v>
      </c>
      <c r="AE211" s="97" t="s">
        <v>122</v>
      </c>
      <c r="AF211" s="97" t="s">
        <v>123</v>
      </c>
      <c r="AG211" s="97" t="s">
        <v>124</v>
      </c>
      <c r="AH211" s="97" t="s">
        <v>125</v>
      </c>
      <c r="AI211" s="97" t="s">
        <v>126</v>
      </c>
      <c r="AJ211" s="97" t="s">
        <v>127</v>
      </c>
      <c r="AK211" s="97" t="s">
        <v>128</v>
      </c>
      <c r="AL211" s="97" t="s">
        <v>129</v>
      </c>
      <c r="AM211" s="97" t="s">
        <v>130</v>
      </c>
      <c r="AN211" s="97" t="s">
        <v>131</v>
      </c>
      <c r="AO211" s="97" t="s">
        <v>132</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5">
      <c r="A212" s="102"/>
      <c r="B212" s="102" t="s">
        <v>228</v>
      </c>
      <c r="C212" s="102"/>
      <c r="D212" s="118">
        <f>Sleep_disturbance_values_road_1dB_night*Road_Lnight_mask+Sleep_disturbance_values_rail_1dB_night*Rail_Lnight_mask+Sleep_disturbance_values_aviation_1dB_night*Aviation_Lnight_mask+Sleep_disturbance_values_road_1dB_16hr*Road_L16h_mask</f>
        <v>0</v>
      </c>
      <c r="E212" s="118">
        <f t="shared" ref="E212:AO212" si="4">Sleep_disturbance_values_road_1dB_night*Road_Lnight_mask+Sleep_disturbance_values_rail_1dB_night*Rail_Lnight_mask+Sleep_disturbance_values_aviation_1dB_night*Aviation_Lnight_mask+Sleep_disturbance_values_road_1dB_16hr*Road_L16h_mask</f>
        <v>0</v>
      </c>
      <c r="F212" s="118">
        <f>Sleep_disturbance_values_road_1dB_night*Road_Lnight_mask+Sleep_disturbance_values_rail_1dB_night*Rail_Lnight_mask+Sleep_disturbance_values_aviation_1dB_night*Aviation_Lnight_mask+Sleep_disturbance_values_road_1dB_16hr*Road_L16h_mask</f>
        <v>0</v>
      </c>
      <c r="G212" s="118">
        <f t="shared" si="4"/>
        <v>0</v>
      </c>
      <c r="H212" s="118">
        <f>Sleep_disturbance_values_road_1dB_night*Road_Lnight_mask+Sleep_disturbance_values_rail_1dB_night*Rail_Lnight_mask+Sleep_disturbance_values_aviation_1dB_night*Aviation_Lnight_mask+Sleep_disturbance_values_road_1dB_16hr*Road_L16h_mask</f>
        <v>0</v>
      </c>
      <c r="I212" s="118">
        <f t="shared" si="4"/>
        <v>0</v>
      </c>
      <c r="J212" s="118">
        <f t="shared" si="4"/>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5">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5">
      <c r="A214" s="17"/>
      <c r="B214" s="114"/>
      <c r="C214" s="49" t="s">
        <v>94</v>
      </c>
      <c r="D214" s="70" t="s">
        <v>95</v>
      </c>
      <c r="E214" s="70" t="s">
        <v>96</v>
      </c>
      <c r="F214" s="70" t="s">
        <v>97</v>
      </c>
      <c r="G214" s="70" t="s">
        <v>98</v>
      </c>
      <c r="H214" s="70" t="s">
        <v>99</v>
      </c>
      <c r="I214" s="70" t="s">
        <v>100</v>
      </c>
      <c r="J214" s="70" t="s">
        <v>101</v>
      </c>
      <c r="K214" s="70" t="s">
        <v>102</v>
      </c>
      <c r="L214" s="70" t="s">
        <v>103</v>
      </c>
      <c r="M214" s="70" t="s">
        <v>104</v>
      </c>
      <c r="N214" s="70" t="s">
        <v>105</v>
      </c>
      <c r="O214" s="70" t="s">
        <v>106</v>
      </c>
      <c r="P214" s="70" t="s">
        <v>107</v>
      </c>
      <c r="Q214" s="70" t="s">
        <v>108</v>
      </c>
      <c r="R214" s="70" t="s">
        <v>109</v>
      </c>
      <c r="S214" s="70" t="s">
        <v>110</v>
      </c>
      <c r="T214" s="70" t="s">
        <v>111</v>
      </c>
      <c r="U214" s="70" t="s">
        <v>112</v>
      </c>
      <c r="V214" s="70" t="s">
        <v>113</v>
      </c>
      <c r="W214" s="70" t="s">
        <v>114</v>
      </c>
      <c r="X214" s="70" t="s">
        <v>115</v>
      </c>
      <c r="Y214" s="70" t="s">
        <v>116</v>
      </c>
      <c r="Z214" s="70" t="s">
        <v>117</v>
      </c>
      <c r="AA214" s="70" t="s">
        <v>118</v>
      </c>
      <c r="AB214" s="70" t="s">
        <v>119</v>
      </c>
      <c r="AC214" s="70" t="s">
        <v>120</v>
      </c>
      <c r="AD214" s="70" t="s">
        <v>121</v>
      </c>
      <c r="AE214" s="70" t="s">
        <v>122</v>
      </c>
      <c r="AF214" s="70" t="s">
        <v>123</v>
      </c>
      <c r="AG214" s="70" t="s">
        <v>124</v>
      </c>
      <c r="AH214" s="70" t="s">
        <v>125</v>
      </c>
      <c r="AI214" s="70" t="s">
        <v>126</v>
      </c>
      <c r="AJ214" s="70" t="s">
        <v>127</v>
      </c>
      <c r="AK214" s="70" t="s">
        <v>128</v>
      </c>
      <c r="AL214" s="70" t="s">
        <v>129</v>
      </c>
      <c r="AM214" s="70" t="s">
        <v>130</v>
      </c>
      <c r="AN214" s="70" t="s">
        <v>131</v>
      </c>
      <c r="AO214" s="70"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133</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8" t="s">
        <v>95</v>
      </c>
      <c r="C216" s="125"/>
      <c r="D216" s="134">
        <f>IF(D$214=$B216,0,IF(D$214&gt;$B216,-0.5*D$212-0.5*C$212+C216,0.5*HLOOKUP($B216,$D$211:$AO$212,2,FALSE)+0.5*HLOOKUP($B215,$D$211:$AO$212,2,FALSE)+D215))</f>
        <v>0</v>
      </c>
      <c r="E216" s="134">
        <f t="shared" ref="E216:AO216" si="5">IF(E$214=$B216,0,IF(E$214&gt;$B216,-0.5*E$212-0.5*D$212+D216,0.5*HLOOKUP($B216,$D$211:$AO$212,2,FALSE)+0.5*HLOOKUP($B215,$D$211:$AO$212,2,FALSE)+E215))</f>
        <v>0</v>
      </c>
      <c r="F216" s="134">
        <f t="shared" si="5"/>
        <v>0</v>
      </c>
      <c r="G216" s="134">
        <f t="shared" si="5"/>
        <v>0</v>
      </c>
      <c r="H216" s="134">
        <f t="shared" si="5"/>
        <v>0</v>
      </c>
      <c r="I216" s="134">
        <f t="shared" si="5"/>
        <v>0</v>
      </c>
      <c r="J216" s="134">
        <f t="shared" si="5"/>
        <v>0</v>
      </c>
      <c r="K216" s="134">
        <f t="shared" si="5"/>
        <v>0</v>
      </c>
      <c r="L216" s="134">
        <f t="shared" si="5"/>
        <v>-18.115231465883515</v>
      </c>
      <c r="M216" s="134">
        <f t="shared" si="5"/>
        <v>-55.984215936996165</v>
      </c>
      <c r="N216" s="134">
        <f t="shared" si="5"/>
        <v>-97.130243486797866</v>
      </c>
      <c r="O216" s="134">
        <f t="shared" si="5"/>
        <v>-141.5533141152884</v>
      </c>
      <c r="P216" s="134">
        <f t="shared" si="5"/>
        <v>-189.25342782246869</v>
      </c>
      <c r="Q216" s="134">
        <f t="shared" si="5"/>
        <v>-240.23058460833781</v>
      </c>
      <c r="R216" s="134">
        <f t="shared" si="5"/>
        <v>-294.48478447289597</v>
      </c>
      <c r="S216" s="134">
        <f t="shared" si="5"/>
        <v>-352.0160274161434</v>
      </c>
      <c r="T216" s="134">
        <f t="shared" si="5"/>
        <v>-412.82431343808088</v>
      </c>
      <c r="U216" s="134">
        <f t="shared" si="5"/>
        <v>-476.9096425387072</v>
      </c>
      <c r="V216" s="134">
        <f t="shared" si="5"/>
        <v>-544.27201471802277</v>
      </c>
      <c r="W216" s="134">
        <f t="shared" si="5"/>
        <v>-614.91142997602856</v>
      </c>
      <c r="X216" s="134">
        <f t="shared" si="5"/>
        <v>-688.82788831272364</v>
      </c>
      <c r="Y216" s="134">
        <f t="shared" si="5"/>
        <v>-766.02138972810712</v>
      </c>
      <c r="Z216" s="134">
        <f t="shared" si="5"/>
        <v>-846.49193422217945</v>
      </c>
      <c r="AA216" s="134">
        <f t="shared" si="5"/>
        <v>-930.23952179494154</v>
      </c>
      <c r="AB216" s="134">
        <f t="shared" si="5"/>
        <v>-1017.2641524463925</v>
      </c>
      <c r="AC216" s="134">
        <f t="shared" si="5"/>
        <v>-1107.5658261765332</v>
      </c>
      <c r="AD216" s="134">
        <f t="shared" si="5"/>
        <v>-1201.1445429853636</v>
      </c>
      <c r="AE216" s="134">
        <f t="shared" si="5"/>
        <v>-1298.0003028728829</v>
      </c>
      <c r="AF216" s="134">
        <f t="shared" si="5"/>
        <v>-1398.1331058390911</v>
      </c>
      <c r="AG216" s="134">
        <f t="shared" si="5"/>
        <v>-1501.5429518839894</v>
      </c>
      <c r="AH216" s="134">
        <f t="shared" si="5"/>
        <v>-1608.2298410075771</v>
      </c>
      <c r="AI216" s="134">
        <f t="shared" si="5"/>
        <v>-1716.5552516705081</v>
      </c>
      <c r="AJ216" s="134">
        <f t="shared" si="5"/>
        <v>-1824.8806623334392</v>
      </c>
      <c r="AK216" s="134">
        <f t="shared" si="5"/>
        <v>-1933.2060729963703</v>
      </c>
      <c r="AL216" s="134">
        <f t="shared" si="5"/>
        <v>-2041.5314836593013</v>
      </c>
      <c r="AM216" s="134">
        <f t="shared" si="5"/>
        <v>-2149.8568943222326</v>
      </c>
      <c r="AN216" s="134">
        <f t="shared" si="5"/>
        <v>-2258.1823049851637</v>
      </c>
      <c r="AO216" s="134">
        <f t="shared" si="5"/>
        <v>-2366.5077156480947</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35">
      <c r="A217" s="17"/>
      <c r="B217" s="112" t="s">
        <v>96</v>
      </c>
      <c r="C217" s="135"/>
      <c r="D217" s="134">
        <f t="shared" ref="D217:AO217" si="6">IF(D$214=$B217,0,IF(D$214&gt;$B217,-0.5*D$212-0.5*C$212+C217,0.5*HLOOKUP($B217,$D$211:$AO$212,2,FALSE)+0.5*HLOOKUP($B216,$D$211:$AO$212,2,FALSE)+D216))</f>
        <v>0</v>
      </c>
      <c r="E217" s="134">
        <f t="shared" si="6"/>
        <v>0</v>
      </c>
      <c r="F217" s="134">
        <f t="shared" si="6"/>
        <v>0</v>
      </c>
      <c r="G217" s="134">
        <f t="shared" si="6"/>
        <v>0</v>
      </c>
      <c r="H217" s="134">
        <f t="shared" si="6"/>
        <v>0</v>
      </c>
      <c r="I217" s="134">
        <f t="shared" si="6"/>
        <v>0</v>
      </c>
      <c r="J217" s="134">
        <f t="shared" si="6"/>
        <v>0</v>
      </c>
      <c r="K217" s="134">
        <f t="shared" si="6"/>
        <v>0</v>
      </c>
      <c r="L217" s="134">
        <f t="shared" si="6"/>
        <v>-18.115231465883515</v>
      </c>
      <c r="M217" s="134">
        <f t="shared" si="6"/>
        <v>-55.984215936996165</v>
      </c>
      <c r="N217" s="134">
        <f t="shared" si="6"/>
        <v>-97.130243486797866</v>
      </c>
      <c r="O217" s="134">
        <f t="shared" si="6"/>
        <v>-141.5533141152884</v>
      </c>
      <c r="P217" s="134">
        <f t="shared" si="6"/>
        <v>-189.25342782246869</v>
      </c>
      <c r="Q217" s="134">
        <f t="shared" si="6"/>
        <v>-240.23058460833781</v>
      </c>
      <c r="R217" s="134">
        <f t="shared" si="6"/>
        <v>-294.48478447289597</v>
      </c>
      <c r="S217" s="134">
        <f t="shared" si="6"/>
        <v>-352.0160274161434</v>
      </c>
      <c r="T217" s="134">
        <f t="shared" si="6"/>
        <v>-412.82431343808088</v>
      </c>
      <c r="U217" s="134">
        <f t="shared" si="6"/>
        <v>-476.9096425387072</v>
      </c>
      <c r="V217" s="134">
        <f t="shared" si="6"/>
        <v>-544.27201471802277</v>
      </c>
      <c r="W217" s="134">
        <f t="shared" si="6"/>
        <v>-614.91142997602856</v>
      </c>
      <c r="X217" s="134">
        <f t="shared" si="6"/>
        <v>-688.82788831272364</v>
      </c>
      <c r="Y217" s="134">
        <f t="shared" si="6"/>
        <v>-766.02138972810712</v>
      </c>
      <c r="Z217" s="134">
        <f t="shared" si="6"/>
        <v>-846.49193422217945</v>
      </c>
      <c r="AA217" s="134">
        <f t="shared" si="6"/>
        <v>-930.23952179494154</v>
      </c>
      <c r="AB217" s="134">
        <f t="shared" si="6"/>
        <v>-1017.2641524463925</v>
      </c>
      <c r="AC217" s="134">
        <f t="shared" si="6"/>
        <v>-1107.5658261765332</v>
      </c>
      <c r="AD217" s="134">
        <f t="shared" si="6"/>
        <v>-1201.1445429853636</v>
      </c>
      <c r="AE217" s="134">
        <f t="shared" si="6"/>
        <v>-1298.0003028728829</v>
      </c>
      <c r="AF217" s="134">
        <f t="shared" si="6"/>
        <v>-1398.1331058390911</v>
      </c>
      <c r="AG217" s="134">
        <f t="shared" si="6"/>
        <v>-1501.5429518839894</v>
      </c>
      <c r="AH217" s="134">
        <f t="shared" si="6"/>
        <v>-1608.2298410075771</v>
      </c>
      <c r="AI217" s="134">
        <f t="shared" si="6"/>
        <v>-1716.5552516705081</v>
      </c>
      <c r="AJ217" s="134">
        <f t="shared" si="6"/>
        <v>-1824.8806623334392</v>
      </c>
      <c r="AK217" s="134">
        <f t="shared" si="6"/>
        <v>-1933.2060729963703</v>
      </c>
      <c r="AL217" s="134">
        <f t="shared" si="6"/>
        <v>-2041.5314836593013</v>
      </c>
      <c r="AM217" s="134">
        <f t="shared" si="6"/>
        <v>-2149.8568943222326</v>
      </c>
      <c r="AN217" s="134">
        <f t="shared" si="6"/>
        <v>-2258.1823049851637</v>
      </c>
      <c r="AO217" s="134">
        <f t="shared" si="6"/>
        <v>-2366.5077156480947</v>
      </c>
      <c r="AP217" s="99"/>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row>
    <row r="218" spans="1:95" s="15" customFormat="1" ht="15" customHeight="1" x14ac:dyDescent="0.35">
      <c r="A218" s="17"/>
      <c r="B218" s="112" t="s">
        <v>97</v>
      </c>
      <c r="C218" s="135"/>
      <c r="D218" s="134">
        <f t="shared" ref="D218:AO218" si="7">IF(D$214=$B218,0,IF(D$214&gt;$B218,-0.5*D$212-0.5*C$212+C218,0.5*HLOOKUP($B218,$D$211:$AO$212,2,FALSE)+0.5*HLOOKUP($B217,$D$211:$AO$212,2,FALSE)+D217))</f>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2" t="s">
        <v>98</v>
      </c>
      <c r="C219" s="135"/>
      <c r="D219" s="134">
        <f t="shared" ref="D219:AO219" si="8">IF(D$214=$B219,0,IF(D$214&gt;$B219,-0.5*D$212-0.5*C$212+C219,0.5*HLOOKUP($B219,$D$211:$AO$212,2,FALSE)+0.5*HLOOKUP($B218,$D$211:$AO$212,2,FALSE)+D218))</f>
        <v>0</v>
      </c>
      <c r="E219" s="134">
        <f t="shared" si="8"/>
        <v>0</v>
      </c>
      <c r="F219" s="134">
        <f t="shared" si="8"/>
        <v>0</v>
      </c>
      <c r="G219" s="134">
        <f t="shared" si="8"/>
        <v>0</v>
      </c>
      <c r="H219" s="134">
        <f t="shared" si="8"/>
        <v>0</v>
      </c>
      <c r="I219" s="134">
        <f t="shared" si="8"/>
        <v>0</v>
      </c>
      <c r="J219" s="134">
        <f t="shared" si="8"/>
        <v>0</v>
      </c>
      <c r="K219" s="134">
        <f t="shared" si="8"/>
        <v>0</v>
      </c>
      <c r="L219" s="134">
        <f t="shared" si="8"/>
        <v>-18.115231465883515</v>
      </c>
      <c r="M219" s="134">
        <f t="shared" si="8"/>
        <v>-55.984215936996165</v>
      </c>
      <c r="N219" s="134">
        <f t="shared" si="8"/>
        <v>-97.130243486797866</v>
      </c>
      <c r="O219" s="134">
        <f t="shared" si="8"/>
        <v>-141.5533141152884</v>
      </c>
      <c r="P219" s="134">
        <f t="shared" si="8"/>
        <v>-189.25342782246869</v>
      </c>
      <c r="Q219" s="134">
        <f t="shared" si="8"/>
        <v>-240.23058460833781</v>
      </c>
      <c r="R219" s="134">
        <f t="shared" si="8"/>
        <v>-294.48478447289597</v>
      </c>
      <c r="S219" s="134">
        <f t="shared" si="8"/>
        <v>-352.0160274161434</v>
      </c>
      <c r="T219" s="134">
        <f t="shared" si="8"/>
        <v>-412.82431343808088</v>
      </c>
      <c r="U219" s="134">
        <f t="shared" si="8"/>
        <v>-476.9096425387072</v>
      </c>
      <c r="V219" s="134">
        <f t="shared" si="8"/>
        <v>-544.27201471802277</v>
      </c>
      <c r="W219" s="134">
        <f t="shared" si="8"/>
        <v>-614.91142997602856</v>
      </c>
      <c r="X219" s="134">
        <f t="shared" si="8"/>
        <v>-688.82788831272364</v>
      </c>
      <c r="Y219" s="134">
        <f t="shared" si="8"/>
        <v>-766.02138972810712</v>
      </c>
      <c r="Z219" s="134">
        <f t="shared" si="8"/>
        <v>-846.49193422217945</v>
      </c>
      <c r="AA219" s="134">
        <f t="shared" si="8"/>
        <v>-930.23952179494154</v>
      </c>
      <c r="AB219" s="134">
        <f t="shared" si="8"/>
        <v>-1017.2641524463925</v>
      </c>
      <c r="AC219" s="134">
        <f t="shared" si="8"/>
        <v>-1107.5658261765332</v>
      </c>
      <c r="AD219" s="134">
        <f t="shared" si="8"/>
        <v>-1201.1445429853636</v>
      </c>
      <c r="AE219" s="134">
        <f t="shared" si="8"/>
        <v>-1298.0003028728829</v>
      </c>
      <c r="AF219" s="134">
        <f t="shared" si="8"/>
        <v>-1398.1331058390911</v>
      </c>
      <c r="AG219" s="134">
        <f t="shared" si="8"/>
        <v>-1501.5429518839894</v>
      </c>
      <c r="AH219" s="134">
        <f t="shared" si="8"/>
        <v>-1608.2298410075771</v>
      </c>
      <c r="AI219" s="134">
        <f t="shared" si="8"/>
        <v>-1716.5552516705081</v>
      </c>
      <c r="AJ219" s="134">
        <f t="shared" si="8"/>
        <v>-1824.8806623334392</v>
      </c>
      <c r="AK219" s="134">
        <f t="shared" si="8"/>
        <v>-1933.2060729963703</v>
      </c>
      <c r="AL219" s="134">
        <f t="shared" si="8"/>
        <v>-2041.5314836593013</v>
      </c>
      <c r="AM219" s="134">
        <f t="shared" si="8"/>
        <v>-2149.8568943222326</v>
      </c>
      <c r="AN219" s="134">
        <f t="shared" si="8"/>
        <v>-2258.1823049851637</v>
      </c>
      <c r="AO219" s="134">
        <f t="shared" si="8"/>
        <v>-2366.5077156480947</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35">
      <c r="A220" s="17"/>
      <c r="B220" s="112" t="s">
        <v>99</v>
      </c>
      <c r="C220" s="135"/>
      <c r="D220" s="134">
        <f t="shared" ref="D220:AO220" si="9">IF(D$214=$B220,0,IF(D$214&gt;$B220,-0.5*D$212-0.5*C$212+C220,0.5*HLOOKUP($B220,$D$211:$AO$212,2,FALSE)+0.5*HLOOKUP($B219,$D$211:$AO$212,2,FALSE)+D219))</f>
        <v>0</v>
      </c>
      <c r="E220" s="134">
        <f t="shared" si="9"/>
        <v>0</v>
      </c>
      <c r="F220" s="134">
        <f t="shared" si="9"/>
        <v>0</v>
      </c>
      <c r="G220" s="134">
        <f t="shared" si="9"/>
        <v>0</v>
      </c>
      <c r="H220" s="134">
        <f t="shared" si="9"/>
        <v>0</v>
      </c>
      <c r="I220" s="134">
        <f t="shared" si="9"/>
        <v>0</v>
      </c>
      <c r="J220" s="134">
        <f t="shared" si="9"/>
        <v>0</v>
      </c>
      <c r="K220" s="134">
        <f t="shared" si="9"/>
        <v>0</v>
      </c>
      <c r="L220" s="134">
        <f t="shared" si="9"/>
        <v>-18.115231465883515</v>
      </c>
      <c r="M220" s="134">
        <f t="shared" si="9"/>
        <v>-55.984215936996165</v>
      </c>
      <c r="N220" s="134">
        <f t="shared" si="9"/>
        <v>-97.130243486797866</v>
      </c>
      <c r="O220" s="134">
        <f t="shared" si="9"/>
        <v>-141.5533141152884</v>
      </c>
      <c r="P220" s="134">
        <f t="shared" si="9"/>
        <v>-189.25342782246869</v>
      </c>
      <c r="Q220" s="134">
        <f t="shared" si="9"/>
        <v>-240.23058460833781</v>
      </c>
      <c r="R220" s="134">
        <f t="shared" si="9"/>
        <v>-294.48478447289597</v>
      </c>
      <c r="S220" s="134">
        <f t="shared" si="9"/>
        <v>-352.0160274161434</v>
      </c>
      <c r="T220" s="134">
        <f t="shared" si="9"/>
        <v>-412.82431343808088</v>
      </c>
      <c r="U220" s="134">
        <f t="shared" si="9"/>
        <v>-476.9096425387072</v>
      </c>
      <c r="V220" s="134">
        <f t="shared" si="9"/>
        <v>-544.27201471802277</v>
      </c>
      <c r="W220" s="134">
        <f t="shared" si="9"/>
        <v>-614.91142997602856</v>
      </c>
      <c r="X220" s="134">
        <f t="shared" si="9"/>
        <v>-688.82788831272364</v>
      </c>
      <c r="Y220" s="134">
        <f t="shared" si="9"/>
        <v>-766.02138972810712</v>
      </c>
      <c r="Z220" s="134">
        <f t="shared" si="9"/>
        <v>-846.49193422217945</v>
      </c>
      <c r="AA220" s="134">
        <f t="shared" si="9"/>
        <v>-930.23952179494154</v>
      </c>
      <c r="AB220" s="134">
        <f t="shared" si="9"/>
        <v>-1017.2641524463925</v>
      </c>
      <c r="AC220" s="134">
        <f t="shared" si="9"/>
        <v>-1107.5658261765332</v>
      </c>
      <c r="AD220" s="134">
        <f t="shared" si="9"/>
        <v>-1201.1445429853636</v>
      </c>
      <c r="AE220" s="134">
        <f t="shared" si="9"/>
        <v>-1298.0003028728829</v>
      </c>
      <c r="AF220" s="134">
        <f t="shared" si="9"/>
        <v>-1398.1331058390911</v>
      </c>
      <c r="AG220" s="134">
        <f t="shared" si="9"/>
        <v>-1501.5429518839894</v>
      </c>
      <c r="AH220" s="134">
        <f t="shared" si="9"/>
        <v>-1608.2298410075771</v>
      </c>
      <c r="AI220" s="134">
        <f t="shared" si="9"/>
        <v>-1716.5552516705081</v>
      </c>
      <c r="AJ220" s="134">
        <f t="shared" si="9"/>
        <v>-1824.8806623334392</v>
      </c>
      <c r="AK220" s="134">
        <f t="shared" si="9"/>
        <v>-1933.2060729963703</v>
      </c>
      <c r="AL220" s="134">
        <f t="shared" si="9"/>
        <v>-2041.5314836593013</v>
      </c>
      <c r="AM220" s="134">
        <f t="shared" si="9"/>
        <v>-2149.8568943222326</v>
      </c>
      <c r="AN220" s="134">
        <f t="shared" si="9"/>
        <v>-2258.1823049851637</v>
      </c>
      <c r="AO220" s="134">
        <f t="shared" si="9"/>
        <v>-2366.5077156480947</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35">
      <c r="A221" s="17"/>
      <c r="B221" s="112" t="s">
        <v>100</v>
      </c>
      <c r="C221" s="135"/>
      <c r="D221" s="134">
        <f t="shared" ref="D221:AO221" si="10">IF(D$214=$B221,0,IF(D$214&gt;$B221,-0.5*D$212-0.5*C$212+C221,0.5*HLOOKUP($B221,$D$211:$AO$212,2,FALSE)+0.5*HLOOKUP($B220,$D$211:$AO$212,2,FALSE)+D220))</f>
        <v>0</v>
      </c>
      <c r="E221" s="134">
        <f t="shared" si="10"/>
        <v>0</v>
      </c>
      <c r="F221" s="134">
        <f t="shared" si="10"/>
        <v>0</v>
      </c>
      <c r="G221" s="134">
        <f t="shared" si="10"/>
        <v>0</v>
      </c>
      <c r="H221" s="134">
        <f t="shared" si="10"/>
        <v>0</v>
      </c>
      <c r="I221" s="134">
        <f t="shared" si="10"/>
        <v>0</v>
      </c>
      <c r="J221" s="134">
        <f t="shared" si="10"/>
        <v>0</v>
      </c>
      <c r="K221" s="134">
        <f t="shared" si="10"/>
        <v>0</v>
      </c>
      <c r="L221" s="134">
        <f t="shared" si="10"/>
        <v>-18.115231465883515</v>
      </c>
      <c r="M221" s="134">
        <f t="shared" si="10"/>
        <v>-55.984215936996165</v>
      </c>
      <c r="N221" s="134">
        <f t="shared" si="10"/>
        <v>-97.130243486797866</v>
      </c>
      <c r="O221" s="134">
        <f t="shared" si="10"/>
        <v>-141.5533141152884</v>
      </c>
      <c r="P221" s="134">
        <f t="shared" si="10"/>
        <v>-189.25342782246869</v>
      </c>
      <c r="Q221" s="134">
        <f t="shared" si="10"/>
        <v>-240.23058460833781</v>
      </c>
      <c r="R221" s="134">
        <f t="shared" si="10"/>
        <v>-294.48478447289597</v>
      </c>
      <c r="S221" s="134">
        <f t="shared" si="10"/>
        <v>-352.0160274161434</v>
      </c>
      <c r="T221" s="134">
        <f t="shared" si="10"/>
        <v>-412.82431343808088</v>
      </c>
      <c r="U221" s="134">
        <f t="shared" si="10"/>
        <v>-476.9096425387072</v>
      </c>
      <c r="V221" s="134">
        <f t="shared" si="10"/>
        <v>-544.27201471802277</v>
      </c>
      <c r="W221" s="134">
        <f t="shared" si="10"/>
        <v>-614.91142997602856</v>
      </c>
      <c r="X221" s="134">
        <f t="shared" si="10"/>
        <v>-688.82788831272364</v>
      </c>
      <c r="Y221" s="134">
        <f t="shared" si="10"/>
        <v>-766.02138972810712</v>
      </c>
      <c r="Z221" s="134">
        <f t="shared" si="10"/>
        <v>-846.49193422217945</v>
      </c>
      <c r="AA221" s="134">
        <f t="shared" si="10"/>
        <v>-930.23952179494154</v>
      </c>
      <c r="AB221" s="134">
        <f t="shared" si="10"/>
        <v>-1017.2641524463925</v>
      </c>
      <c r="AC221" s="134">
        <f t="shared" si="10"/>
        <v>-1107.5658261765332</v>
      </c>
      <c r="AD221" s="134">
        <f t="shared" si="10"/>
        <v>-1201.1445429853636</v>
      </c>
      <c r="AE221" s="134">
        <f t="shared" si="10"/>
        <v>-1298.0003028728829</v>
      </c>
      <c r="AF221" s="134">
        <f t="shared" si="10"/>
        <v>-1398.1331058390911</v>
      </c>
      <c r="AG221" s="134">
        <f t="shared" si="10"/>
        <v>-1501.5429518839894</v>
      </c>
      <c r="AH221" s="134">
        <f t="shared" si="10"/>
        <v>-1608.2298410075771</v>
      </c>
      <c r="AI221" s="134">
        <f t="shared" si="10"/>
        <v>-1716.5552516705081</v>
      </c>
      <c r="AJ221" s="134">
        <f t="shared" si="10"/>
        <v>-1824.8806623334392</v>
      </c>
      <c r="AK221" s="134">
        <f t="shared" si="10"/>
        <v>-1933.2060729963703</v>
      </c>
      <c r="AL221" s="134">
        <f t="shared" si="10"/>
        <v>-2041.5314836593013</v>
      </c>
      <c r="AM221" s="134">
        <f t="shared" si="10"/>
        <v>-2149.8568943222326</v>
      </c>
      <c r="AN221" s="134">
        <f t="shared" si="10"/>
        <v>-2258.1823049851637</v>
      </c>
      <c r="AO221" s="134">
        <f t="shared" si="10"/>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2" t="s">
        <v>101</v>
      </c>
      <c r="C222" s="135"/>
      <c r="D222" s="134">
        <f t="shared" ref="D222:AO222" si="11">IF(D$214=$B222,0,IF(D$214&gt;$B222,-0.5*D$212-0.5*C$212+C222,0.5*HLOOKUP($B222,$D$211:$AO$212,2,FALSE)+0.5*HLOOKUP($B221,$D$211:$AO$212,2,FALSE)+D221))</f>
        <v>0</v>
      </c>
      <c r="E222" s="134">
        <f t="shared" si="11"/>
        <v>0</v>
      </c>
      <c r="F222" s="134">
        <f t="shared" si="11"/>
        <v>0</v>
      </c>
      <c r="G222" s="134">
        <f t="shared" si="11"/>
        <v>0</v>
      </c>
      <c r="H222" s="134">
        <f t="shared" si="11"/>
        <v>0</v>
      </c>
      <c r="I222" s="134">
        <f t="shared" si="11"/>
        <v>0</v>
      </c>
      <c r="J222" s="134">
        <f t="shared" si="11"/>
        <v>0</v>
      </c>
      <c r="K222" s="134">
        <f t="shared" si="11"/>
        <v>0</v>
      </c>
      <c r="L222" s="134">
        <f t="shared" si="11"/>
        <v>-18.115231465883515</v>
      </c>
      <c r="M222" s="134">
        <f t="shared" si="11"/>
        <v>-55.984215936996165</v>
      </c>
      <c r="N222" s="134">
        <f t="shared" si="11"/>
        <v>-97.130243486797866</v>
      </c>
      <c r="O222" s="134">
        <f t="shared" si="11"/>
        <v>-141.5533141152884</v>
      </c>
      <c r="P222" s="134">
        <f t="shared" si="11"/>
        <v>-189.25342782246869</v>
      </c>
      <c r="Q222" s="134">
        <f t="shared" si="11"/>
        <v>-240.23058460833781</v>
      </c>
      <c r="R222" s="134">
        <f t="shared" si="11"/>
        <v>-294.48478447289597</v>
      </c>
      <c r="S222" s="134">
        <f t="shared" si="11"/>
        <v>-352.0160274161434</v>
      </c>
      <c r="T222" s="134">
        <f t="shared" si="11"/>
        <v>-412.82431343808088</v>
      </c>
      <c r="U222" s="134">
        <f t="shared" si="11"/>
        <v>-476.9096425387072</v>
      </c>
      <c r="V222" s="134">
        <f t="shared" si="11"/>
        <v>-544.27201471802277</v>
      </c>
      <c r="W222" s="134">
        <f t="shared" si="11"/>
        <v>-614.91142997602856</v>
      </c>
      <c r="X222" s="134">
        <f t="shared" si="11"/>
        <v>-688.82788831272364</v>
      </c>
      <c r="Y222" s="134">
        <f t="shared" si="11"/>
        <v>-766.02138972810712</v>
      </c>
      <c r="Z222" s="134">
        <f t="shared" si="11"/>
        <v>-846.49193422217945</v>
      </c>
      <c r="AA222" s="134">
        <f t="shared" si="11"/>
        <v>-930.23952179494154</v>
      </c>
      <c r="AB222" s="134">
        <f t="shared" si="11"/>
        <v>-1017.2641524463925</v>
      </c>
      <c r="AC222" s="134">
        <f t="shared" si="11"/>
        <v>-1107.5658261765332</v>
      </c>
      <c r="AD222" s="134">
        <f t="shared" si="11"/>
        <v>-1201.1445429853636</v>
      </c>
      <c r="AE222" s="134">
        <f t="shared" si="11"/>
        <v>-1298.0003028728829</v>
      </c>
      <c r="AF222" s="134">
        <f t="shared" si="11"/>
        <v>-1398.1331058390911</v>
      </c>
      <c r="AG222" s="134">
        <f t="shared" si="11"/>
        <v>-1501.5429518839894</v>
      </c>
      <c r="AH222" s="134">
        <f t="shared" si="11"/>
        <v>-1608.2298410075771</v>
      </c>
      <c r="AI222" s="134">
        <f t="shared" si="11"/>
        <v>-1716.5552516705081</v>
      </c>
      <c r="AJ222" s="134">
        <f t="shared" si="11"/>
        <v>-1824.8806623334392</v>
      </c>
      <c r="AK222" s="134">
        <f t="shared" si="11"/>
        <v>-1933.2060729963703</v>
      </c>
      <c r="AL222" s="134">
        <f t="shared" si="11"/>
        <v>-2041.5314836593013</v>
      </c>
      <c r="AM222" s="134">
        <f t="shared" si="11"/>
        <v>-2149.8568943222326</v>
      </c>
      <c r="AN222" s="134">
        <f t="shared" si="11"/>
        <v>-2258.1823049851637</v>
      </c>
      <c r="AO222" s="134">
        <f t="shared" si="11"/>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2" t="s">
        <v>102</v>
      </c>
      <c r="C223" s="135"/>
      <c r="D223" s="134">
        <f t="shared" ref="D223:AO223" si="12">IF(D$214=$B223,0,IF(D$214&gt;$B223,-0.5*D$212-0.5*C$212+C223,0.5*HLOOKUP($B223,$D$211:$AO$212,2,FALSE)+0.5*HLOOKUP($B222,$D$211:$AO$212,2,FALSE)+D222))</f>
        <v>0</v>
      </c>
      <c r="E223" s="134">
        <f t="shared" si="12"/>
        <v>0</v>
      </c>
      <c r="F223" s="134">
        <f t="shared" si="12"/>
        <v>0</v>
      </c>
      <c r="G223" s="134">
        <f t="shared" si="12"/>
        <v>0</v>
      </c>
      <c r="H223" s="134">
        <f t="shared" si="12"/>
        <v>0</v>
      </c>
      <c r="I223" s="134">
        <f t="shared" si="12"/>
        <v>0</v>
      </c>
      <c r="J223" s="134">
        <f t="shared" si="12"/>
        <v>0</v>
      </c>
      <c r="K223" s="134">
        <f t="shared" si="12"/>
        <v>0</v>
      </c>
      <c r="L223" s="134">
        <f t="shared" si="12"/>
        <v>-18.115231465883515</v>
      </c>
      <c r="M223" s="134">
        <f t="shared" si="12"/>
        <v>-55.984215936996165</v>
      </c>
      <c r="N223" s="134">
        <f t="shared" si="12"/>
        <v>-97.130243486797866</v>
      </c>
      <c r="O223" s="134">
        <f t="shared" si="12"/>
        <v>-141.5533141152884</v>
      </c>
      <c r="P223" s="134">
        <f t="shared" si="12"/>
        <v>-189.25342782246869</v>
      </c>
      <c r="Q223" s="134">
        <f t="shared" si="12"/>
        <v>-240.23058460833781</v>
      </c>
      <c r="R223" s="134">
        <f t="shared" si="12"/>
        <v>-294.48478447289597</v>
      </c>
      <c r="S223" s="134">
        <f t="shared" si="12"/>
        <v>-352.0160274161434</v>
      </c>
      <c r="T223" s="134">
        <f t="shared" si="12"/>
        <v>-412.82431343808088</v>
      </c>
      <c r="U223" s="134">
        <f t="shared" si="12"/>
        <v>-476.9096425387072</v>
      </c>
      <c r="V223" s="134">
        <f t="shared" si="12"/>
        <v>-544.27201471802277</v>
      </c>
      <c r="W223" s="134">
        <f t="shared" si="12"/>
        <v>-614.91142997602856</v>
      </c>
      <c r="X223" s="134">
        <f t="shared" si="12"/>
        <v>-688.82788831272364</v>
      </c>
      <c r="Y223" s="134">
        <f t="shared" si="12"/>
        <v>-766.02138972810712</v>
      </c>
      <c r="Z223" s="134">
        <f t="shared" si="12"/>
        <v>-846.49193422217945</v>
      </c>
      <c r="AA223" s="134">
        <f t="shared" si="12"/>
        <v>-930.23952179494154</v>
      </c>
      <c r="AB223" s="134">
        <f t="shared" si="12"/>
        <v>-1017.2641524463925</v>
      </c>
      <c r="AC223" s="134">
        <f t="shared" si="12"/>
        <v>-1107.5658261765332</v>
      </c>
      <c r="AD223" s="134">
        <f t="shared" si="12"/>
        <v>-1201.1445429853636</v>
      </c>
      <c r="AE223" s="134">
        <f t="shared" si="12"/>
        <v>-1298.0003028728829</v>
      </c>
      <c r="AF223" s="134">
        <f t="shared" si="12"/>
        <v>-1398.1331058390911</v>
      </c>
      <c r="AG223" s="134">
        <f t="shared" si="12"/>
        <v>-1501.5429518839894</v>
      </c>
      <c r="AH223" s="134">
        <f t="shared" si="12"/>
        <v>-1608.2298410075771</v>
      </c>
      <c r="AI223" s="134">
        <f t="shared" si="12"/>
        <v>-1716.5552516705081</v>
      </c>
      <c r="AJ223" s="134">
        <f t="shared" si="12"/>
        <v>-1824.8806623334392</v>
      </c>
      <c r="AK223" s="134">
        <f t="shared" si="12"/>
        <v>-1933.2060729963703</v>
      </c>
      <c r="AL223" s="134">
        <f t="shared" si="12"/>
        <v>-2041.5314836593013</v>
      </c>
      <c r="AM223" s="134">
        <f t="shared" si="12"/>
        <v>-2149.8568943222326</v>
      </c>
      <c r="AN223" s="134">
        <f t="shared" si="12"/>
        <v>-2258.1823049851637</v>
      </c>
      <c r="AO223" s="134">
        <f t="shared" si="12"/>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2"/>
      <c r="B224" s="112" t="s">
        <v>103</v>
      </c>
      <c r="C224" s="135"/>
      <c r="D224" s="134">
        <f t="shared" ref="D224:AO224" si="13">IF(D$214=$B224,0,IF(D$214&gt;$B224,-0.5*D$212-0.5*C$212+C224,0.5*HLOOKUP($B224,$D$211:$AO$212,2,FALSE)+0.5*HLOOKUP($B223,$D$211:$AO$212,2,FALSE)+D223))</f>
        <v>18.115231465883515</v>
      </c>
      <c r="E224" s="134">
        <f t="shared" si="13"/>
        <v>18.115231465883515</v>
      </c>
      <c r="F224" s="134">
        <f t="shared" si="13"/>
        <v>18.115231465883515</v>
      </c>
      <c r="G224" s="134">
        <f t="shared" si="13"/>
        <v>18.115231465883515</v>
      </c>
      <c r="H224" s="134">
        <f t="shared" si="13"/>
        <v>18.115231465883515</v>
      </c>
      <c r="I224" s="134">
        <f t="shared" si="13"/>
        <v>18.115231465883515</v>
      </c>
      <c r="J224" s="134">
        <f t="shared" si="13"/>
        <v>18.115231465883515</v>
      </c>
      <c r="K224" s="134">
        <f t="shared" si="13"/>
        <v>18.115231465883515</v>
      </c>
      <c r="L224" s="134">
        <f t="shared" si="13"/>
        <v>0</v>
      </c>
      <c r="M224" s="134">
        <f t="shared" si="13"/>
        <v>-37.868984471112647</v>
      </c>
      <c r="N224" s="134">
        <f t="shared" si="13"/>
        <v>-79.015012020914355</v>
      </c>
      <c r="O224" s="134">
        <f t="shared" si="13"/>
        <v>-123.43808264940488</v>
      </c>
      <c r="P224" s="134">
        <f t="shared" si="13"/>
        <v>-171.13819635658518</v>
      </c>
      <c r="Q224" s="134">
        <f t="shared" si="13"/>
        <v>-222.1153531424543</v>
      </c>
      <c r="R224" s="134">
        <f t="shared" si="13"/>
        <v>-276.36955300701243</v>
      </c>
      <c r="S224" s="134">
        <f t="shared" si="13"/>
        <v>-333.90079595025986</v>
      </c>
      <c r="T224" s="134">
        <f t="shared" si="13"/>
        <v>-394.70908197219734</v>
      </c>
      <c r="U224" s="134">
        <f t="shared" si="13"/>
        <v>-458.79441107282366</v>
      </c>
      <c r="V224" s="134">
        <f t="shared" si="13"/>
        <v>-526.15678325213923</v>
      </c>
      <c r="W224" s="134">
        <f t="shared" si="13"/>
        <v>-596.79619851014513</v>
      </c>
      <c r="X224" s="134">
        <f t="shared" si="13"/>
        <v>-670.71265684684022</v>
      </c>
      <c r="Y224" s="134">
        <f t="shared" si="13"/>
        <v>-747.9061582622237</v>
      </c>
      <c r="Z224" s="134">
        <f t="shared" si="13"/>
        <v>-828.37670275629603</v>
      </c>
      <c r="AA224" s="134">
        <f t="shared" si="13"/>
        <v>-912.12429032905811</v>
      </c>
      <c r="AB224" s="134">
        <f t="shared" si="13"/>
        <v>-999.14892098050905</v>
      </c>
      <c r="AC224" s="134">
        <f t="shared" si="13"/>
        <v>-1089.4505947106497</v>
      </c>
      <c r="AD224" s="134">
        <f t="shared" si="13"/>
        <v>-1183.0293115194802</v>
      </c>
      <c r="AE224" s="134">
        <f t="shared" si="13"/>
        <v>-1279.8850714069995</v>
      </c>
      <c r="AF224" s="134">
        <f t="shared" si="13"/>
        <v>-1380.0178743732076</v>
      </c>
      <c r="AG224" s="134">
        <f t="shared" si="13"/>
        <v>-1483.427720418106</v>
      </c>
      <c r="AH224" s="134">
        <f t="shared" si="13"/>
        <v>-1590.1146095416937</v>
      </c>
      <c r="AI224" s="134">
        <f t="shared" si="13"/>
        <v>-1698.4400202046247</v>
      </c>
      <c r="AJ224" s="134">
        <f t="shared" si="13"/>
        <v>-1806.7654308675558</v>
      </c>
      <c r="AK224" s="134">
        <f t="shared" si="13"/>
        <v>-1915.0908415304868</v>
      </c>
      <c r="AL224" s="134">
        <f t="shared" si="13"/>
        <v>-2023.4162521934179</v>
      </c>
      <c r="AM224" s="134">
        <f t="shared" si="13"/>
        <v>-2131.7416628563492</v>
      </c>
      <c r="AN224" s="134">
        <f t="shared" si="13"/>
        <v>-2240.0670735192803</v>
      </c>
      <c r="AO224" s="134">
        <f t="shared" si="13"/>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5">
      <c r="A225" s="102"/>
      <c r="B225" s="112" t="s">
        <v>104</v>
      </c>
      <c r="C225" s="135"/>
      <c r="D225" s="134">
        <f t="shared" ref="D225:AO225" si="14">IF(D$214=$B225,0,IF(D$214&gt;$B225,-0.5*D$212-0.5*C$212+C225,0.5*HLOOKUP($B225,$D$211:$AO$212,2,FALSE)+0.5*HLOOKUP($B224,$D$211:$AO$212,2,FALSE)+D224))</f>
        <v>55.984215936996165</v>
      </c>
      <c r="E225" s="134">
        <f t="shared" si="14"/>
        <v>55.984215936996165</v>
      </c>
      <c r="F225" s="134">
        <f t="shared" si="14"/>
        <v>55.984215936996165</v>
      </c>
      <c r="G225" s="134">
        <f t="shared" si="14"/>
        <v>55.984215936996165</v>
      </c>
      <c r="H225" s="134">
        <f t="shared" si="14"/>
        <v>55.984215936996165</v>
      </c>
      <c r="I225" s="134">
        <f t="shared" si="14"/>
        <v>55.984215936996165</v>
      </c>
      <c r="J225" s="134">
        <f t="shared" si="14"/>
        <v>55.984215936996165</v>
      </c>
      <c r="K225" s="134">
        <f t="shared" si="14"/>
        <v>55.984215936996165</v>
      </c>
      <c r="L225" s="134">
        <f t="shared" si="14"/>
        <v>37.868984471112647</v>
      </c>
      <c r="M225" s="134">
        <f t="shared" si="14"/>
        <v>0</v>
      </c>
      <c r="N225" s="134">
        <f t="shared" si="14"/>
        <v>-41.146027549801701</v>
      </c>
      <c r="O225" s="134">
        <f t="shared" si="14"/>
        <v>-85.569098178292222</v>
      </c>
      <c r="P225" s="134">
        <f t="shared" si="14"/>
        <v>-133.26921188547252</v>
      </c>
      <c r="Q225" s="134">
        <f t="shared" si="14"/>
        <v>-184.24636867134163</v>
      </c>
      <c r="R225" s="134">
        <f t="shared" si="14"/>
        <v>-238.50056853589979</v>
      </c>
      <c r="S225" s="134">
        <f t="shared" si="14"/>
        <v>-296.03181147914722</v>
      </c>
      <c r="T225" s="134">
        <f t="shared" si="14"/>
        <v>-356.8400975010847</v>
      </c>
      <c r="U225" s="134">
        <f t="shared" si="14"/>
        <v>-420.92542660171102</v>
      </c>
      <c r="V225" s="134">
        <f t="shared" si="14"/>
        <v>-488.28779878102659</v>
      </c>
      <c r="W225" s="134">
        <f t="shared" si="14"/>
        <v>-558.92721403903238</v>
      </c>
      <c r="X225" s="134">
        <f t="shared" si="14"/>
        <v>-632.84367237572746</v>
      </c>
      <c r="Y225" s="134">
        <f t="shared" si="14"/>
        <v>-710.03717379111094</v>
      </c>
      <c r="Z225" s="134">
        <f t="shared" si="14"/>
        <v>-790.50771828518327</v>
      </c>
      <c r="AA225" s="134">
        <f t="shared" si="14"/>
        <v>-874.25530585794536</v>
      </c>
      <c r="AB225" s="134">
        <f t="shared" si="14"/>
        <v>-961.27993650939629</v>
      </c>
      <c r="AC225" s="134">
        <f t="shared" si="14"/>
        <v>-1051.581610239537</v>
      </c>
      <c r="AD225" s="134">
        <f t="shared" si="14"/>
        <v>-1145.1603270483674</v>
      </c>
      <c r="AE225" s="134">
        <f t="shared" si="14"/>
        <v>-1242.0160869358867</v>
      </c>
      <c r="AF225" s="134">
        <f t="shared" si="14"/>
        <v>-1342.1488899020949</v>
      </c>
      <c r="AG225" s="134">
        <f t="shared" si="14"/>
        <v>-1445.5587359469932</v>
      </c>
      <c r="AH225" s="134">
        <f t="shared" si="14"/>
        <v>-1552.2456250705809</v>
      </c>
      <c r="AI225" s="134">
        <f t="shared" si="14"/>
        <v>-1660.571035733512</v>
      </c>
      <c r="AJ225" s="134">
        <f t="shared" si="14"/>
        <v>-1768.896446396443</v>
      </c>
      <c r="AK225" s="134">
        <f t="shared" si="14"/>
        <v>-1877.2218570593741</v>
      </c>
      <c r="AL225" s="134">
        <f t="shared" si="14"/>
        <v>-1985.5472677223052</v>
      </c>
      <c r="AM225" s="134">
        <f t="shared" si="14"/>
        <v>-2093.8726783852362</v>
      </c>
      <c r="AN225" s="134">
        <f t="shared" si="14"/>
        <v>-2202.1980890481673</v>
      </c>
      <c r="AO225" s="134">
        <f t="shared" si="14"/>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5">
      <c r="A226" s="102"/>
      <c r="B226" s="112" t="s">
        <v>105</v>
      </c>
      <c r="C226" s="135"/>
      <c r="D226" s="134">
        <f t="shared" ref="D226:AO226" si="15">IF(D$214=$B226,0,IF(D$214&gt;$B226,-0.5*D$212-0.5*C$212+C226,0.5*HLOOKUP($B226,$D$211:$AO$212,2,FALSE)+0.5*HLOOKUP($B225,$D$211:$AO$212,2,FALSE)+D225))</f>
        <v>97.130243486797866</v>
      </c>
      <c r="E226" s="134">
        <f t="shared" si="15"/>
        <v>97.130243486797866</v>
      </c>
      <c r="F226" s="134">
        <f t="shared" si="15"/>
        <v>97.130243486797866</v>
      </c>
      <c r="G226" s="134">
        <f t="shared" si="15"/>
        <v>97.130243486797866</v>
      </c>
      <c r="H226" s="134">
        <f t="shared" si="15"/>
        <v>97.130243486797866</v>
      </c>
      <c r="I226" s="134">
        <f t="shared" si="15"/>
        <v>97.130243486797866</v>
      </c>
      <c r="J226" s="134">
        <f t="shared" si="15"/>
        <v>97.130243486797866</v>
      </c>
      <c r="K226" s="134">
        <f t="shared" si="15"/>
        <v>97.130243486797866</v>
      </c>
      <c r="L226" s="134">
        <f t="shared" si="15"/>
        <v>79.015012020914355</v>
      </c>
      <c r="M226" s="134">
        <f t="shared" si="15"/>
        <v>41.146027549801701</v>
      </c>
      <c r="N226" s="134">
        <f t="shared" si="15"/>
        <v>0</v>
      </c>
      <c r="O226" s="134">
        <f t="shared" si="15"/>
        <v>-44.423070628490521</v>
      </c>
      <c r="P226" s="134">
        <f t="shared" si="15"/>
        <v>-92.123184335670828</v>
      </c>
      <c r="Q226" s="134">
        <f t="shared" si="15"/>
        <v>-143.10034112153994</v>
      </c>
      <c r="R226" s="134">
        <f t="shared" si="15"/>
        <v>-197.3545409860981</v>
      </c>
      <c r="S226" s="134">
        <f t="shared" si="15"/>
        <v>-254.88578392934556</v>
      </c>
      <c r="T226" s="134">
        <f t="shared" si="15"/>
        <v>-315.69406995128304</v>
      </c>
      <c r="U226" s="134">
        <f t="shared" si="15"/>
        <v>-379.77939905190931</v>
      </c>
      <c r="V226" s="134">
        <f t="shared" si="15"/>
        <v>-447.14177123122488</v>
      </c>
      <c r="W226" s="134">
        <f t="shared" si="15"/>
        <v>-517.78118648923078</v>
      </c>
      <c r="X226" s="134">
        <f t="shared" si="15"/>
        <v>-591.69764482592586</v>
      </c>
      <c r="Y226" s="134">
        <f t="shared" si="15"/>
        <v>-668.89114624130934</v>
      </c>
      <c r="Z226" s="134">
        <f t="shared" si="15"/>
        <v>-749.36169073538167</v>
      </c>
      <c r="AA226" s="134">
        <f t="shared" si="15"/>
        <v>-833.10927830814376</v>
      </c>
      <c r="AB226" s="134">
        <f t="shared" si="15"/>
        <v>-920.13390895959469</v>
      </c>
      <c r="AC226" s="134">
        <f t="shared" si="15"/>
        <v>-1010.4355826897354</v>
      </c>
      <c r="AD226" s="134">
        <f t="shared" si="15"/>
        <v>-1104.0142994985658</v>
      </c>
      <c r="AE226" s="134">
        <f t="shared" si="15"/>
        <v>-1200.8700593860851</v>
      </c>
      <c r="AF226" s="134">
        <f t="shared" si="15"/>
        <v>-1301.0028623522933</v>
      </c>
      <c r="AG226" s="134">
        <f t="shared" si="15"/>
        <v>-1404.4127083971916</v>
      </c>
      <c r="AH226" s="134">
        <f t="shared" si="15"/>
        <v>-1511.0995975207793</v>
      </c>
      <c r="AI226" s="134">
        <f t="shared" si="15"/>
        <v>-1619.4250081837104</v>
      </c>
      <c r="AJ226" s="134">
        <f t="shared" si="15"/>
        <v>-1727.7504188466414</v>
      </c>
      <c r="AK226" s="134">
        <f t="shared" si="15"/>
        <v>-1836.0758295095725</v>
      </c>
      <c r="AL226" s="134">
        <f t="shared" si="15"/>
        <v>-1944.4012401725035</v>
      </c>
      <c r="AM226" s="134">
        <f t="shared" si="15"/>
        <v>-2052.7266508354346</v>
      </c>
      <c r="AN226" s="134">
        <f t="shared" si="15"/>
        <v>-2161.0520614983657</v>
      </c>
      <c r="AO226" s="134">
        <f t="shared" si="15"/>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5">
      <c r="A227" s="102"/>
      <c r="B227" s="112" t="s">
        <v>106</v>
      </c>
      <c r="C227" s="135"/>
      <c r="D227" s="134">
        <f t="shared" ref="D227:AO227" si="16">IF(D$214=$B227,0,IF(D$214&gt;$B227,-0.5*D$212-0.5*C$212+C227,0.5*HLOOKUP($B227,$D$211:$AO$212,2,FALSE)+0.5*HLOOKUP($B226,$D$211:$AO$212,2,FALSE)+D226))</f>
        <v>141.5533141152884</v>
      </c>
      <c r="E227" s="134">
        <f t="shared" si="16"/>
        <v>141.5533141152884</v>
      </c>
      <c r="F227" s="134">
        <f t="shared" si="16"/>
        <v>141.5533141152884</v>
      </c>
      <c r="G227" s="134">
        <f t="shared" si="16"/>
        <v>141.5533141152884</v>
      </c>
      <c r="H227" s="134">
        <f t="shared" si="16"/>
        <v>141.5533141152884</v>
      </c>
      <c r="I227" s="134">
        <f t="shared" si="16"/>
        <v>141.5533141152884</v>
      </c>
      <c r="J227" s="134">
        <f t="shared" si="16"/>
        <v>141.5533141152884</v>
      </c>
      <c r="K227" s="134">
        <f t="shared" si="16"/>
        <v>141.5533141152884</v>
      </c>
      <c r="L227" s="134">
        <f t="shared" si="16"/>
        <v>123.43808264940488</v>
      </c>
      <c r="M227" s="134">
        <f t="shared" si="16"/>
        <v>85.569098178292222</v>
      </c>
      <c r="N227" s="134">
        <f t="shared" si="16"/>
        <v>44.423070628490521</v>
      </c>
      <c r="O227" s="134">
        <f t="shared" si="16"/>
        <v>0</v>
      </c>
      <c r="P227" s="134">
        <f t="shared" si="16"/>
        <v>-47.7001137071803</v>
      </c>
      <c r="Q227" s="134">
        <f t="shared" si="16"/>
        <v>-98.677270493049406</v>
      </c>
      <c r="R227" s="134">
        <f t="shared" si="16"/>
        <v>-152.93147035760757</v>
      </c>
      <c r="S227" s="134">
        <f t="shared" si="16"/>
        <v>-210.46271330085503</v>
      </c>
      <c r="T227" s="134">
        <f t="shared" si="16"/>
        <v>-271.27099932279248</v>
      </c>
      <c r="U227" s="134">
        <f t="shared" si="16"/>
        <v>-335.35632842341874</v>
      </c>
      <c r="V227" s="134">
        <f t="shared" si="16"/>
        <v>-402.71870060273432</v>
      </c>
      <c r="W227" s="134">
        <f t="shared" si="16"/>
        <v>-473.35811586074016</v>
      </c>
      <c r="X227" s="134">
        <f t="shared" si="16"/>
        <v>-547.2745741974353</v>
      </c>
      <c r="Y227" s="134">
        <f t="shared" si="16"/>
        <v>-624.46807561281878</v>
      </c>
      <c r="Z227" s="134">
        <f t="shared" si="16"/>
        <v>-704.93862010689111</v>
      </c>
      <c r="AA227" s="134">
        <f t="shared" si="16"/>
        <v>-788.68620767965319</v>
      </c>
      <c r="AB227" s="134">
        <f t="shared" si="16"/>
        <v>-875.71083833110401</v>
      </c>
      <c r="AC227" s="134">
        <f t="shared" si="16"/>
        <v>-966.01251206124471</v>
      </c>
      <c r="AD227" s="134">
        <f t="shared" si="16"/>
        <v>-1059.5912288700752</v>
      </c>
      <c r="AE227" s="134">
        <f t="shared" si="16"/>
        <v>-1156.4469887575945</v>
      </c>
      <c r="AF227" s="134">
        <f t="shared" si="16"/>
        <v>-1256.5797917238026</v>
      </c>
      <c r="AG227" s="134">
        <f t="shared" si="16"/>
        <v>-1359.989637768701</v>
      </c>
      <c r="AH227" s="134">
        <f t="shared" si="16"/>
        <v>-1466.6765268922886</v>
      </c>
      <c r="AI227" s="134">
        <f t="shared" si="16"/>
        <v>-1575.0019375552197</v>
      </c>
      <c r="AJ227" s="134">
        <f t="shared" si="16"/>
        <v>-1683.3273482181507</v>
      </c>
      <c r="AK227" s="134">
        <f t="shared" si="16"/>
        <v>-1791.6527588810818</v>
      </c>
      <c r="AL227" s="134">
        <f t="shared" si="16"/>
        <v>-1899.9781695440129</v>
      </c>
      <c r="AM227" s="134">
        <f t="shared" si="16"/>
        <v>-2008.3035802069439</v>
      </c>
      <c r="AN227" s="134">
        <f t="shared" si="16"/>
        <v>-2116.628990869875</v>
      </c>
      <c r="AO227" s="134">
        <f t="shared" si="16"/>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5">
      <c r="A228" s="102"/>
      <c r="B228" s="112" t="s">
        <v>107</v>
      </c>
      <c r="C228" s="135"/>
      <c r="D228" s="134">
        <f t="shared" ref="D228:AO228" si="17">IF(D$214=$B228,0,IF(D$214&gt;$B228,-0.5*D$212-0.5*C$212+C228,0.5*HLOOKUP($B228,$D$211:$AO$212,2,FALSE)+0.5*HLOOKUP($B227,$D$211:$AO$212,2,FALSE)+D227))</f>
        <v>189.25342782246869</v>
      </c>
      <c r="E228" s="134">
        <f t="shared" si="17"/>
        <v>189.25342782246869</v>
      </c>
      <c r="F228" s="134">
        <f t="shared" si="17"/>
        <v>189.25342782246869</v>
      </c>
      <c r="G228" s="134">
        <f t="shared" si="17"/>
        <v>189.25342782246869</v>
      </c>
      <c r="H228" s="134">
        <f t="shared" si="17"/>
        <v>189.25342782246869</v>
      </c>
      <c r="I228" s="134">
        <f t="shared" si="17"/>
        <v>189.25342782246869</v>
      </c>
      <c r="J228" s="134">
        <f t="shared" si="17"/>
        <v>189.25342782246869</v>
      </c>
      <c r="K228" s="134">
        <f t="shared" si="17"/>
        <v>189.25342782246869</v>
      </c>
      <c r="L228" s="134">
        <f t="shared" si="17"/>
        <v>171.13819635658518</v>
      </c>
      <c r="M228" s="134">
        <f t="shared" si="17"/>
        <v>133.26921188547252</v>
      </c>
      <c r="N228" s="134">
        <f t="shared" si="17"/>
        <v>92.123184335670828</v>
      </c>
      <c r="O228" s="134">
        <f t="shared" si="17"/>
        <v>47.7001137071803</v>
      </c>
      <c r="P228" s="134">
        <f t="shared" si="17"/>
        <v>0</v>
      </c>
      <c r="Q228" s="134">
        <f t="shared" si="17"/>
        <v>-50.977156785869106</v>
      </c>
      <c r="R228" s="134">
        <f t="shared" si="17"/>
        <v>-105.23135665042727</v>
      </c>
      <c r="S228" s="134">
        <f t="shared" si="17"/>
        <v>-162.76259959367474</v>
      </c>
      <c r="T228" s="134">
        <f t="shared" si="17"/>
        <v>-223.57088561561221</v>
      </c>
      <c r="U228" s="134">
        <f t="shared" si="17"/>
        <v>-287.65621471623854</v>
      </c>
      <c r="V228" s="134">
        <f t="shared" si="17"/>
        <v>-355.01858689555411</v>
      </c>
      <c r="W228" s="134">
        <f t="shared" si="17"/>
        <v>-425.65800215355995</v>
      </c>
      <c r="X228" s="134">
        <f t="shared" si="17"/>
        <v>-499.57446049025509</v>
      </c>
      <c r="Y228" s="134">
        <f t="shared" si="17"/>
        <v>-576.76796190563857</v>
      </c>
      <c r="Z228" s="134">
        <f t="shared" si="17"/>
        <v>-657.2385063997109</v>
      </c>
      <c r="AA228" s="134">
        <f t="shared" si="17"/>
        <v>-740.98609397247299</v>
      </c>
      <c r="AB228" s="134">
        <f t="shared" si="17"/>
        <v>-828.01072462392381</v>
      </c>
      <c r="AC228" s="134">
        <f t="shared" si="17"/>
        <v>-918.3123983540645</v>
      </c>
      <c r="AD228" s="134">
        <f t="shared" si="17"/>
        <v>-1011.8911151628949</v>
      </c>
      <c r="AE228" s="134">
        <f t="shared" si="17"/>
        <v>-1108.7468750504142</v>
      </c>
      <c r="AF228" s="134">
        <f t="shared" si="17"/>
        <v>-1208.8796780166224</v>
      </c>
      <c r="AG228" s="134">
        <f t="shared" si="17"/>
        <v>-1312.2895240615208</v>
      </c>
      <c r="AH228" s="134">
        <f t="shared" si="17"/>
        <v>-1418.9764131851084</v>
      </c>
      <c r="AI228" s="134">
        <f t="shared" si="17"/>
        <v>-1527.3018238480395</v>
      </c>
      <c r="AJ228" s="134">
        <f t="shared" si="17"/>
        <v>-1635.6272345109705</v>
      </c>
      <c r="AK228" s="134">
        <f t="shared" si="17"/>
        <v>-1743.9526451739016</v>
      </c>
      <c r="AL228" s="134">
        <f t="shared" si="17"/>
        <v>-1852.2780558368327</v>
      </c>
      <c r="AM228" s="134">
        <f t="shared" si="17"/>
        <v>-1960.6034664997637</v>
      </c>
      <c r="AN228" s="134">
        <f t="shared" si="17"/>
        <v>-2068.9288771626948</v>
      </c>
      <c r="AO228" s="134">
        <f t="shared" si="17"/>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5">
      <c r="A229" s="102"/>
      <c r="B229" s="112" t="s">
        <v>108</v>
      </c>
      <c r="C229" s="135"/>
      <c r="D229" s="134">
        <f t="shared" ref="D229:AO229" si="18">IF(D$214=$B229,0,IF(D$214&gt;$B229,-0.5*D$212-0.5*C$212+C229,0.5*HLOOKUP($B229,$D$211:$AO$212,2,FALSE)+0.5*HLOOKUP($B228,$D$211:$AO$212,2,FALSE)+D228))</f>
        <v>240.23058460833781</v>
      </c>
      <c r="E229" s="134">
        <f t="shared" si="18"/>
        <v>240.23058460833781</v>
      </c>
      <c r="F229" s="134">
        <f t="shared" si="18"/>
        <v>240.23058460833781</v>
      </c>
      <c r="G229" s="134">
        <f t="shared" si="18"/>
        <v>240.23058460833781</v>
      </c>
      <c r="H229" s="134">
        <f t="shared" si="18"/>
        <v>240.23058460833781</v>
      </c>
      <c r="I229" s="134">
        <f t="shared" si="18"/>
        <v>240.23058460833781</v>
      </c>
      <c r="J229" s="134">
        <f t="shared" si="18"/>
        <v>240.23058460833781</v>
      </c>
      <c r="K229" s="134">
        <f t="shared" si="18"/>
        <v>240.23058460833781</v>
      </c>
      <c r="L229" s="134">
        <f t="shared" si="18"/>
        <v>222.1153531424543</v>
      </c>
      <c r="M229" s="134">
        <f t="shared" si="18"/>
        <v>184.24636867134163</v>
      </c>
      <c r="N229" s="134">
        <f t="shared" si="18"/>
        <v>143.10034112153994</v>
      </c>
      <c r="O229" s="134">
        <f t="shared" si="18"/>
        <v>98.677270493049406</v>
      </c>
      <c r="P229" s="134">
        <f t="shared" si="18"/>
        <v>50.977156785869106</v>
      </c>
      <c r="Q229" s="134">
        <f t="shared" si="18"/>
        <v>0</v>
      </c>
      <c r="R229" s="134">
        <f t="shared" si="18"/>
        <v>-54.25419986455816</v>
      </c>
      <c r="S229" s="134">
        <f t="shared" si="18"/>
        <v>-111.78544280780562</v>
      </c>
      <c r="T229" s="134">
        <f t="shared" si="18"/>
        <v>-172.5937288297431</v>
      </c>
      <c r="U229" s="134">
        <f t="shared" si="18"/>
        <v>-236.6790579303694</v>
      </c>
      <c r="V229" s="134">
        <f t="shared" si="18"/>
        <v>-304.041430109685</v>
      </c>
      <c r="W229" s="134">
        <f t="shared" si="18"/>
        <v>-374.68084536769084</v>
      </c>
      <c r="X229" s="134">
        <f t="shared" si="18"/>
        <v>-448.59730370438598</v>
      </c>
      <c r="Y229" s="134">
        <f t="shared" si="18"/>
        <v>-525.7908051197694</v>
      </c>
      <c r="Z229" s="134">
        <f t="shared" si="18"/>
        <v>-606.26134961384173</v>
      </c>
      <c r="AA229" s="134">
        <f t="shared" si="18"/>
        <v>-690.00893718660382</v>
      </c>
      <c r="AB229" s="134">
        <f t="shared" si="18"/>
        <v>-777.03356783805475</v>
      </c>
      <c r="AC229" s="134">
        <f t="shared" si="18"/>
        <v>-867.33524156819544</v>
      </c>
      <c r="AD229" s="134">
        <f t="shared" si="18"/>
        <v>-960.91395837702589</v>
      </c>
      <c r="AE229" s="134">
        <f t="shared" si="18"/>
        <v>-1057.7697182645452</v>
      </c>
      <c r="AF229" s="134">
        <f t="shared" si="18"/>
        <v>-1157.9025212307533</v>
      </c>
      <c r="AG229" s="134">
        <f t="shared" si="18"/>
        <v>-1261.3123672756517</v>
      </c>
      <c r="AH229" s="134">
        <f t="shared" si="18"/>
        <v>-1367.9992563992394</v>
      </c>
      <c r="AI229" s="134">
        <f t="shared" si="18"/>
        <v>-1476.3246670621704</v>
      </c>
      <c r="AJ229" s="134">
        <f t="shared" si="18"/>
        <v>-1584.6500777251015</v>
      </c>
      <c r="AK229" s="134">
        <f t="shared" si="18"/>
        <v>-1692.9754883880325</v>
      </c>
      <c r="AL229" s="134">
        <f t="shared" si="18"/>
        <v>-1801.3008990509636</v>
      </c>
      <c r="AM229" s="134">
        <f t="shared" si="18"/>
        <v>-1909.6263097138947</v>
      </c>
      <c r="AN229" s="134">
        <f t="shared" si="18"/>
        <v>-2017.9517203768257</v>
      </c>
      <c r="AO229" s="134">
        <f t="shared" si="18"/>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5">
      <c r="A230" s="102"/>
      <c r="B230" s="112" t="s">
        <v>109</v>
      </c>
      <c r="C230" s="135"/>
      <c r="D230" s="134">
        <f t="shared" ref="D230:AO230" si="19">IF(D$214=$B230,0,IF(D$214&gt;$B230,-0.5*D$212-0.5*C$212+C230,0.5*HLOOKUP($B230,$D$211:$AO$212,2,FALSE)+0.5*HLOOKUP($B229,$D$211:$AO$212,2,FALSE)+D229))</f>
        <v>294.48478447289597</v>
      </c>
      <c r="E230" s="134">
        <f t="shared" si="19"/>
        <v>294.48478447289597</v>
      </c>
      <c r="F230" s="134">
        <f t="shared" si="19"/>
        <v>294.48478447289597</v>
      </c>
      <c r="G230" s="134">
        <f t="shared" si="19"/>
        <v>294.48478447289597</v>
      </c>
      <c r="H230" s="134">
        <f t="shared" si="19"/>
        <v>294.48478447289597</v>
      </c>
      <c r="I230" s="134">
        <f t="shared" si="19"/>
        <v>294.48478447289597</v>
      </c>
      <c r="J230" s="134">
        <f t="shared" si="19"/>
        <v>294.48478447289597</v>
      </c>
      <c r="K230" s="134">
        <f t="shared" si="19"/>
        <v>294.48478447289597</v>
      </c>
      <c r="L230" s="134">
        <f t="shared" si="19"/>
        <v>276.36955300701243</v>
      </c>
      <c r="M230" s="134">
        <f t="shared" si="19"/>
        <v>238.50056853589979</v>
      </c>
      <c r="N230" s="134">
        <f t="shared" si="19"/>
        <v>197.3545409860981</v>
      </c>
      <c r="O230" s="134">
        <f t="shared" si="19"/>
        <v>152.93147035760757</v>
      </c>
      <c r="P230" s="134">
        <f t="shared" si="19"/>
        <v>105.23135665042727</v>
      </c>
      <c r="Q230" s="134">
        <f t="shared" si="19"/>
        <v>54.25419986455816</v>
      </c>
      <c r="R230" s="134">
        <f t="shared" si="19"/>
        <v>0</v>
      </c>
      <c r="S230" s="134">
        <f t="shared" si="19"/>
        <v>-57.531242943247456</v>
      </c>
      <c r="T230" s="134">
        <f t="shared" si="19"/>
        <v>-118.33952896518494</v>
      </c>
      <c r="U230" s="134">
        <f t="shared" si="19"/>
        <v>-182.42485806581124</v>
      </c>
      <c r="V230" s="134">
        <f t="shared" si="19"/>
        <v>-249.78723024512681</v>
      </c>
      <c r="W230" s="134">
        <f t="shared" si="19"/>
        <v>-320.42664550313265</v>
      </c>
      <c r="X230" s="134">
        <f t="shared" si="19"/>
        <v>-394.34310383982779</v>
      </c>
      <c r="Y230" s="134">
        <f t="shared" si="19"/>
        <v>-471.53660525521127</v>
      </c>
      <c r="Z230" s="134">
        <f t="shared" si="19"/>
        <v>-552.0071497492836</v>
      </c>
      <c r="AA230" s="134">
        <f t="shared" si="19"/>
        <v>-635.75473732204568</v>
      </c>
      <c r="AB230" s="134">
        <f t="shared" si="19"/>
        <v>-722.77936797349662</v>
      </c>
      <c r="AC230" s="134">
        <f t="shared" si="19"/>
        <v>-813.08104170363731</v>
      </c>
      <c r="AD230" s="134">
        <f t="shared" si="19"/>
        <v>-906.65975851246776</v>
      </c>
      <c r="AE230" s="134">
        <f t="shared" si="19"/>
        <v>-1003.5155183999871</v>
      </c>
      <c r="AF230" s="134">
        <f t="shared" si="19"/>
        <v>-1103.6483213661952</v>
      </c>
      <c r="AG230" s="134">
        <f t="shared" si="19"/>
        <v>-1207.0581674110936</v>
      </c>
      <c r="AH230" s="134">
        <f t="shared" si="19"/>
        <v>-1313.7450565346812</v>
      </c>
      <c r="AI230" s="134">
        <f t="shared" si="19"/>
        <v>-1422.0704671976123</v>
      </c>
      <c r="AJ230" s="134">
        <f t="shared" si="19"/>
        <v>-1530.3958778605434</v>
      </c>
      <c r="AK230" s="134">
        <f t="shared" si="19"/>
        <v>-1638.7212885234744</v>
      </c>
      <c r="AL230" s="134">
        <f t="shared" si="19"/>
        <v>-1747.0466991864055</v>
      </c>
      <c r="AM230" s="134">
        <f t="shared" si="19"/>
        <v>-1855.3721098493365</v>
      </c>
      <c r="AN230" s="134">
        <f t="shared" si="19"/>
        <v>-1963.6975205122676</v>
      </c>
      <c r="AO230" s="134">
        <f t="shared" si="19"/>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5">
      <c r="A231" s="102"/>
      <c r="B231" s="112" t="s">
        <v>110</v>
      </c>
      <c r="C231" s="135"/>
      <c r="D231" s="134">
        <f t="shared" ref="D231:AO231" si="20">IF(D$214=$B231,0,IF(D$214&gt;$B231,-0.5*D$212-0.5*C$212+C231,0.5*HLOOKUP($B231,$D$211:$AO$212,2,FALSE)+0.5*HLOOKUP($B230,$D$211:$AO$212,2,FALSE)+D230))</f>
        <v>352.0160274161434</v>
      </c>
      <c r="E231" s="134">
        <f t="shared" si="20"/>
        <v>352.0160274161434</v>
      </c>
      <c r="F231" s="134">
        <f t="shared" si="20"/>
        <v>352.0160274161434</v>
      </c>
      <c r="G231" s="134">
        <f t="shared" si="20"/>
        <v>352.0160274161434</v>
      </c>
      <c r="H231" s="134">
        <f t="shared" si="20"/>
        <v>352.0160274161434</v>
      </c>
      <c r="I231" s="134">
        <f t="shared" si="20"/>
        <v>352.0160274161434</v>
      </c>
      <c r="J231" s="134">
        <f t="shared" si="20"/>
        <v>352.0160274161434</v>
      </c>
      <c r="K231" s="134">
        <f t="shared" si="20"/>
        <v>352.0160274161434</v>
      </c>
      <c r="L231" s="134">
        <f t="shared" si="20"/>
        <v>333.90079595025986</v>
      </c>
      <c r="M231" s="134">
        <f t="shared" si="20"/>
        <v>296.03181147914722</v>
      </c>
      <c r="N231" s="134">
        <f t="shared" si="20"/>
        <v>254.88578392934556</v>
      </c>
      <c r="O231" s="134">
        <f t="shared" si="20"/>
        <v>210.46271330085503</v>
      </c>
      <c r="P231" s="134">
        <f t="shared" si="20"/>
        <v>162.76259959367474</v>
      </c>
      <c r="Q231" s="134">
        <f t="shared" si="20"/>
        <v>111.78544280780562</v>
      </c>
      <c r="R231" s="134">
        <f t="shared" si="20"/>
        <v>57.531242943247456</v>
      </c>
      <c r="S231" s="134">
        <f t="shared" si="20"/>
        <v>0</v>
      </c>
      <c r="T231" s="134">
        <f t="shared" si="20"/>
        <v>-60.808286021937477</v>
      </c>
      <c r="U231" s="134">
        <f t="shared" si="20"/>
        <v>-124.89361512256377</v>
      </c>
      <c r="V231" s="134">
        <f t="shared" si="20"/>
        <v>-192.25598730187937</v>
      </c>
      <c r="W231" s="134">
        <f t="shared" si="20"/>
        <v>-262.89540255988521</v>
      </c>
      <c r="X231" s="134">
        <f t="shared" si="20"/>
        <v>-336.81186089658036</v>
      </c>
      <c r="Y231" s="134">
        <f t="shared" si="20"/>
        <v>-414.00536231196384</v>
      </c>
      <c r="Z231" s="134">
        <f t="shared" si="20"/>
        <v>-494.47590680603611</v>
      </c>
      <c r="AA231" s="134">
        <f t="shared" si="20"/>
        <v>-578.22349437879814</v>
      </c>
      <c r="AB231" s="134">
        <f t="shared" si="20"/>
        <v>-665.24812503024896</v>
      </c>
      <c r="AC231" s="134">
        <f t="shared" si="20"/>
        <v>-755.54979876038965</v>
      </c>
      <c r="AD231" s="134">
        <f t="shared" si="20"/>
        <v>-849.1285155692201</v>
      </c>
      <c r="AE231" s="134">
        <f t="shared" si="20"/>
        <v>-945.9842754567394</v>
      </c>
      <c r="AF231" s="134">
        <f t="shared" si="20"/>
        <v>-1046.1170784229475</v>
      </c>
      <c r="AG231" s="134">
        <f t="shared" si="20"/>
        <v>-1149.5269244678459</v>
      </c>
      <c r="AH231" s="134">
        <f t="shared" si="20"/>
        <v>-1256.2138135914336</v>
      </c>
      <c r="AI231" s="134">
        <f t="shared" si="20"/>
        <v>-1364.5392242543646</v>
      </c>
      <c r="AJ231" s="134">
        <f t="shared" si="20"/>
        <v>-1472.8646349172957</v>
      </c>
      <c r="AK231" s="134">
        <f t="shared" si="20"/>
        <v>-1581.1900455802268</v>
      </c>
      <c r="AL231" s="134">
        <f t="shared" si="20"/>
        <v>-1689.5154562431578</v>
      </c>
      <c r="AM231" s="134">
        <f t="shared" si="20"/>
        <v>-1797.8408669060889</v>
      </c>
      <c r="AN231" s="134">
        <f t="shared" si="20"/>
        <v>-1906.1662775690199</v>
      </c>
      <c r="AO231" s="134">
        <f t="shared" si="20"/>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5">
      <c r="A232" s="102"/>
      <c r="B232" s="112" t="s">
        <v>111</v>
      </c>
      <c r="C232" s="135"/>
      <c r="D232" s="134">
        <f t="shared" ref="D232:AO232" si="21">IF(D$214=$B232,0,IF(D$214&gt;$B232,-0.5*D$212-0.5*C$212+C232,0.5*HLOOKUP($B232,$D$211:$AO$212,2,FALSE)+0.5*HLOOKUP($B231,$D$211:$AO$212,2,FALSE)+D231))</f>
        <v>412.82431343808088</v>
      </c>
      <c r="E232" s="134">
        <f t="shared" si="21"/>
        <v>412.82431343808088</v>
      </c>
      <c r="F232" s="134">
        <f t="shared" si="21"/>
        <v>412.82431343808088</v>
      </c>
      <c r="G232" s="134">
        <f t="shared" si="21"/>
        <v>412.82431343808088</v>
      </c>
      <c r="H232" s="134">
        <f t="shared" si="21"/>
        <v>412.82431343808088</v>
      </c>
      <c r="I232" s="134">
        <f t="shared" si="21"/>
        <v>412.82431343808088</v>
      </c>
      <c r="J232" s="134">
        <f t="shared" si="21"/>
        <v>412.82431343808088</v>
      </c>
      <c r="K232" s="134">
        <f t="shared" si="21"/>
        <v>412.82431343808088</v>
      </c>
      <c r="L232" s="134">
        <f t="shared" si="21"/>
        <v>394.70908197219734</v>
      </c>
      <c r="M232" s="134">
        <f t="shared" si="21"/>
        <v>356.8400975010847</v>
      </c>
      <c r="N232" s="134">
        <f t="shared" si="21"/>
        <v>315.69406995128304</v>
      </c>
      <c r="O232" s="134">
        <f t="shared" si="21"/>
        <v>271.27099932279248</v>
      </c>
      <c r="P232" s="134">
        <f t="shared" si="21"/>
        <v>223.57088561561221</v>
      </c>
      <c r="Q232" s="134">
        <f t="shared" si="21"/>
        <v>172.5937288297431</v>
      </c>
      <c r="R232" s="134">
        <f t="shared" si="21"/>
        <v>118.33952896518494</v>
      </c>
      <c r="S232" s="134">
        <f t="shared" si="21"/>
        <v>60.808286021937477</v>
      </c>
      <c r="T232" s="134">
        <f t="shared" si="21"/>
        <v>0</v>
      </c>
      <c r="U232" s="134">
        <f t="shared" si="21"/>
        <v>-64.085329100626296</v>
      </c>
      <c r="V232" s="134">
        <f t="shared" si="21"/>
        <v>-131.4477012799419</v>
      </c>
      <c r="W232" s="134">
        <f t="shared" si="21"/>
        <v>-202.08711653794774</v>
      </c>
      <c r="X232" s="134">
        <f t="shared" si="21"/>
        <v>-276.00357487464288</v>
      </c>
      <c r="Y232" s="134">
        <f t="shared" si="21"/>
        <v>-353.19707629002636</v>
      </c>
      <c r="Z232" s="134">
        <f t="shared" si="21"/>
        <v>-433.66762078409863</v>
      </c>
      <c r="AA232" s="134">
        <f t="shared" si="21"/>
        <v>-517.41520835686072</v>
      </c>
      <c r="AB232" s="134">
        <f t="shared" si="21"/>
        <v>-604.43983900831154</v>
      </c>
      <c r="AC232" s="134">
        <f t="shared" si="21"/>
        <v>-694.74151273845223</v>
      </c>
      <c r="AD232" s="134">
        <f t="shared" si="21"/>
        <v>-788.32022954728268</v>
      </c>
      <c r="AE232" s="134">
        <f t="shared" si="21"/>
        <v>-885.17598943480198</v>
      </c>
      <c r="AF232" s="134">
        <f t="shared" si="21"/>
        <v>-985.30879240101001</v>
      </c>
      <c r="AG232" s="134">
        <f t="shared" si="21"/>
        <v>-1088.7186384459083</v>
      </c>
      <c r="AH232" s="134">
        <f t="shared" si="21"/>
        <v>-1195.4055275694959</v>
      </c>
      <c r="AI232" s="134">
        <f t="shared" si="21"/>
        <v>-1303.730938232427</v>
      </c>
      <c r="AJ232" s="134">
        <f t="shared" si="21"/>
        <v>-1412.056348895358</v>
      </c>
      <c r="AK232" s="134">
        <f t="shared" si="21"/>
        <v>-1520.3817595582891</v>
      </c>
      <c r="AL232" s="134">
        <f t="shared" si="21"/>
        <v>-1628.7071702212202</v>
      </c>
      <c r="AM232" s="134">
        <f t="shared" si="21"/>
        <v>-1737.0325808841512</v>
      </c>
      <c r="AN232" s="134">
        <f t="shared" si="21"/>
        <v>-1845.3579915470823</v>
      </c>
      <c r="AO232" s="134">
        <f t="shared" si="21"/>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5">
      <c r="A233" s="102"/>
      <c r="B233" s="112" t="s">
        <v>112</v>
      </c>
      <c r="C233" s="135"/>
      <c r="D233" s="134">
        <f t="shared" ref="D233:AO233" si="22">IF(D$214=$B233,0,IF(D$214&gt;$B233,-0.5*D$212-0.5*C$212+C233,0.5*HLOOKUP($B233,$D$211:$AO$212,2,FALSE)+0.5*HLOOKUP($B232,$D$211:$AO$212,2,FALSE)+D232))</f>
        <v>476.9096425387072</v>
      </c>
      <c r="E233" s="134">
        <f t="shared" si="22"/>
        <v>476.9096425387072</v>
      </c>
      <c r="F233" s="134">
        <f t="shared" si="22"/>
        <v>476.9096425387072</v>
      </c>
      <c r="G233" s="134">
        <f t="shared" si="22"/>
        <v>476.9096425387072</v>
      </c>
      <c r="H233" s="134">
        <f t="shared" si="22"/>
        <v>476.9096425387072</v>
      </c>
      <c r="I233" s="134">
        <f t="shared" si="22"/>
        <v>476.9096425387072</v>
      </c>
      <c r="J233" s="134">
        <f t="shared" si="22"/>
        <v>476.9096425387072</v>
      </c>
      <c r="K233" s="134">
        <f t="shared" si="22"/>
        <v>476.9096425387072</v>
      </c>
      <c r="L233" s="134">
        <f t="shared" si="22"/>
        <v>458.79441107282366</v>
      </c>
      <c r="M233" s="134">
        <f t="shared" si="22"/>
        <v>420.92542660171102</v>
      </c>
      <c r="N233" s="134">
        <f t="shared" si="22"/>
        <v>379.77939905190931</v>
      </c>
      <c r="O233" s="134">
        <f t="shared" si="22"/>
        <v>335.35632842341874</v>
      </c>
      <c r="P233" s="134">
        <f t="shared" si="22"/>
        <v>287.65621471623854</v>
      </c>
      <c r="Q233" s="134">
        <f t="shared" si="22"/>
        <v>236.6790579303694</v>
      </c>
      <c r="R233" s="134">
        <f t="shared" si="22"/>
        <v>182.42485806581124</v>
      </c>
      <c r="S233" s="134">
        <f t="shared" si="22"/>
        <v>124.89361512256377</v>
      </c>
      <c r="T233" s="134">
        <f t="shared" si="22"/>
        <v>64.085329100626296</v>
      </c>
      <c r="U233" s="134">
        <f t="shared" si="22"/>
        <v>0</v>
      </c>
      <c r="V233" s="134">
        <f t="shared" si="22"/>
        <v>-67.362372179315585</v>
      </c>
      <c r="W233" s="134">
        <f t="shared" si="22"/>
        <v>-138.00178743732141</v>
      </c>
      <c r="X233" s="134">
        <f t="shared" si="22"/>
        <v>-211.91824577401655</v>
      </c>
      <c r="Y233" s="134">
        <f t="shared" si="22"/>
        <v>-289.11174718940003</v>
      </c>
      <c r="Z233" s="134">
        <f t="shared" si="22"/>
        <v>-369.58229168347231</v>
      </c>
      <c r="AA233" s="134">
        <f t="shared" si="22"/>
        <v>-453.32987925623439</v>
      </c>
      <c r="AB233" s="134">
        <f t="shared" si="22"/>
        <v>-540.35450990768527</v>
      </c>
      <c r="AC233" s="134">
        <f t="shared" si="22"/>
        <v>-630.65618363782596</v>
      </c>
      <c r="AD233" s="134">
        <f t="shared" si="22"/>
        <v>-724.23490044665641</v>
      </c>
      <c r="AE233" s="134">
        <f t="shared" si="22"/>
        <v>-821.09066033417571</v>
      </c>
      <c r="AF233" s="134">
        <f t="shared" si="22"/>
        <v>-921.22346330038374</v>
      </c>
      <c r="AG233" s="134">
        <f t="shared" si="22"/>
        <v>-1024.633309345282</v>
      </c>
      <c r="AH233" s="134">
        <f t="shared" si="22"/>
        <v>-1131.3201984688696</v>
      </c>
      <c r="AI233" s="134">
        <f t="shared" si="22"/>
        <v>-1239.6456091318007</v>
      </c>
      <c r="AJ233" s="134">
        <f t="shared" si="22"/>
        <v>-1347.9710197947318</v>
      </c>
      <c r="AK233" s="134">
        <f t="shared" si="22"/>
        <v>-1456.2964304576628</v>
      </c>
      <c r="AL233" s="134">
        <f t="shared" si="22"/>
        <v>-1564.6218411205939</v>
      </c>
      <c r="AM233" s="134">
        <f t="shared" si="22"/>
        <v>-1672.947251783525</v>
      </c>
      <c r="AN233" s="134">
        <f t="shared" si="22"/>
        <v>-1781.272662446456</v>
      </c>
      <c r="AO233" s="134">
        <f t="shared" si="22"/>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5">
      <c r="A234" s="102"/>
      <c r="B234" s="112" t="s">
        <v>113</v>
      </c>
      <c r="C234" s="135"/>
      <c r="D234" s="134">
        <f t="shared" ref="D234:AO234" si="23">IF(D$214=$B234,0,IF(D$214&gt;$B234,-0.5*D$212-0.5*C$212+C234,0.5*HLOOKUP($B234,$D$211:$AO$212,2,FALSE)+0.5*HLOOKUP($B233,$D$211:$AO$212,2,FALSE)+D233))</f>
        <v>544.27201471802277</v>
      </c>
      <c r="E234" s="134">
        <f t="shared" si="23"/>
        <v>544.27201471802277</v>
      </c>
      <c r="F234" s="134">
        <f t="shared" si="23"/>
        <v>544.27201471802277</v>
      </c>
      <c r="G234" s="134">
        <f t="shared" si="23"/>
        <v>544.27201471802277</v>
      </c>
      <c r="H234" s="134">
        <f t="shared" si="23"/>
        <v>544.27201471802277</v>
      </c>
      <c r="I234" s="134">
        <f t="shared" si="23"/>
        <v>544.27201471802277</v>
      </c>
      <c r="J234" s="134">
        <f t="shared" si="23"/>
        <v>544.27201471802277</v>
      </c>
      <c r="K234" s="134">
        <f t="shared" si="23"/>
        <v>544.27201471802277</v>
      </c>
      <c r="L234" s="134">
        <f t="shared" si="23"/>
        <v>526.15678325213923</v>
      </c>
      <c r="M234" s="134">
        <f t="shared" si="23"/>
        <v>488.28779878102659</v>
      </c>
      <c r="N234" s="134">
        <f t="shared" si="23"/>
        <v>447.14177123122488</v>
      </c>
      <c r="O234" s="134">
        <f t="shared" si="23"/>
        <v>402.71870060273432</v>
      </c>
      <c r="P234" s="134">
        <f t="shared" si="23"/>
        <v>355.01858689555411</v>
      </c>
      <c r="Q234" s="134">
        <f t="shared" si="23"/>
        <v>304.041430109685</v>
      </c>
      <c r="R234" s="134">
        <f t="shared" si="23"/>
        <v>249.78723024512681</v>
      </c>
      <c r="S234" s="134">
        <f t="shared" si="23"/>
        <v>192.25598730187937</v>
      </c>
      <c r="T234" s="134">
        <f t="shared" si="23"/>
        <v>131.4477012799419</v>
      </c>
      <c r="U234" s="134">
        <f t="shared" si="23"/>
        <v>67.362372179315585</v>
      </c>
      <c r="V234" s="134">
        <f t="shared" si="23"/>
        <v>0</v>
      </c>
      <c r="W234" s="134">
        <f t="shared" si="23"/>
        <v>-70.63941525800584</v>
      </c>
      <c r="X234" s="134">
        <f t="shared" si="23"/>
        <v>-144.55587359470098</v>
      </c>
      <c r="Y234" s="134">
        <f t="shared" si="23"/>
        <v>-221.74937501008446</v>
      </c>
      <c r="Z234" s="134">
        <f t="shared" si="23"/>
        <v>-302.21991950415674</v>
      </c>
      <c r="AA234" s="134">
        <f t="shared" si="23"/>
        <v>-385.96750707691882</v>
      </c>
      <c r="AB234" s="134">
        <f t="shared" si="23"/>
        <v>-472.9921377283697</v>
      </c>
      <c r="AC234" s="134">
        <f t="shared" si="23"/>
        <v>-563.29381145851039</v>
      </c>
      <c r="AD234" s="134">
        <f t="shared" si="23"/>
        <v>-656.87252826734084</v>
      </c>
      <c r="AE234" s="134">
        <f t="shared" si="23"/>
        <v>-753.72828815486014</v>
      </c>
      <c r="AF234" s="134">
        <f t="shared" si="23"/>
        <v>-853.86109112106817</v>
      </c>
      <c r="AG234" s="134">
        <f t="shared" si="23"/>
        <v>-957.27093716596653</v>
      </c>
      <c r="AH234" s="134">
        <f t="shared" si="23"/>
        <v>-1063.9578262895541</v>
      </c>
      <c r="AI234" s="134">
        <f t="shared" si="23"/>
        <v>-1172.2832369524851</v>
      </c>
      <c r="AJ234" s="134">
        <f t="shared" si="23"/>
        <v>-1280.6086476154162</v>
      </c>
      <c r="AK234" s="134">
        <f t="shared" si="23"/>
        <v>-1388.9340582783473</v>
      </c>
      <c r="AL234" s="134">
        <f t="shared" si="23"/>
        <v>-1497.2594689412783</v>
      </c>
      <c r="AM234" s="134">
        <f t="shared" si="23"/>
        <v>-1605.5848796042094</v>
      </c>
      <c r="AN234" s="134">
        <f t="shared" si="23"/>
        <v>-1713.9102902671405</v>
      </c>
      <c r="AO234" s="134">
        <f t="shared" si="2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5">
      <c r="A235" s="102"/>
      <c r="B235" s="112" t="s">
        <v>114</v>
      </c>
      <c r="C235" s="135"/>
      <c r="D235" s="134">
        <f t="shared" ref="D235:AO235" si="24">IF(D$214=$B235,0,IF(D$214&gt;$B235,-0.5*D$212-0.5*C$212+C235,0.5*HLOOKUP($B235,$D$211:$AO$212,2,FALSE)+0.5*HLOOKUP($B234,$D$211:$AO$212,2,FALSE)+D234))</f>
        <v>614.91142997602856</v>
      </c>
      <c r="E235" s="134">
        <f t="shared" si="24"/>
        <v>614.91142997602856</v>
      </c>
      <c r="F235" s="134">
        <f t="shared" si="24"/>
        <v>614.91142997602856</v>
      </c>
      <c r="G235" s="134">
        <f t="shared" si="24"/>
        <v>614.91142997602856</v>
      </c>
      <c r="H235" s="134">
        <f t="shared" si="24"/>
        <v>614.91142997602856</v>
      </c>
      <c r="I235" s="134">
        <f t="shared" si="24"/>
        <v>614.91142997602856</v>
      </c>
      <c r="J235" s="134">
        <f t="shared" si="24"/>
        <v>614.91142997602856</v>
      </c>
      <c r="K235" s="134">
        <f t="shared" si="24"/>
        <v>614.91142997602856</v>
      </c>
      <c r="L235" s="134">
        <f t="shared" si="24"/>
        <v>596.79619851014513</v>
      </c>
      <c r="M235" s="134">
        <f t="shared" si="24"/>
        <v>558.92721403903238</v>
      </c>
      <c r="N235" s="134">
        <f t="shared" si="24"/>
        <v>517.78118648923078</v>
      </c>
      <c r="O235" s="134">
        <f t="shared" si="24"/>
        <v>473.35811586074016</v>
      </c>
      <c r="P235" s="134">
        <f t="shared" si="24"/>
        <v>425.65800215355995</v>
      </c>
      <c r="Q235" s="134">
        <f t="shared" si="24"/>
        <v>374.68084536769084</v>
      </c>
      <c r="R235" s="134">
        <f t="shared" si="24"/>
        <v>320.42664550313265</v>
      </c>
      <c r="S235" s="134">
        <f t="shared" si="24"/>
        <v>262.89540255988521</v>
      </c>
      <c r="T235" s="134">
        <f t="shared" si="24"/>
        <v>202.08711653794774</v>
      </c>
      <c r="U235" s="134">
        <f t="shared" si="24"/>
        <v>138.00178743732141</v>
      </c>
      <c r="V235" s="134">
        <f t="shared" si="24"/>
        <v>70.63941525800584</v>
      </c>
      <c r="W235" s="134">
        <f t="shared" si="24"/>
        <v>0</v>
      </c>
      <c r="X235" s="134">
        <f t="shared" si="24"/>
        <v>-73.916458336695143</v>
      </c>
      <c r="Y235" s="134">
        <f t="shared" si="24"/>
        <v>-151.10995975207862</v>
      </c>
      <c r="Z235" s="134">
        <f t="shared" si="24"/>
        <v>-231.58050424615089</v>
      </c>
      <c r="AA235" s="134">
        <f t="shared" si="24"/>
        <v>-315.32809181891298</v>
      </c>
      <c r="AB235" s="134">
        <f t="shared" si="24"/>
        <v>-402.35272247036386</v>
      </c>
      <c r="AC235" s="134">
        <f t="shared" si="24"/>
        <v>-492.65439620050449</v>
      </c>
      <c r="AD235" s="134">
        <f t="shared" si="24"/>
        <v>-586.23311300933494</v>
      </c>
      <c r="AE235" s="134">
        <f t="shared" si="24"/>
        <v>-683.08887289685413</v>
      </c>
      <c r="AF235" s="134">
        <f t="shared" si="24"/>
        <v>-783.22167586306216</v>
      </c>
      <c r="AG235" s="134">
        <f t="shared" si="24"/>
        <v>-886.63152190796052</v>
      </c>
      <c r="AH235" s="134">
        <f t="shared" si="24"/>
        <v>-993.31841103154818</v>
      </c>
      <c r="AI235" s="134">
        <f t="shared" si="24"/>
        <v>-1101.6438216944794</v>
      </c>
      <c r="AJ235" s="134">
        <f t="shared" si="24"/>
        <v>-1209.9692323574104</v>
      </c>
      <c r="AK235" s="134">
        <f t="shared" si="24"/>
        <v>-1318.2946430203415</v>
      </c>
      <c r="AL235" s="134">
        <f t="shared" si="24"/>
        <v>-1426.6200536832725</v>
      </c>
      <c r="AM235" s="134">
        <f t="shared" si="24"/>
        <v>-1534.9454643462036</v>
      </c>
      <c r="AN235" s="134">
        <f t="shared" si="24"/>
        <v>-1643.2708750091347</v>
      </c>
      <c r="AO235" s="134">
        <f t="shared" si="24"/>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5">
      <c r="A236" s="102"/>
      <c r="B236" s="112" t="s">
        <v>115</v>
      </c>
      <c r="C236" s="135"/>
      <c r="D236" s="134">
        <f t="shared" ref="D236:AO236" si="25">IF(D$214=$B236,0,IF(D$214&gt;$B236,-0.5*D$212-0.5*C$212+C236,0.5*HLOOKUP($B236,$D$211:$AO$212,2,FALSE)+0.5*HLOOKUP($B235,$D$211:$AO$212,2,FALSE)+D235))</f>
        <v>688.82788831272364</v>
      </c>
      <c r="E236" s="134">
        <f t="shared" si="25"/>
        <v>688.82788831272364</v>
      </c>
      <c r="F236" s="134">
        <f t="shared" si="25"/>
        <v>688.82788831272364</v>
      </c>
      <c r="G236" s="134">
        <f t="shared" si="25"/>
        <v>688.82788831272364</v>
      </c>
      <c r="H236" s="134">
        <f t="shared" si="25"/>
        <v>688.82788831272364</v>
      </c>
      <c r="I236" s="134">
        <f t="shared" si="25"/>
        <v>688.82788831272364</v>
      </c>
      <c r="J236" s="134">
        <f t="shared" si="25"/>
        <v>688.82788831272364</v>
      </c>
      <c r="K236" s="134">
        <f t="shared" si="25"/>
        <v>688.82788831272364</v>
      </c>
      <c r="L236" s="134">
        <f t="shared" si="25"/>
        <v>670.71265684684022</v>
      </c>
      <c r="M236" s="134">
        <f t="shared" si="25"/>
        <v>632.84367237572746</v>
      </c>
      <c r="N236" s="134">
        <f t="shared" si="25"/>
        <v>591.69764482592586</v>
      </c>
      <c r="O236" s="134">
        <f t="shared" si="25"/>
        <v>547.2745741974353</v>
      </c>
      <c r="P236" s="134">
        <f t="shared" si="25"/>
        <v>499.57446049025509</v>
      </c>
      <c r="Q236" s="134">
        <f t="shared" si="25"/>
        <v>448.59730370438598</v>
      </c>
      <c r="R236" s="134">
        <f t="shared" si="25"/>
        <v>394.34310383982779</v>
      </c>
      <c r="S236" s="134">
        <f t="shared" si="25"/>
        <v>336.81186089658036</v>
      </c>
      <c r="T236" s="134">
        <f t="shared" si="25"/>
        <v>276.00357487464288</v>
      </c>
      <c r="U236" s="134">
        <f t="shared" si="25"/>
        <v>211.91824577401655</v>
      </c>
      <c r="V236" s="134">
        <f t="shared" si="25"/>
        <v>144.55587359470098</v>
      </c>
      <c r="W236" s="134">
        <f t="shared" si="25"/>
        <v>73.916458336695143</v>
      </c>
      <c r="X236" s="134">
        <f t="shared" si="25"/>
        <v>0</v>
      </c>
      <c r="Y236" s="134">
        <f t="shared" si="25"/>
        <v>-77.19350141538348</v>
      </c>
      <c r="Z236" s="134">
        <f t="shared" si="25"/>
        <v>-157.66404590945575</v>
      </c>
      <c r="AA236" s="134">
        <f t="shared" si="25"/>
        <v>-241.41163348221784</v>
      </c>
      <c r="AB236" s="134">
        <f t="shared" si="25"/>
        <v>-328.43626413366871</v>
      </c>
      <c r="AC236" s="134">
        <f t="shared" si="25"/>
        <v>-418.73793786380935</v>
      </c>
      <c r="AD236" s="134">
        <f t="shared" si="25"/>
        <v>-512.31665467263974</v>
      </c>
      <c r="AE236" s="134">
        <f t="shared" si="25"/>
        <v>-609.17241456015904</v>
      </c>
      <c r="AF236" s="134">
        <f t="shared" si="25"/>
        <v>-709.30521752636707</v>
      </c>
      <c r="AG236" s="134">
        <f t="shared" si="25"/>
        <v>-812.71506357126543</v>
      </c>
      <c r="AH236" s="134">
        <f t="shared" si="25"/>
        <v>-919.40195269485309</v>
      </c>
      <c r="AI236" s="134">
        <f t="shared" si="25"/>
        <v>-1027.7273633577843</v>
      </c>
      <c r="AJ236" s="134">
        <f t="shared" si="25"/>
        <v>-1136.0527740207153</v>
      </c>
      <c r="AK236" s="134">
        <f t="shared" si="25"/>
        <v>-1244.3781846836464</v>
      </c>
      <c r="AL236" s="134">
        <f t="shared" si="25"/>
        <v>-1352.7035953465775</v>
      </c>
      <c r="AM236" s="134">
        <f t="shared" si="25"/>
        <v>-1461.0290060095085</v>
      </c>
      <c r="AN236" s="134">
        <f t="shared" si="25"/>
        <v>-1569.3544166724396</v>
      </c>
      <c r="AO236" s="134">
        <f t="shared" si="25"/>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5">
      <c r="A237" s="102"/>
      <c r="B237" s="112" t="s">
        <v>116</v>
      </c>
      <c r="C237" s="135"/>
      <c r="D237" s="134">
        <f t="shared" ref="D237:AO237" si="26">IF(D$214=$B237,0,IF(D$214&gt;$B237,-0.5*D$212-0.5*C$212+C237,0.5*HLOOKUP($B237,$D$211:$AO$212,2,FALSE)+0.5*HLOOKUP($B236,$D$211:$AO$212,2,FALSE)+D236))</f>
        <v>766.02138972810712</v>
      </c>
      <c r="E237" s="134">
        <f t="shared" si="26"/>
        <v>766.02138972810712</v>
      </c>
      <c r="F237" s="134">
        <f t="shared" si="26"/>
        <v>766.02138972810712</v>
      </c>
      <c r="G237" s="134">
        <f t="shared" si="26"/>
        <v>766.02138972810712</v>
      </c>
      <c r="H237" s="134">
        <f t="shared" si="26"/>
        <v>766.02138972810712</v>
      </c>
      <c r="I237" s="134">
        <f t="shared" si="26"/>
        <v>766.02138972810712</v>
      </c>
      <c r="J237" s="134">
        <f t="shared" si="26"/>
        <v>766.02138972810712</v>
      </c>
      <c r="K237" s="134">
        <f t="shared" si="26"/>
        <v>766.02138972810712</v>
      </c>
      <c r="L237" s="134">
        <f t="shared" si="26"/>
        <v>747.9061582622237</v>
      </c>
      <c r="M237" s="134">
        <f t="shared" si="26"/>
        <v>710.03717379111094</v>
      </c>
      <c r="N237" s="134">
        <f t="shared" si="26"/>
        <v>668.89114624130934</v>
      </c>
      <c r="O237" s="134">
        <f t="shared" si="26"/>
        <v>624.46807561281878</v>
      </c>
      <c r="P237" s="134">
        <f t="shared" si="26"/>
        <v>576.76796190563857</v>
      </c>
      <c r="Q237" s="134">
        <f t="shared" si="26"/>
        <v>525.7908051197694</v>
      </c>
      <c r="R237" s="134">
        <f t="shared" si="26"/>
        <v>471.53660525521127</v>
      </c>
      <c r="S237" s="134">
        <f t="shared" si="26"/>
        <v>414.00536231196384</v>
      </c>
      <c r="T237" s="134">
        <f t="shared" si="26"/>
        <v>353.19707629002636</v>
      </c>
      <c r="U237" s="134">
        <f t="shared" si="26"/>
        <v>289.11174718940003</v>
      </c>
      <c r="V237" s="134">
        <f t="shared" si="26"/>
        <v>221.74937501008446</v>
      </c>
      <c r="W237" s="134">
        <f t="shared" si="26"/>
        <v>151.10995975207862</v>
      </c>
      <c r="X237" s="134">
        <f t="shared" si="26"/>
        <v>77.19350141538348</v>
      </c>
      <c r="Y237" s="134">
        <f t="shared" si="26"/>
        <v>0</v>
      </c>
      <c r="Z237" s="134">
        <f t="shared" si="26"/>
        <v>-80.470544494072286</v>
      </c>
      <c r="AA237" s="134">
        <f t="shared" si="26"/>
        <v>-164.21813206683436</v>
      </c>
      <c r="AB237" s="134">
        <f t="shared" si="26"/>
        <v>-251.24276271828523</v>
      </c>
      <c r="AC237" s="134">
        <f t="shared" si="26"/>
        <v>-341.54443644842587</v>
      </c>
      <c r="AD237" s="134">
        <f t="shared" si="26"/>
        <v>-435.12315325725632</v>
      </c>
      <c r="AE237" s="134">
        <f t="shared" si="26"/>
        <v>-531.97891314477556</v>
      </c>
      <c r="AF237" s="134">
        <f t="shared" si="26"/>
        <v>-632.11171611098359</v>
      </c>
      <c r="AG237" s="134">
        <f t="shared" si="26"/>
        <v>-735.52156215588195</v>
      </c>
      <c r="AH237" s="134">
        <f t="shared" si="26"/>
        <v>-842.20845127946961</v>
      </c>
      <c r="AI237" s="134">
        <f t="shared" si="26"/>
        <v>-950.53386194240068</v>
      </c>
      <c r="AJ237" s="134">
        <f t="shared" si="26"/>
        <v>-1058.8592726053319</v>
      </c>
      <c r="AK237" s="134">
        <f t="shared" si="26"/>
        <v>-1167.1846832682629</v>
      </c>
      <c r="AL237" s="134">
        <f t="shared" si="26"/>
        <v>-1275.510093931194</v>
      </c>
      <c r="AM237" s="134">
        <f t="shared" si="26"/>
        <v>-1383.835504594125</v>
      </c>
      <c r="AN237" s="134">
        <f t="shared" si="26"/>
        <v>-1492.1609152570561</v>
      </c>
      <c r="AO237" s="134">
        <f t="shared" si="26"/>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5">
      <c r="A238" s="102"/>
      <c r="B238" s="112" t="s">
        <v>117</v>
      </c>
      <c r="C238" s="135"/>
      <c r="D238" s="134">
        <f t="shared" ref="D238:AO238" si="27">IF(D$214=$B238,0,IF(D$214&gt;$B238,-0.5*D$212-0.5*C$212+C238,0.5*HLOOKUP($B238,$D$211:$AO$212,2,FALSE)+0.5*HLOOKUP($B237,$D$211:$AO$212,2,FALSE)+D237))</f>
        <v>846.49193422217945</v>
      </c>
      <c r="E238" s="134">
        <f t="shared" si="27"/>
        <v>846.49193422217945</v>
      </c>
      <c r="F238" s="134">
        <f t="shared" si="27"/>
        <v>846.49193422217945</v>
      </c>
      <c r="G238" s="134">
        <f t="shared" si="27"/>
        <v>846.49193422217945</v>
      </c>
      <c r="H238" s="134">
        <f t="shared" si="27"/>
        <v>846.49193422217945</v>
      </c>
      <c r="I238" s="134">
        <f t="shared" si="27"/>
        <v>846.49193422217945</v>
      </c>
      <c r="J238" s="134">
        <f t="shared" si="27"/>
        <v>846.49193422217945</v>
      </c>
      <c r="K238" s="134">
        <f t="shared" si="27"/>
        <v>846.49193422217945</v>
      </c>
      <c r="L238" s="134">
        <f t="shared" si="27"/>
        <v>828.37670275629603</v>
      </c>
      <c r="M238" s="134">
        <f t="shared" si="27"/>
        <v>790.50771828518327</v>
      </c>
      <c r="N238" s="134">
        <f t="shared" si="27"/>
        <v>749.36169073538167</v>
      </c>
      <c r="O238" s="134">
        <f t="shared" si="27"/>
        <v>704.93862010689111</v>
      </c>
      <c r="P238" s="134">
        <f t="shared" si="27"/>
        <v>657.2385063997109</v>
      </c>
      <c r="Q238" s="134">
        <f t="shared" si="27"/>
        <v>606.26134961384173</v>
      </c>
      <c r="R238" s="134">
        <f t="shared" si="27"/>
        <v>552.0071497492836</v>
      </c>
      <c r="S238" s="134">
        <f t="shared" si="27"/>
        <v>494.47590680603611</v>
      </c>
      <c r="T238" s="134">
        <f t="shared" si="27"/>
        <v>433.66762078409863</v>
      </c>
      <c r="U238" s="134">
        <f t="shared" si="27"/>
        <v>369.58229168347231</v>
      </c>
      <c r="V238" s="134">
        <f t="shared" si="27"/>
        <v>302.21991950415674</v>
      </c>
      <c r="W238" s="134">
        <f t="shared" si="27"/>
        <v>231.58050424615089</v>
      </c>
      <c r="X238" s="134">
        <f t="shared" si="27"/>
        <v>157.66404590945575</v>
      </c>
      <c r="Y238" s="134">
        <f t="shared" si="27"/>
        <v>80.470544494072286</v>
      </c>
      <c r="Z238" s="134">
        <f t="shared" si="27"/>
        <v>0</v>
      </c>
      <c r="AA238" s="134">
        <f t="shared" si="27"/>
        <v>-83.747587572762072</v>
      </c>
      <c r="AB238" s="134">
        <f t="shared" si="27"/>
        <v>-170.77221822421296</v>
      </c>
      <c r="AC238" s="134">
        <f t="shared" si="27"/>
        <v>-261.0738919543536</v>
      </c>
      <c r="AD238" s="134">
        <f t="shared" si="27"/>
        <v>-354.65260876318405</v>
      </c>
      <c r="AE238" s="134">
        <f t="shared" si="27"/>
        <v>-451.50836865070329</v>
      </c>
      <c r="AF238" s="134">
        <f t="shared" si="27"/>
        <v>-551.64117161691138</v>
      </c>
      <c r="AG238" s="134">
        <f t="shared" si="27"/>
        <v>-655.05101766180974</v>
      </c>
      <c r="AH238" s="134">
        <f t="shared" si="27"/>
        <v>-761.7379067853974</v>
      </c>
      <c r="AI238" s="134">
        <f t="shared" si="27"/>
        <v>-870.06331744832846</v>
      </c>
      <c r="AJ238" s="134">
        <f t="shared" si="27"/>
        <v>-978.38872811125952</v>
      </c>
      <c r="AK238" s="134">
        <f t="shared" si="27"/>
        <v>-1086.7141387741906</v>
      </c>
      <c r="AL238" s="134">
        <f t="shared" si="27"/>
        <v>-1195.0395494371217</v>
      </c>
      <c r="AM238" s="134">
        <f t="shared" si="27"/>
        <v>-1303.3649601000527</v>
      </c>
      <c r="AN238" s="134">
        <f t="shared" si="27"/>
        <v>-1411.6903707629838</v>
      </c>
      <c r="AO238" s="134">
        <f t="shared" si="27"/>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5">
      <c r="A239" s="102"/>
      <c r="B239" s="112" t="s">
        <v>118</v>
      </c>
      <c r="C239" s="135"/>
      <c r="D239" s="134">
        <f t="shared" ref="D239:AO239" si="28">IF(D$214=$B239,0,IF(D$214&gt;$B239,-0.5*D$212-0.5*C$212+C239,0.5*HLOOKUP($B239,$D$211:$AO$212,2,FALSE)+0.5*HLOOKUP($B238,$D$211:$AO$212,2,FALSE)+D238))</f>
        <v>930.23952179494154</v>
      </c>
      <c r="E239" s="134">
        <f t="shared" si="28"/>
        <v>930.23952179494154</v>
      </c>
      <c r="F239" s="134">
        <f t="shared" si="28"/>
        <v>930.23952179494154</v>
      </c>
      <c r="G239" s="134">
        <f t="shared" si="28"/>
        <v>930.23952179494154</v>
      </c>
      <c r="H239" s="134">
        <f t="shared" si="28"/>
        <v>930.23952179494154</v>
      </c>
      <c r="I239" s="134">
        <f t="shared" si="28"/>
        <v>930.23952179494154</v>
      </c>
      <c r="J239" s="134">
        <f t="shared" si="28"/>
        <v>930.23952179494154</v>
      </c>
      <c r="K239" s="134">
        <f t="shared" si="28"/>
        <v>930.23952179494154</v>
      </c>
      <c r="L239" s="134">
        <f t="shared" si="28"/>
        <v>912.12429032905811</v>
      </c>
      <c r="M239" s="134">
        <f t="shared" si="28"/>
        <v>874.25530585794536</v>
      </c>
      <c r="N239" s="134">
        <f t="shared" si="28"/>
        <v>833.10927830814376</v>
      </c>
      <c r="O239" s="134">
        <f t="shared" si="28"/>
        <v>788.68620767965319</v>
      </c>
      <c r="P239" s="134">
        <f t="shared" si="28"/>
        <v>740.98609397247299</v>
      </c>
      <c r="Q239" s="134">
        <f t="shared" si="28"/>
        <v>690.00893718660382</v>
      </c>
      <c r="R239" s="134">
        <f t="shared" si="28"/>
        <v>635.75473732204568</v>
      </c>
      <c r="S239" s="134">
        <f t="shared" si="28"/>
        <v>578.22349437879814</v>
      </c>
      <c r="T239" s="134">
        <f t="shared" si="28"/>
        <v>517.41520835686072</v>
      </c>
      <c r="U239" s="134">
        <f t="shared" si="28"/>
        <v>453.32987925623439</v>
      </c>
      <c r="V239" s="134">
        <f t="shared" si="28"/>
        <v>385.96750707691882</v>
      </c>
      <c r="W239" s="134">
        <f t="shared" si="28"/>
        <v>315.32809181891298</v>
      </c>
      <c r="X239" s="134">
        <f t="shared" si="28"/>
        <v>241.41163348221784</v>
      </c>
      <c r="Y239" s="134">
        <f t="shared" si="28"/>
        <v>164.21813206683436</v>
      </c>
      <c r="Z239" s="134">
        <f t="shared" si="28"/>
        <v>83.747587572762072</v>
      </c>
      <c r="AA239" s="134">
        <f t="shared" si="28"/>
        <v>0</v>
      </c>
      <c r="AB239" s="134">
        <f t="shared" si="28"/>
        <v>-87.024630651450877</v>
      </c>
      <c r="AC239" s="134">
        <f t="shared" si="28"/>
        <v>-177.32630438159151</v>
      </c>
      <c r="AD239" s="134">
        <f t="shared" si="28"/>
        <v>-270.90502119042196</v>
      </c>
      <c r="AE239" s="134">
        <f t="shared" si="28"/>
        <v>-367.7607810779412</v>
      </c>
      <c r="AF239" s="134">
        <f t="shared" si="28"/>
        <v>-467.89358404414929</v>
      </c>
      <c r="AG239" s="134">
        <f t="shared" si="28"/>
        <v>-571.30343008904765</v>
      </c>
      <c r="AH239" s="134">
        <f t="shared" si="28"/>
        <v>-677.99031921263531</v>
      </c>
      <c r="AI239" s="134">
        <f t="shared" si="28"/>
        <v>-786.31572987556638</v>
      </c>
      <c r="AJ239" s="134">
        <f t="shared" si="28"/>
        <v>-894.64114053849744</v>
      </c>
      <c r="AK239" s="134">
        <f t="shared" si="28"/>
        <v>-1002.9665512014285</v>
      </c>
      <c r="AL239" s="134">
        <f t="shared" si="28"/>
        <v>-1111.2919618643596</v>
      </c>
      <c r="AM239" s="134">
        <f t="shared" si="28"/>
        <v>-1219.6173725272906</v>
      </c>
      <c r="AN239" s="134">
        <f t="shared" si="28"/>
        <v>-1327.9427831902217</v>
      </c>
      <c r="AO239" s="134">
        <f t="shared" si="28"/>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5">
      <c r="A240" s="102"/>
      <c r="B240" s="112" t="s">
        <v>119</v>
      </c>
      <c r="C240" s="135"/>
      <c r="D240" s="134">
        <f t="shared" ref="D240:AO240" si="29">IF(D$214=$B240,0,IF(D$214&gt;$B240,-0.5*D$212-0.5*C$212+C240,0.5*HLOOKUP($B240,$D$211:$AO$212,2,FALSE)+0.5*HLOOKUP($B239,$D$211:$AO$212,2,FALSE)+D239))</f>
        <v>1017.2641524463925</v>
      </c>
      <c r="E240" s="134">
        <f t="shared" si="29"/>
        <v>1017.2641524463925</v>
      </c>
      <c r="F240" s="134">
        <f t="shared" si="29"/>
        <v>1017.2641524463925</v>
      </c>
      <c r="G240" s="134">
        <f t="shared" si="29"/>
        <v>1017.2641524463925</v>
      </c>
      <c r="H240" s="134">
        <f t="shared" si="29"/>
        <v>1017.2641524463925</v>
      </c>
      <c r="I240" s="134">
        <f t="shared" si="29"/>
        <v>1017.2641524463925</v>
      </c>
      <c r="J240" s="134">
        <f t="shared" si="29"/>
        <v>1017.2641524463925</v>
      </c>
      <c r="K240" s="134">
        <f t="shared" si="29"/>
        <v>1017.2641524463925</v>
      </c>
      <c r="L240" s="134">
        <f t="shared" si="29"/>
        <v>999.14892098050905</v>
      </c>
      <c r="M240" s="134">
        <f t="shared" si="29"/>
        <v>961.27993650939629</v>
      </c>
      <c r="N240" s="134">
        <f t="shared" si="29"/>
        <v>920.13390895959469</v>
      </c>
      <c r="O240" s="134">
        <f t="shared" si="29"/>
        <v>875.71083833110401</v>
      </c>
      <c r="P240" s="134">
        <f t="shared" si="29"/>
        <v>828.01072462392381</v>
      </c>
      <c r="Q240" s="134">
        <f t="shared" si="29"/>
        <v>777.03356783805475</v>
      </c>
      <c r="R240" s="134">
        <f t="shared" si="29"/>
        <v>722.77936797349662</v>
      </c>
      <c r="S240" s="134">
        <f t="shared" si="29"/>
        <v>665.24812503024896</v>
      </c>
      <c r="T240" s="134">
        <f t="shared" si="29"/>
        <v>604.43983900831154</v>
      </c>
      <c r="U240" s="134">
        <f t="shared" si="29"/>
        <v>540.35450990768527</v>
      </c>
      <c r="V240" s="134">
        <f t="shared" si="29"/>
        <v>472.9921377283697</v>
      </c>
      <c r="W240" s="134">
        <f t="shared" si="29"/>
        <v>402.35272247036386</v>
      </c>
      <c r="X240" s="134">
        <f t="shared" si="29"/>
        <v>328.43626413366871</v>
      </c>
      <c r="Y240" s="134">
        <f t="shared" si="29"/>
        <v>251.24276271828523</v>
      </c>
      <c r="Z240" s="134">
        <f t="shared" si="29"/>
        <v>170.77221822421296</v>
      </c>
      <c r="AA240" s="134">
        <f t="shared" si="29"/>
        <v>87.024630651450877</v>
      </c>
      <c r="AB240" s="134">
        <f t="shared" si="29"/>
        <v>0</v>
      </c>
      <c r="AC240" s="134">
        <f t="shared" si="29"/>
        <v>-90.301673730140649</v>
      </c>
      <c r="AD240" s="134">
        <f t="shared" si="29"/>
        <v>-183.88039053897108</v>
      </c>
      <c r="AE240" s="134">
        <f t="shared" si="29"/>
        <v>-280.73615042649033</v>
      </c>
      <c r="AF240" s="134">
        <f t="shared" si="29"/>
        <v>-380.86895339269836</v>
      </c>
      <c r="AG240" s="134">
        <f t="shared" si="29"/>
        <v>-484.27879943759666</v>
      </c>
      <c r="AH240" s="134">
        <f t="shared" si="29"/>
        <v>-590.96568856118427</v>
      </c>
      <c r="AI240" s="134">
        <f t="shared" si="29"/>
        <v>-699.29109922411533</v>
      </c>
      <c r="AJ240" s="134">
        <f t="shared" si="29"/>
        <v>-807.61650988704639</v>
      </c>
      <c r="AK240" s="134">
        <f t="shared" si="29"/>
        <v>-915.94192054997745</v>
      </c>
      <c r="AL240" s="134">
        <f t="shared" si="29"/>
        <v>-1024.2673312129086</v>
      </c>
      <c r="AM240" s="134">
        <f t="shared" si="29"/>
        <v>-1132.5927418758397</v>
      </c>
      <c r="AN240" s="134">
        <f t="shared" si="29"/>
        <v>-1240.9181525387708</v>
      </c>
      <c r="AO240" s="134">
        <f t="shared" si="29"/>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5">
      <c r="A241" s="102"/>
      <c r="B241" s="112" t="s">
        <v>120</v>
      </c>
      <c r="C241" s="135"/>
      <c r="D241" s="134">
        <f t="shared" ref="D241:AO241" si="30">IF(D$214=$B241,0,IF(D$214&gt;$B241,-0.5*D$212-0.5*C$212+C241,0.5*HLOOKUP($B241,$D$211:$AO$212,2,FALSE)+0.5*HLOOKUP($B240,$D$211:$AO$212,2,FALSE)+D240))</f>
        <v>1107.5658261765332</v>
      </c>
      <c r="E241" s="134">
        <f t="shared" si="30"/>
        <v>1107.5658261765332</v>
      </c>
      <c r="F241" s="134">
        <f t="shared" si="30"/>
        <v>1107.5658261765332</v>
      </c>
      <c r="G241" s="134">
        <f t="shared" si="30"/>
        <v>1107.5658261765332</v>
      </c>
      <c r="H241" s="134">
        <f t="shared" si="30"/>
        <v>1107.5658261765332</v>
      </c>
      <c r="I241" s="134">
        <f t="shared" si="30"/>
        <v>1107.5658261765332</v>
      </c>
      <c r="J241" s="134">
        <f t="shared" si="30"/>
        <v>1107.5658261765332</v>
      </c>
      <c r="K241" s="134">
        <f t="shared" si="30"/>
        <v>1107.5658261765332</v>
      </c>
      <c r="L241" s="134">
        <f t="shared" si="30"/>
        <v>1089.4505947106497</v>
      </c>
      <c r="M241" s="134">
        <f t="shared" si="30"/>
        <v>1051.581610239537</v>
      </c>
      <c r="N241" s="134">
        <f t="shared" si="30"/>
        <v>1010.4355826897354</v>
      </c>
      <c r="O241" s="134">
        <f t="shared" si="30"/>
        <v>966.01251206124471</v>
      </c>
      <c r="P241" s="134">
        <f t="shared" si="30"/>
        <v>918.3123983540645</v>
      </c>
      <c r="Q241" s="134">
        <f t="shared" si="30"/>
        <v>867.33524156819544</v>
      </c>
      <c r="R241" s="134">
        <f t="shared" si="30"/>
        <v>813.08104170363731</v>
      </c>
      <c r="S241" s="134">
        <f t="shared" si="30"/>
        <v>755.54979876038965</v>
      </c>
      <c r="T241" s="134">
        <f t="shared" si="30"/>
        <v>694.74151273845223</v>
      </c>
      <c r="U241" s="134">
        <f t="shared" si="30"/>
        <v>630.65618363782596</v>
      </c>
      <c r="V241" s="134">
        <f t="shared" si="30"/>
        <v>563.29381145851039</v>
      </c>
      <c r="W241" s="134">
        <f t="shared" si="30"/>
        <v>492.65439620050449</v>
      </c>
      <c r="X241" s="134">
        <f t="shared" si="30"/>
        <v>418.73793786380935</v>
      </c>
      <c r="Y241" s="134">
        <f t="shared" si="30"/>
        <v>341.54443644842587</v>
      </c>
      <c r="Z241" s="134">
        <f t="shared" si="30"/>
        <v>261.0738919543536</v>
      </c>
      <c r="AA241" s="134">
        <f t="shared" si="30"/>
        <v>177.32630438159151</v>
      </c>
      <c r="AB241" s="134">
        <f t="shared" si="30"/>
        <v>90.301673730140649</v>
      </c>
      <c r="AC241" s="134">
        <f t="shared" si="30"/>
        <v>0</v>
      </c>
      <c r="AD241" s="134">
        <f t="shared" si="30"/>
        <v>-93.578716808830436</v>
      </c>
      <c r="AE241" s="134">
        <f t="shared" si="30"/>
        <v>-190.43447669634969</v>
      </c>
      <c r="AF241" s="134">
        <f t="shared" si="30"/>
        <v>-290.56727966255778</v>
      </c>
      <c r="AG241" s="134">
        <f t="shared" si="30"/>
        <v>-393.97712570745608</v>
      </c>
      <c r="AH241" s="134">
        <f t="shared" si="30"/>
        <v>-500.66401483104369</v>
      </c>
      <c r="AI241" s="134">
        <f t="shared" si="30"/>
        <v>-608.98942549397475</v>
      </c>
      <c r="AJ241" s="134">
        <f t="shared" si="30"/>
        <v>-717.31483615690581</v>
      </c>
      <c r="AK241" s="134">
        <f t="shared" si="30"/>
        <v>-825.64024681983688</v>
      </c>
      <c r="AL241" s="134">
        <f t="shared" si="30"/>
        <v>-933.96565748276794</v>
      </c>
      <c r="AM241" s="134">
        <f t="shared" si="30"/>
        <v>-1042.291068145699</v>
      </c>
      <c r="AN241" s="134">
        <f t="shared" si="30"/>
        <v>-1150.6164788086301</v>
      </c>
      <c r="AO241" s="134">
        <f t="shared" si="30"/>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5">
      <c r="A242" s="102"/>
      <c r="B242" s="112" t="s">
        <v>121</v>
      </c>
      <c r="C242" s="135"/>
      <c r="D242" s="134">
        <f t="shared" ref="D242:AO242" si="31">IF(D$214=$B242,0,IF(D$214&gt;$B242,-0.5*D$212-0.5*C$212+C242,0.5*HLOOKUP($B242,$D$211:$AO$212,2,FALSE)+0.5*HLOOKUP($B241,$D$211:$AO$212,2,FALSE)+D241))</f>
        <v>1201.1445429853636</v>
      </c>
      <c r="E242" s="134">
        <f t="shared" si="31"/>
        <v>1201.1445429853636</v>
      </c>
      <c r="F242" s="134">
        <f t="shared" si="31"/>
        <v>1201.1445429853636</v>
      </c>
      <c r="G242" s="134">
        <f t="shared" si="31"/>
        <v>1201.1445429853636</v>
      </c>
      <c r="H242" s="134">
        <f t="shared" si="31"/>
        <v>1201.1445429853636</v>
      </c>
      <c r="I242" s="134">
        <f t="shared" si="31"/>
        <v>1201.1445429853636</v>
      </c>
      <c r="J242" s="134">
        <f t="shared" si="31"/>
        <v>1201.1445429853636</v>
      </c>
      <c r="K242" s="134">
        <f t="shared" si="31"/>
        <v>1201.1445429853636</v>
      </c>
      <c r="L242" s="134">
        <f t="shared" si="31"/>
        <v>1183.0293115194802</v>
      </c>
      <c r="M242" s="134">
        <f t="shared" si="31"/>
        <v>1145.1603270483674</v>
      </c>
      <c r="N242" s="134">
        <f t="shared" si="31"/>
        <v>1104.0142994985658</v>
      </c>
      <c r="O242" s="134">
        <f t="shared" si="31"/>
        <v>1059.5912288700752</v>
      </c>
      <c r="P242" s="134">
        <f t="shared" si="31"/>
        <v>1011.8911151628949</v>
      </c>
      <c r="Q242" s="134">
        <f t="shared" si="31"/>
        <v>960.91395837702589</v>
      </c>
      <c r="R242" s="134">
        <f t="shared" si="31"/>
        <v>906.65975851246776</v>
      </c>
      <c r="S242" s="134">
        <f t="shared" si="31"/>
        <v>849.1285155692201</v>
      </c>
      <c r="T242" s="134">
        <f t="shared" si="31"/>
        <v>788.32022954728268</v>
      </c>
      <c r="U242" s="134">
        <f t="shared" si="31"/>
        <v>724.23490044665641</v>
      </c>
      <c r="V242" s="134">
        <f t="shared" si="31"/>
        <v>656.87252826734084</v>
      </c>
      <c r="W242" s="134">
        <f t="shared" si="31"/>
        <v>586.23311300933494</v>
      </c>
      <c r="X242" s="134">
        <f t="shared" si="31"/>
        <v>512.31665467263974</v>
      </c>
      <c r="Y242" s="134">
        <f t="shared" si="31"/>
        <v>435.12315325725632</v>
      </c>
      <c r="Z242" s="134">
        <f t="shared" si="31"/>
        <v>354.65260876318405</v>
      </c>
      <c r="AA242" s="134">
        <f t="shared" si="31"/>
        <v>270.90502119042196</v>
      </c>
      <c r="AB242" s="134">
        <f t="shared" si="31"/>
        <v>183.88039053897108</v>
      </c>
      <c r="AC242" s="134">
        <f t="shared" si="31"/>
        <v>93.578716808830436</v>
      </c>
      <c r="AD242" s="134">
        <f t="shared" si="31"/>
        <v>0</v>
      </c>
      <c r="AE242" s="134">
        <f t="shared" si="31"/>
        <v>-96.855759887519241</v>
      </c>
      <c r="AF242" s="134">
        <f t="shared" si="31"/>
        <v>-196.9885628537273</v>
      </c>
      <c r="AG242" s="134">
        <f t="shared" si="31"/>
        <v>-300.39840889862563</v>
      </c>
      <c r="AH242" s="134">
        <f t="shared" si="31"/>
        <v>-407.08529802221324</v>
      </c>
      <c r="AI242" s="134">
        <f t="shared" si="31"/>
        <v>-515.4107086851443</v>
      </c>
      <c r="AJ242" s="134">
        <f t="shared" si="31"/>
        <v>-623.73611934807536</v>
      </c>
      <c r="AK242" s="134">
        <f t="shared" si="31"/>
        <v>-732.06153001100643</v>
      </c>
      <c r="AL242" s="134">
        <f t="shared" si="31"/>
        <v>-840.38694067393749</v>
      </c>
      <c r="AM242" s="134">
        <f t="shared" si="31"/>
        <v>-948.71235133686855</v>
      </c>
      <c r="AN242" s="134">
        <f t="shared" si="31"/>
        <v>-1057.0377619997996</v>
      </c>
      <c r="AO242" s="134">
        <f t="shared" si="31"/>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5">
      <c r="A243" s="102"/>
      <c r="B243" s="112" t="s">
        <v>122</v>
      </c>
      <c r="C243" s="135"/>
      <c r="D243" s="134">
        <f t="shared" ref="D243:AO243" si="32">IF(D$214=$B243,0,IF(D$214&gt;$B243,-0.5*D$212-0.5*C$212+C243,0.5*HLOOKUP($B243,$D$211:$AO$212,2,FALSE)+0.5*HLOOKUP($B242,$D$211:$AO$212,2,FALSE)+D242))</f>
        <v>1298.0003028728829</v>
      </c>
      <c r="E243" s="134">
        <f t="shared" si="32"/>
        <v>1298.0003028728829</v>
      </c>
      <c r="F243" s="134">
        <f t="shared" si="32"/>
        <v>1298.0003028728829</v>
      </c>
      <c r="G243" s="134">
        <f t="shared" si="32"/>
        <v>1298.0003028728829</v>
      </c>
      <c r="H243" s="134">
        <f t="shared" si="32"/>
        <v>1298.0003028728829</v>
      </c>
      <c r="I243" s="134">
        <f t="shared" si="32"/>
        <v>1298.0003028728829</v>
      </c>
      <c r="J243" s="134">
        <f t="shared" si="32"/>
        <v>1298.0003028728829</v>
      </c>
      <c r="K243" s="134">
        <f t="shared" si="32"/>
        <v>1298.0003028728829</v>
      </c>
      <c r="L243" s="134">
        <f t="shared" si="32"/>
        <v>1279.8850714069995</v>
      </c>
      <c r="M243" s="134">
        <f t="shared" si="32"/>
        <v>1242.0160869358867</v>
      </c>
      <c r="N243" s="134">
        <f t="shared" si="32"/>
        <v>1200.8700593860851</v>
      </c>
      <c r="O243" s="134">
        <f t="shared" si="32"/>
        <v>1156.4469887575945</v>
      </c>
      <c r="P243" s="134">
        <f t="shared" si="32"/>
        <v>1108.7468750504142</v>
      </c>
      <c r="Q243" s="134">
        <f t="shared" si="32"/>
        <v>1057.7697182645452</v>
      </c>
      <c r="R243" s="134">
        <f t="shared" si="32"/>
        <v>1003.5155183999871</v>
      </c>
      <c r="S243" s="134">
        <f t="shared" si="32"/>
        <v>945.9842754567394</v>
      </c>
      <c r="T243" s="134">
        <f t="shared" si="32"/>
        <v>885.17598943480198</v>
      </c>
      <c r="U243" s="134">
        <f t="shared" si="32"/>
        <v>821.09066033417571</v>
      </c>
      <c r="V243" s="134">
        <f t="shared" si="32"/>
        <v>753.72828815486014</v>
      </c>
      <c r="W243" s="134">
        <f t="shared" si="32"/>
        <v>683.08887289685413</v>
      </c>
      <c r="X243" s="134">
        <f t="shared" si="32"/>
        <v>609.17241456015904</v>
      </c>
      <c r="Y243" s="134">
        <f t="shared" si="32"/>
        <v>531.97891314477556</v>
      </c>
      <c r="Z243" s="134">
        <f t="shared" si="32"/>
        <v>451.50836865070329</v>
      </c>
      <c r="AA243" s="134">
        <f t="shared" si="32"/>
        <v>367.7607810779412</v>
      </c>
      <c r="AB243" s="134">
        <f t="shared" si="32"/>
        <v>280.73615042649033</v>
      </c>
      <c r="AC243" s="134">
        <f t="shared" si="32"/>
        <v>190.43447669634969</v>
      </c>
      <c r="AD243" s="134">
        <f t="shared" si="32"/>
        <v>96.855759887519241</v>
      </c>
      <c r="AE243" s="134">
        <f t="shared" si="32"/>
        <v>0</v>
      </c>
      <c r="AF243" s="134">
        <f t="shared" si="32"/>
        <v>-100.13280296620806</v>
      </c>
      <c r="AG243" s="134">
        <f t="shared" si="32"/>
        <v>-203.54264901110639</v>
      </c>
      <c r="AH243" s="134">
        <f t="shared" si="32"/>
        <v>-310.229538134694</v>
      </c>
      <c r="AI243" s="134">
        <f t="shared" si="32"/>
        <v>-418.55494879762506</v>
      </c>
      <c r="AJ243" s="134">
        <f t="shared" si="32"/>
        <v>-526.88035946055618</v>
      </c>
      <c r="AK243" s="134">
        <f t="shared" si="32"/>
        <v>-635.20577012348724</v>
      </c>
      <c r="AL243" s="134">
        <f t="shared" si="32"/>
        <v>-743.5311807864183</v>
      </c>
      <c r="AM243" s="134">
        <f t="shared" si="32"/>
        <v>-851.85659144934937</v>
      </c>
      <c r="AN243" s="134">
        <f t="shared" si="32"/>
        <v>-960.18200211228043</v>
      </c>
      <c r="AO243" s="134">
        <f t="shared" si="32"/>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5">
      <c r="A244" s="102"/>
      <c r="B244" s="112" t="s">
        <v>123</v>
      </c>
      <c r="C244" s="135"/>
      <c r="D244" s="134">
        <f t="shared" ref="D244:AO244" si="33">IF(D$214=$B244,0,IF(D$214&gt;$B244,-0.5*D$212-0.5*C$212+C244,0.5*HLOOKUP($B244,$D$211:$AO$212,2,FALSE)+0.5*HLOOKUP($B243,$D$211:$AO$212,2,FALSE)+D243))</f>
        <v>1398.1331058390911</v>
      </c>
      <c r="E244" s="134">
        <f t="shared" si="33"/>
        <v>1398.1331058390911</v>
      </c>
      <c r="F244" s="134">
        <f t="shared" si="33"/>
        <v>1398.1331058390911</v>
      </c>
      <c r="G244" s="134">
        <f t="shared" si="33"/>
        <v>1398.1331058390911</v>
      </c>
      <c r="H244" s="134">
        <f t="shared" si="33"/>
        <v>1398.1331058390911</v>
      </c>
      <c r="I244" s="134">
        <f t="shared" si="33"/>
        <v>1398.1331058390911</v>
      </c>
      <c r="J244" s="134">
        <f t="shared" si="33"/>
        <v>1398.1331058390911</v>
      </c>
      <c r="K244" s="134">
        <f t="shared" si="33"/>
        <v>1398.1331058390911</v>
      </c>
      <c r="L244" s="134">
        <f t="shared" si="33"/>
        <v>1380.0178743732076</v>
      </c>
      <c r="M244" s="134">
        <f t="shared" si="33"/>
        <v>1342.1488899020949</v>
      </c>
      <c r="N244" s="134">
        <f t="shared" si="33"/>
        <v>1301.0028623522933</v>
      </c>
      <c r="O244" s="134">
        <f t="shared" si="33"/>
        <v>1256.5797917238026</v>
      </c>
      <c r="P244" s="134">
        <f t="shared" si="33"/>
        <v>1208.8796780166224</v>
      </c>
      <c r="Q244" s="134">
        <f t="shared" si="33"/>
        <v>1157.9025212307533</v>
      </c>
      <c r="R244" s="134">
        <f t="shared" si="33"/>
        <v>1103.6483213661952</v>
      </c>
      <c r="S244" s="134">
        <f t="shared" si="33"/>
        <v>1046.1170784229475</v>
      </c>
      <c r="T244" s="134">
        <f t="shared" si="33"/>
        <v>985.30879240101001</v>
      </c>
      <c r="U244" s="134">
        <f t="shared" si="33"/>
        <v>921.22346330038374</v>
      </c>
      <c r="V244" s="134">
        <f t="shared" si="33"/>
        <v>853.86109112106817</v>
      </c>
      <c r="W244" s="134">
        <f t="shared" si="33"/>
        <v>783.22167586306216</v>
      </c>
      <c r="X244" s="134">
        <f t="shared" si="33"/>
        <v>709.30521752636707</v>
      </c>
      <c r="Y244" s="134">
        <f t="shared" si="33"/>
        <v>632.11171611098359</v>
      </c>
      <c r="Z244" s="134">
        <f t="shared" si="33"/>
        <v>551.64117161691138</v>
      </c>
      <c r="AA244" s="134">
        <f t="shared" si="33"/>
        <v>467.89358404414929</v>
      </c>
      <c r="AB244" s="134">
        <f t="shared" si="33"/>
        <v>380.86895339269836</v>
      </c>
      <c r="AC244" s="134">
        <f t="shared" si="33"/>
        <v>290.56727966255778</v>
      </c>
      <c r="AD244" s="134">
        <f t="shared" si="33"/>
        <v>196.9885628537273</v>
      </c>
      <c r="AE244" s="134">
        <f t="shared" si="33"/>
        <v>100.13280296620806</v>
      </c>
      <c r="AF244" s="134">
        <f t="shared" si="33"/>
        <v>0</v>
      </c>
      <c r="AG244" s="134">
        <f t="shared" si="33"/>
        <v>-103.40984604489832</v>
      </c>
      <c r="AH244" s="134">
        <f t="shared" si="33"/>
        <v>-210.09673516848594</v>
      </c>
      <c r="AI244" s="134">
        <f t="shared" si="33"/>
        <v>-318.42214583141703</v>
      </c>
      <c r="AJ244" s="134">
        <f t="shared" si="33"/>
        <v>-426.74755649434809</v>
      </c>
      <c r="AK244" s="134">
        <f t="shared" si="33"/>
        <v>-535.07296715727921</v>
      </c>
      <c r="AL244" s="134">
        <f t="shared" si="33"/>
        <v>-643.39837782021027</v>
      </c>
      <c r="AM244" s="134">
        <f t="shared" si="33"/>
        <v>-751.72378848314133</v>
      </c>
      <c r="AN244" s="134">
        <f t="shared" si="33"/>
        <v>-860.0491991460724</v>
      </c>
      <c r="AO244" s="134">
        <f t="shared" si="33"/>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5">
      <c r="A245" s="102"/>
      <c r="B245" s="112" t="s">
        <v>124</v>
      </c>
      <c r="C245" s="135"/>
      <c r="D245" s="134">
        <f t="shared" ref="D245:AO245" si="34">IF(D$214=$B245,0,IF(D$214&gt;$B245,-0.5*D$212-0.5*C$212+C245,0.5*HLOOKUP($B245,$D$211:$AO$212,2,FALSE)+0.5*HLOOKUP($B244,$D$211:$AO$212,2,FALSE)+D244))</f>
        <v>1501.5429518839894</v>
      </c>
      <c r="E245" s="134">
        <f t="shared" si="34"/>
        <v>1501.5429518839894</v>
      </c>
      <c r="F245" s="134">
        <f t="shared" si="34"/>
        <v>1501.5429518839894</v>
      </c>
      <c r="G245" s="134">
        <f t="shared" si="34"/>
        <v>1501.5429518839894</v>
      </c>
      <c r="H245" s="134">
        <f t="shared" si="34"/>
        <v>1501.5429518839894</v>
      </c>
      <c r="I245" s="134">
        <f t="shared" si="34"/>
        <v>1501.5429518839894</v>
      </c>
      <c r="J245" s="134">
        <f t="shared" si="34"/>
        <v>1501.5429518839894</v>
      </c>
      <c r="K245" s="134">
        <f t="shared" si="34"/>
        <v>1501.5429518839894</v>
      </c>
      <c r="L245" s="134">
        <f t="shared" si="34"/>
        <v>1483.427720418106</v>
      </c>
      <c r="M245" s="134">
        <f t="shared" si="34"/>
        <v>1445.5587359469932</v>
      </c>
      <c r="N245" s="134">
        <f t="shared" si="34"/>
        <v>1404.4127083971916</v>
      </c>
      <c r="O245" s="134">
        <f t="shared" si="34"/>
        <v>1359.989637768701</v>
      </c>
      <c r="P245" s="134">
        <f t="shared" si="34"/>
        <v>1312.2895240615208</v>
      </c>
      <c r="Q245" s="134">
        <f t="shared" si="34"/>
        <v>1261.3123672756517</v>
      </c>
      <c r="R245" s="134">
        <f t="shared" si="34"/>
        <v>1207.0581674110936</v>
      </c>
      <c r="S245" s="134">
        <f t="shared" si="34"/>
        <v>1149.5269244678459</v>
      </c>
      <c r="T245" s="134">
        <f t="shared" si="34"/>
        <v>1088.7186384459083</v>
      </c>
      <c r="U245" s="134">
        <f t="shared" si="34"/>
        <v>1024.633309345282</v>
      </c>
      <c r="V245" s="134">
        <f t="shared" si="34"/>
        <v>957.27093716596653</v>
      </c>
      <c r="W245" s="134">
        <f t="shared" si="34"/>
        <v>886.63152190796052</v>
      </c>
      <c r="X245" s="134">
        <f t="shared" si="34"/>
        <v>812.71506357126543</v>
      </c>
      <c r="Y245" s="134">
        <f t="shared" si="34"/>
        <v>735.52156215588195</v>
      </c>
      <c r="Z245" s="134">
        <f t="shared" si="34"/>
        <v>655.05101766180974</v>
      </c>
      <c r="AA245" s="134">
        <f t="shared" si="34"/>
        <v>571.30343008904765</v>
      </c>
      <c r="AB245" s="134">
        <f t="shared" si="34"/>
        <v>484.27879943759666</v>
      </c>
      <c r="AC245" s="134">
        <f t="shared" si="34"/>
        <v>393.97712570745608</v>
      </c>
      <c r="AD245" s="134">
        <f t="shared" si="34"/>
        <v>300.39840889862563</v>
      </c>
      <c r="AE245" s="134">
        <f t="shared" si="34"/>
        <v>203.54264901110639</v>
      </c>
      <c r="AF245" s="134">
        <f t="shared" si="34"/>
        <v>103.40984604489832</v>
      </c>
      <c r="AG245" s="134">
        <f t="shared" si="34"/>
        <v>0</v>
      </c>
      <c r="AH245" s="134">
        <f t="shared" si="34"/>
        <v>-106.68688912358762</v>
      </c>
      <c r="AI245" s="134">
        <f t="shared" si="34"/>
        <v>-215.0122997865187</v>
      </c>
      <c r="AJ245" s="134">
        <f t="shared" si="34"/>
        <v>-323.33771044944979</v>
      </c>
      <c r="AK245" s="134">
        <f t="shared" si="34"/>
        <v>-431.66312111238085</v>
      </c>
      <c r="AL245" s="134">
        <f t="shared" si="34"/>
        <v>-539.98853177531191</v>
      </c>
      <c r="AM245" s="134">
        <f t="shared" si="34"/>
        <v>-648.31394243824298</v>
      </c>
      <c r="AN245" s="134">
        <f t="shared" si="34"/>
        <v>-756.63935310117404</v>
      </c>
      <c r="AO245" s="134">
        <f t="shared" si="34"/>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5">
      <c r="A246" s="102"/>
      <c r="B246" s="112" t="s">
        <v>125</v>
      </c>
      <c r="C246" s="135"/>
      <c r="D246" s="134">
        <f t="shared" ref="D246:AO246" si="35">IF(D$214=$B246,0,IF(D$214&gt;$B246,-0.5*D$212-0.5*C$212+C246,0.5*HLOOKUP($B246,$D$211:$AO$212,2,FALSE)+0.5*HLOOKUP($B245,$D$211:$AO$212,2,FALSE)+D245))</f>
        <v>1608.2298410075771</v>
      </c>
      <c r="E246" s="134">
        <f t="shared" si="35"/>
        <v>1608.2298410075771</v>
      </c>
      <c r="F246" s="134">
        <f t="shared" si="35"/>
        <v>1608.2298410075771</v>
      </c>
      <c r="G246" s="134">
        <f t="shared" si="35"/>
        <v>1608.2298410075771</v>
      </c>
      <c r="H246" s="134">
        <f t="shared" si="35"/>
        <v>1608.2298410075771</v>
      </c>
      <c r="I246" s="134">
        <f t="shared" si="35"/>
        <v>1608.2298410075771</v>
      </c>
      <c r="J246" s="134">
        <f t="shared" si="35"/>
        <v>1608.2298410075771</v>
      </c>
      <c r="K246" s="134">
        <f t="shared" si="35"/>
        <v>1608.2298410075771</v>
      </c>
      <c r="L246" s="134">
        <f t="shared" si="35"/>
        <v>1590.1146095416937</v>
      </c>
      <c r="M246" s="134">
        <f t="shared" si="35"/>
        <v>1552.2456250705809</v>
      </c>
      <c r="N246" s="134">
        <f t="shared" si="35"/>
        <v>1511.0995975207793</v>
      </c>
      <c r="O246" s="134">
        <f t="shared" si="35"/>
        <v>1466.6765268922886</v>
      </c>
      <c r="P246" s="134">
        <f t="shared" si="35"/>
        <v>1418.9764131851084</v>
      </c>
      <c r="Q246" s="134">
        <f t="shared" si="35"/>
        <v>1367.9992563992394</v>
      </c>
      <c r="R246" s="134">
        <f t="shared" si="35"/>
        <v>1313.7450565346812</v>
      </c>
      <c r="S246" s="134">
        <f t="shared" si="35"/>
        <v>1256.2138135914336</v>
      </c>
      <c r="T246" s="134">
        <f t="shared" si="35"/>
        <v>1195.4055275694959</v>
      </c>
      <c r="U246" s="134">
        <f t="shared" si="35"/>
        <v>1131.3201984688696</v>
      </c>
      <c r="V246" s="134">
        <f t="shared" si="35"/>
        <v>1063.9578262895541</v>
      </c>
      <c r="W246" s="134">
        <f t="shared" si="35"/>
        <v>993.31841103154818</v>
      </c>
      <c r="X246" s="134">
        <f t="shared" si="35"/>
        <v>919.40195269485309</v>
      </c>
      <c r="Y246" s="134">
        <f t="shared" si="35"/>
        <v>842.20845127946961</v>
      </c>
      <c r="Z246" s="134">
        <f t="shared" si="35"/>
        <v>761.7379067853974</v>
      </c>
      <c r="AA246" s="134">
        <f t="shared" si="35"/>
        <v>677.99031921263531</v>
      </c>
      <c r="AB246" s="134">
        <f t="shared" si="35"/>
        <v>590.96568856118427</v>
      </c>
      <c r="AC246" s="134">
        <f t="shared" si="35"/>
        <v>500.66401483104369</v>
      </c>
      <c r="AD246" s="134">
        <f t="shared" si="35"/>
        <v>407.08529802221324</v>
      </c>
      <c r="AE246" s="134">
        <f t="shared" si="35"/>
        <v>310.229538134694</v>
      </c>
      <c r="AF246" s="134">
        <f t="shared" si="35"/>
        <v>210.09673516848594</v>
      </c>
      <c r="AG246" s="134">
        <f t="shared" si="35"/>
        <v>106.68688912358762</v>
      </c>
      <c r="AH246" s="134">
        <f t="shared" si="35"/>
        <v>0</v>
      </c>
      <c r="AI246" s="134">
        <f t="shared" si="35"/>
        <v>-108.32541066293108</v>
      </c>
      <c r="AJ246" s="134">
        <f t="shared" si="35"/>
        <v>-216.65082132586215</v>
      </c>
      <c r="AK246" s="134">
        <f t="shared" si="35"/>
        <v>-324.97623198879324</v>
      </c>
      <c r="AL246" s="134">
        <f t="shared" si="35"/>
        <v>-433.30164265172431</v>
      </c>
      <c r="AM246" s="134">
        <f t="shared" si="35"/>
        <v>-541.62705331465543</v>
      </c>
      <c r="AN246" s="134">
        <f t="shared" si="35"/>
        <v>-649.95246397758649</v>
      </c>
      <c r="AO246" s="134">
        <f t="shared" si="35"/>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5">
      <c r="A247" s="102"/>
      <c r="B247" s="112" t="s">
        <v>126</v>
      </c>
      <c r="C247" s="135"/>
      <c r="D247" s="134">
        <f t="shared" ref="D247:AO247" si="36">IF(D$214=$B247,0,IF(D$214&gt;$B247,-0.5*D$212-0.5*C$212+C247,0.5*HLOOKUP($B247,$D$211:$AO$212,2,FALSE)+0.5*HLOOKUP($B246,$D$211:$AO$212,2,FALSE)+D246))</f>
        <v>1716.5552516705081</v>
      </c>
      <c r="E247" s="134">
        <f t="shared" si="36"/>
        <v>1716.5552516705081</v>
      </c>
      <c r="F247" s="134">
        <f t="shared" si="36"/>
        <v>1716.5552516705081</v>
      </c>
      <c r="G247" s="134">
        <f t="shared" si="36"/>
        <v>1716.5552516705081</v>
      </c>
      <c r="H247" s="134">
        <f t="shared" si="36"/>
        <v>1716.5552516705081</v>
      </c>
      <c r="I247" s="134">
        <f t="shared" si="36"/>
        <v>1716.5552516705081</v>
      </c>
      <c r="J247" s="134">
        <f t="shared" si="36"/>
        <v>1716.5552516705081</v>
      </c>
      <c r="K247" s="134">
        <f t="shared" si="36"/>
        <v>1716.5552516705081</v>
      </c>
      <c r="L247" s="134">
        <f t="shared" si="36"/>
        <v>1698.4400202046247</v>
      </c>
      <c r="M247" s="134">
        <f t="shared" si="36"/>
        <v>1660.571035733512</v>
      </c>
      <c r="N247" s="134">
        <f t="shared" si="36"/>
        <v>1619.4250081837104</v>
      </c>
      <c r="O247" s="134">
        <f t="shared" si="36"/>
        <v>1575.0019375552197</v>
      </c>
      <c r="P247" s="134">
        <f t="shared" si="36"/>
        <v>1527.3018238480395</v>
      </c>
      <c r="Q247" s="134">
        <f t="shared" si="36"/>
        <v>1476.3246670621704</v>
      </c>
      <c r="R247" s="134">
        <f t="shared" si="36"/>
        <v>1422.0704671976123</v>
      </c>
      <c r="S247" s="134">
        <f t="shared" si="36"/>
        <v>1364.5392242543646</v>
      </c>
      <c r="T247" s="134">
        <f t="shared" si="36"/>
        <v>1303.730938232427</v>
      </c>
      <c r="U247" s="134">
        <f t="shared" si="36"/>
        <v>1239.6456091318007</v>
      </c>
      <c r="V247" s="134">
        <f t="shared" si="36"/>
        <v>1172.2832369524851</v>
      </c>
      <c r="W247" s="134">
        <f t="shared" si="36"/>
        <v>1101.6438216944794</v>
      </c>
      <c r="X247" s="134">
        <f t="shared" si="36"/>
        <v>1027.7273633577843</v>
      </c>
      <c r="Y247" s="134">
        <f t="shared" si="36"/>
        <v>950.53386194240068</v>
      </c>
      <c r="Z247" s="134">
        <f t="shared" si="36"/>
        <v>870.06331744832846</v>
      </c>
      <c r="AA247" s="134">
        <f t="shared" si="36"/>
        <v>786.31572987556638</v>
      </c>
      <c r="AB247" s="134">
        <f t="shared" si="36"/>
        <v>699.29109922411533</v>
      </c>
      <c r="AC247" s="134">
        <f t="shared" si="36"/>
        <v>608.98942549397475</v>
      </c>
      <c r="AD247" s="134">
        <f t="shared" si="36"/>
        <v>515.4107086851443</v>
      </c>
      <c r="AE247" s="134">
        <f t="shared" si="36"/>
        <v>418.55494879762506</v>
      </c>
      <c r="AF247" s="134">
        <f t="shared" si="36"/>
        <v>318.42214583141703</v>
      </c>
      <c r="AG247" s="134">
        <f t="shared" si="36"/>
        <v>215.0122997865187</v>
      </c>
      <c r="AH247" s="134">
        <f t="shared" si="36"/>
        <v>108.32541066293108</v>
      </c>
      <c r="AI247" s="134">
        <f t="shared" si="36"/>
        <v>0</v>
      </c>
      <c r="AJ247" s="134">
        <f t="shared" si="36"/>
        <v>-108.32541066293108</v>
      </c>
      <c r="AK247" s="134">
        <f t="shared" si="36"/>
        <v>-216.65082132586215</v>
      </c>
      <c r="AL247" s="134">
        <f t="shared" si="36"/>
        <v>-324.97623198879324</v>
      </c>
      <c r="AM247" s="134">
        <f t="shared" si="36"/>
        <v>-433.30164265172431</v>
      </c>
      <c r="AN247" s="134">
        <f t="shared" si="36"/>
        <v>-541.62705331465543</v>
      </c>
      <c r="AO247" s="134">
        <f t="shared" si="36"/>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5">
      <c r="A248" s="102"/>
      <c r="B248" s="112" t="s">
        <v>127</v>
      </c>
      <c r="C248" s="135"/>
      <c r="D248" s="134">
        <f t="shared" ref="D248:AO248" si="37">IF(D$214=$B248,0,IF(D$214&gt;$B248,-0.5*D$212-0.5*C$212+C248,0.5*HLOOKUP($B248,$D$211:$AO$212,2,FALSE)+0.5*HLOOKUP($B247,$D$211:$AO$212,2,FALSE)+D247))</f>
        <v>1824.8806623334392</v>
      </c>
      <c r="E248" s="134">
        <f t="shared" si="37"/>
        <v>1824.8806623334392</v>
      </c>
      <c r="F248" s="134">
        <f t="shared" si="37"/>
        <v>1824.8806623334392</v>
      </c>
      <c r="G248" s="134">
        <f t="shared" si="37"/>
        <v>1824.8806623334392</v>
      </c>
      <c r="H248" s="134">
        <f t="shared" si="37"/>
        <v>1824.8806623334392</v>
      </c>
      <c r="I248" s="134">
        <f t="shared" si="37"/>
        <v>1824.8806623334392</v>
      </c>
      <c r="J248" s="134">
        <f t="shared" si="37"/>
        <v>1824.8806623334392</v>
      </c>
      <c r="K248" s="134">
        <f t="shared" si="37"/>
        <v>1824.8806623334392</v>
      </c>
      <c r="L248" s="134">
        <f t="shared" si="37"/>
        <v>1806.7654308675558</v>
      </c>
      <c r="M248" s="134">
        <f t="shared" si="37"/>
        <v>1768.896446396443</v>
      </c>
      <c r="N248" s="134">
        <f t="shared" si="37"/>
        <v>1727.7504188466414</v>
      </c>
      <c r="O248" s="134">
        <f t="shared" si="37"/>
        <v>1683.3273482181507</v>
      </c>
      <c r="P248" s="134">
        <f t="shared" si="37"/>
        <v>1635.6272345109705</v>
      </c>
      <c r="Q248" s="134">
        <f t="shared" si="37"/>
        <v>1584.6500777251015</v>
      </c>
      <c r="R248" s="134">
        <f t="shared" si="37"/>
        <v>1530.3958778605434</v>
      </c>
      <c r="S248" s="134">
        <f t="shared" si="37"/>
        <v>1472.8646349172957</v>
      </c>
      <c r="T248" s="134">
        <f t="shared" si="37"/>
        <v>1412.056348895358</v>
      </c>
      <c r="U248" s="134">
        <f t="shared" si="37"/>
        <v>1347.9710197947318</v>
      </c>
      <c r="V248" s="134">
        <f t="shared" si="37"/>
        <v>1280.6086476154162</v>
      </c>
      <c r="W248" s="134">
        <f t="shared" si="37"/>
        <v>1209.9692323574104</v>
      </c>
      <c r="X248" s="134">
        <f t="shared" si="37"/>
        <v>1136.0527740207153</v>
      </c>
      <c r="Y248" s="134">
        <f t="shared" si="37"/>
        <v>1058.8592726053319</v>
      </c>
      <c r="Z248" s="134">
        <f t="shared" si="37"/>
        <v>978.38872811125952</v>
      </c>
      <c r="AA248" s="134">
        <f t="shared" si="37"/>
        <v>894.64114053849744</v>
      </c>
      <c r="AB248" s="134">
        <f t="shared" si="37"/>
        <v>807.61650988704639</v>
      </c>
      <c r="AC248" s="134">
        <f t="shared" si="37"/>
        <v>717.31483615690581</v>
      </c>
      <c r="AD248" s="134">
        <f t="shared" si="37"/>
        <v>623.73611934807536</v>
      </c>
      <c r="AE248" s="134">
        <f t="shared" si="37"/>
        <v>526.88035946055618</v>
      </c>
      <c r="AF248" s="134">
        <f t="shared" si="37"/>
        <v>426.74755649434809</v>
      </c>
      <c r="AG248" s="134">
        <f t="shared" si="37"/>
        <v>323.33771044944979</v>
      </c>
      <c r="AH248" s="134">
        <f t="shared" si="37"/>
        <v>216.65082132586215</v>
      </c>
      <c r="AI248" s="134">
        <f t="shared" si="37"/>
        <v>108.32541066293108</v>
      </c>
      <c r="AJ248" s="134">
        <f t="shared" si="37"/>
        <v>0</v>
      </c>
      <c r="AK248" s="134">
        <f t="shared" si="37"/>
        <v>-108.32541066293108</v>
      </c>
      <c r="AL248" s="134">
        <f t="shared" si="37"/>
        <v>-216.65082132586215</v>
      </c>
      <c r="AM248" s="134">
        <f t="shared" si="37"/>
        <v>-324.97623198879324</v>
      </c>
      <c r="AN248" s="134">
        <f t="shared" si="37"/>
        <v>-433.30164265172431</v>
      </c>
      <c r="AO248" s="134">
        <f t="shared" si="3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5">
      <c r="A249" s="102"/>
      <c r="B249" s="112" t="s">
        <v>128</v>
      </c>
      <c r="C249" s="135"/>
      <c r="D249" s="134">
        <f t="shared" ref="D249:AO249" si="38">IF(D$214=$B249,0,IF(D$214&gt;$B249,-0.5*D$212-0.5*C$212+C249,0.5*HLOOKUP($B249,$D$211:$AO$212,2,FALSE)+0.5*HLOOKUP($B248,$D$211:$AO$212,2,FALSE)+D248))</f>
        <v>1933.2060729963703</v>
      </c>
      <c r="E249" s="134">
        <f t="shared" si="38"/>
        <v>1933.2060729963703</v>
      </c>
      <c r="F249" s="134">
        <f t="shared" si="38"/>
        <v>1933.2060729963703</v>
      </c>
      <c r="G249" s="134">
        <f t="shared" si="38"/>
        <v>1933.2060729963703</v>
      </c>
      <c r="H249" s="134">
        <f t="shared" si="38"/>
        <v>1933.2060729963703</v>
      </c>
      <c r="I249" s="134">
        <f t="shared" si="38"/>
        <v>1933.2060729963703</v>
      </c>
      <c r="J249" s="134">
        <f t="shared" si="38"/>
        <v>1933.2060729963703</v>
      </c>
      <c r="K249" s="134">
        <f t="shared" si="38"/>
        <v>1933.2060729963703</v>
      </c>
      <c r="L249" s="134">
        <f t="shared" si="38"/>
        <v>1915.0908415304868</v>
      </c>
      <c r="M249" s="134">
        <f t="shared" si="38"/>
        <v>1877.2218570593741</v>
      </c>
      <c r="N249" s="134">
        <f t="shared" si="38"/>
        <v>1836.0758295095725</v>
      </c>
      <c r="O249" s="134">
        <f t="shared" si="38"/>
        <v>1791.6527588810818</v>
      </c>
      <c r="P249" s="134">
        <f t="shared" si="38"/>
        <v>1743.9526451739016</v>
      </c>
      <c r="Q249" s="134">
        <f t="shared" si="38"/>
        <v>1692.9754883880325</v>
      </c>
      <c r="R249" s="134">
        <f t="shared" si="38"/>
        <v>1638.7212885234744</v>
      </c>
      <c r="S249" s="134">
        <f t="shared" si="38"/>
        <v>1581.1900455802268</v>
      </c>
      <c r="T249" s="134">
        <f t="shared" si="38"/>
        <v>1520.3817595582891</v>
      </c>
      <c r="U249" s="134">
        <f t="shared" si="38"/>
        <v>1456.2964304576628</v>
      </c>
      <c r="V249" s="134">
        <f t="shared" si="38"/>
        <v>1388.9340582783473</v>
      </c>
      <c r="W249" s="134">
        <f t="shared" si="38"/>
        <v>1318.2946430203415</v>
      </c>
      <c r="X249" s="134">
        <f t="shared" si="38"/>
        <v>1244.3781846836464</v>
      </c>
      <c r="Y249" s="134">
        <f t="shared" si="38"/>
        <v>1167.1846832682629</v>
      </c>
      <c r="Z249" s="134">
        <f t="shared" si="38"/>
        <v>1086.7141387741906</v>
      </c>
      <c r="AA249" s="134">
        <f t="shared" si="38"/>
        <v>1002.9665512014285</v>
      </c>
      <c r="AB249" s="134">
        <f t="shared" si="38"/>
        <v>915.94192054997745</v>
      </c>
      <c r="AC249" s="134">
        <f t="shared" si="38"/>
        <v>825.64024681983688</v>
      </c>
      <c r="AD249" s="134">
        <f t="shared" si="38"/>
        <v>732.06153001100643</v>
      </c>
      <c r="AE249" s="134">
        <f t="shared" si="38"/>
        <v>635.20577012348724</v>
      </c>
      <c r="AF249" s="134">
        <f t="shared" si="38"/>
        <v>535.07296715727921</v>
      </c>
      <c r="AG249" s="134">
        <f t="shared" si="38"/>
        <v>431.66312111238085</v>
      </c>
      <c r="AH249" s="134">
        <f t="shared" si="38"/>
        <v>324.97623198879324</v>
      </c>
      <c r="AI249" s="134">
        <f t="shared" si="38"/>
        <v>216.65082132586215</v>
      </c>
      <c r="AJ249" s="134">
        <f t="shared" si="38"/>
        <v>108.32541066293108</v>
      </c>
      <c r="AK249" s="134">
        <f t="shared" si="38"/>
        <v>0</v>
      </c>
      <c r="AL249" s="134">
        <f t="shared" si="38"/>
        <v>-108.32541066293108</v>
      </c>
      <c r="AM249" s="134">
        <f t="shared" si="38"/>
        <v>-216.65082132586215</v>
      </c>
      <c r="AN249" s="134">
        <f t="shared" si="38"/>
        <v>-324.97623198879324</v>
      </c>
      <c r="AO249" s="134">
        <f t="shared" si="38"/>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5">
      <c r="A250" s="102"/>
      <c r="B250" s="112" t="s">
        <v>129</v>
      </c>
      <c r="C250" s="135"/>
      <c r="D250" s="134">
        <f t="shared" ref="D250:AO250" si="39">IF(D$214=$B250,0,IF(D$214&gt;$B250,-0.5*D$212-0.5*C$212+C250,0.5*HLOOKUP($B250,$D$211:$AO$212,2,FALSE)+0.5*HLOOKUP($B249,$D$211:$AO$212,2,FALSE)+D249))</f>
        <v>2041.5314836593013</v>
      </c>
      <c r="E250" s="134">
        <f t="shared" si="39"/>
        <v>2041.5314836593013</v>
      </c>
      <c r="F250" s="134">
        <f t="shared" si="39"/>
        <v>2041.5314836593013</v>
      </c>
      <c r="G250" s="134">
        <f t="shared" si="39"/>
        <v>2041.5314836593013</v>
      </c>
      <c r="H250" s="134">
        <f t="shared" si="39"/>
        <v>2041.5314836593013</v>
      </c>
      <c r="I250" s="134">
        <f t="shared" si="39"/>
        <v>2041.5314836593013</v>
      </c>
      <c r="J250" s="134">
        <f t="shared" si="39"/>
        <v>2041.5314836593013</v>
      </c>
      <c r="K250" s="134">
        <f t="shared" si="39"/>
        <v>2041.5314836593013</v>
      </c>
      <c r="L250" s="134">
        <f t="shared" si="39"/>
        <v>2023.4162521934179</v>
      </c>
      <c r="M250" s="134">
        <f t="shared" si="39"/>
        <v>1985.5472677223052</v>
      </c>
      <c r="N250" s="134">
        <f t="shared" si="39"/>
        <v>1944.4012401725035</v>
      </c>
      <c r="O250" s="134">
        <f t="shared" si="39"/>
        <v>1899.9781695440129</v>
      </c>
      <c r="P250" s="134">
        <f t="shared" si="39"/>
        <v>1852.2780558368327</v>
      </c>
      <c r="Q250" s="134">
        <f t="shared" si="39"/>
        <v>1801.3008990509636</v>
      </c>
      <c r="R250" s="134">
        <f t="shared" si="39"/>
        <v>1747.0466991864055</v>
      </c>
      <c r="S250" s="134">
        <f t="shared" si="39"/>
        <v>1689.5154562431578</v>
      </c>
      <c r="T250" s="134">
        <f t="shared" si="39"/>
        <v>1628.7071702212202</v>
      </c>
      <c r="U250" s="134">
        <f t="shared" si="39"/>
        <v>1564.6218411205939</v>
      </c>
      <c r="V250" s="134">
        <f t="shared" si="39"/>
        <v>1497.2594689412783</v>
      </c>
      <c r="W250" s="134">
        <f t="shared" si="39"/>
        <v>1426.6200536832725</v>
      </c>
      <c r="X250" s="134">
        <f t="shared" si="39"/>
        <v>1352.7035953465775</v>
      </c>
      <c r="Y250" s="134">
        <f t="shared" si="39"/>
        <v>1275.510093931194</v>
      </c>
      <c r="Z250" s="134">
        <f t="shared" si="39"/>
        <v>1195.0395494371217</v>
      </c>
      <c r="AA250" s="134">
        <f t="shared" si="39"/>
        <v>1111.2919618643596</v>
      </c>
      <c r="AB250" s="134">
        <f t="shared" si="39"/>
        <v>1024.2673312129086</v>
      </c>
      <c r="AC250" s="134">
        <f t="shared" si="39"/>
        <v>933.96565748276794</v>
      </c>
      <c r="AD250" s="134">
        <f t="shared" si="39"/>
        <v>840.38694067393749</v>
      </c>
      <c r="AE250" s="134">
        <f t="shared" si="39"/>
        <v>743.5311807864183</v>
      </c>
      <c r="AF250" s="134">
        <f t="shared" si="39"/>
        <v>643.39837782021027</v>
      </c>
      <c r="AG250" s="134">
        <f t="shared" si="39"/>
        <v>539.98853177531191</v>
      </c>
      <c r="AH250" s="134">
        <f t="shared" si="39"/>
        <v>433.30164265172431</v>
      </c>
      <c r="AI250" s="134">
        <f t="shared" si="39"/>
        <v>324.97623198879324</v>
      </c>
      <c r="AJ250" s="134">
        <f t="shared" si="39"/>
        <v>216.65082132586215</v>
      </c>
      <c r="AK250" s="134">
        <f t="shared" si="39"/>
        <v>108.32541066293108</v>
      </c>
      <c r="AL250" s="134">
        <f t="shared" si="39"/>
        <v>0</v>
      </c>
      <c r="AM250" s="134">
        <f t="shared" si="39"/>
        <v>-108.32541066293108</v>
      </c>
      <c r="AN250" s="134">
        <f t="shared" si="39"/>
        <v>-216.65082132586215</v>
      </c>
      <c r="AO250" s="134">
        <f t="shared" si="39"/>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5">
      <c r="A251" s="102"/>
      <c r="B251" s="112" t="s">
        <v>130</v>
      </c>
      <c r="C251" s="135"/>
      <c r="D251" s="134">
        <f t="shared" ref="D251:AO251" si="40">IF(D$214=$B251,0,IF(D$214&gt;$B251,-0.5*D$212-0.5*C$212+C251,0.5*HLOOKUP($B251,$D$211:$AO$212,2,FALSE)+0.5*HLOOKUP($B250,$D$211:$AO$212,2,FALSE)+D250))</f>
        <v>2149.8568943222326</v>
      </c>
      <c r="E251" s="134">
        <f t="shared" si="40"/>
        <v>2149.8568943222326</v>
      </c>
      <c r="F251" s="134">
        <f t="shared" si="40"/>
        <v>2149.8568943222326</v>
      </c>
      <c r="G251" s="134">
        <f t="shared" si="40"/>
        <v>2149.8568943222326</v>
      </c>
      <c r="H251" s="134">
        <f t="shared" si="40"/>
        <v>2149.8568943222326</v>
      </c>
      <c r="I251" s="134">
        <f t="shared" si="40"/>
        <v>2149.8568943222326</v>
      </c>
      <c r="J251" s="134">
        <f t="shared" si="40"/>
        <v>2149.8568943222326</v>
      </c>
      <c r="K251" s="134">
        <f t="shared" si="40"/>
        <v>2149.8568943222326</v>
      </c>
      <c r="L251" s="134">
        <f t="shared" si="40"/>
        <v>2131.7416628563492</v>
      </c>
      <c r="M251" s="134">
        <f t="shared" si="40"/>
        <v>2093.8726783852362</v>
      </c>
      <c r="N251" s="134">
        <f t="shared" si="40"/>
        <v>2052.7266508354346</v>
      </c>
      <c r="O251" s="134">
        <f t="shared" si="40"/>
        <v>2008.3035802069439</v>
      </c>
      <c r="P251" s="134">
        <f t="shared" si="40"/>
        <v>1960.6034664997637</v>
      </c>
      <c r="Q251" s="134">
        <f t="shared" si="40"/>
        <v>1909.6263097138947</v>
      </c>
      <c r="R251" s="134">
        <f t="shared" si="40"/>
        <v>1855.3721098493365</v>
      </c>
      <c r="S251" s="134">
        <f t="shared" si="40"/>
        <v>1797.8408669060889</v>
      </c>
      <c r="T251" s="134">
        <f t="shared" si="40"/>
        <v>1737.0325808841512</v>
      </c>
      <c r="U251" s="134">
        <f t="shared" si="40"/>
        <v>1672.947251783525</v>
      </c>
      <c r="V251" s="134">
        <f t="shared" si="40"/>
        <v>1605.5848796042094</v>
      </c>
      <c r="W251" s="134">
        <f t="shared" si="40"/>
        <v>1534.9454643462036</v>
      </c>
      <c r="X251" s="134">
        <f t="shared" si="40"/>
        <v>1461.0290060095085</v>
      </c>
      <c r="Y251" s="134">
        <f t="shared" si="40"/>
        <v>1383.835504594125</v>
      </c>
      <c r="Z251" s="134">
        <f t="shared" si="40"/>
        <v>1303.3649601000527</v>
      </c>
      <c r="AA251" s="134">
        <f t="shared" si="40"/>
        <v>1219.6173725272906</v>
      </c>
      <c r="AB251" s="134">
        <f t="shared" si="40"/>
        <v>1132.5927418758397</v>
      </c>
      <c r="AC251" s="134">
        <f t="shared" si="40"/>
        <v>1042.291068145699</v>
      </c>
      <c r="AD251" s="134">
        <f t="shared" si="40"/>
        <v>948.71235133686855</v>
      </c>
      <c r="AE251" s="134">
        <f t="shared" si="40"/>
        <v>851.85659144934937</v>
      </c>
      <c r="AF251" s="134">
        <f t="shared" si="40"/>
        <v>751.72378848314133</v>
      </c>
      <c r="AG251" s="134">
        <f t="shared" si="40"/>
        <v>648.31394243824298</v>
      </c>
      <c r="AH251" s="134">
        <f t="shared" si="40"/>
        <v>541.62705331465543</v>
      </c>
      <c r="AI251" s="134">
        <f t="shared" si="40"/>
        <v>433.30164265172431</v>
      </c>
      <c r="AJ251" s="134">
        <f t="shared" si="40"/>
        <v>324.97623198879324</v>
      </c>
      <c r="AK251" s="134">
        <f t="shared" si="40"/>
        <v>216.65082132586215</v>
      </c>
      <c r="AL251" s="134">
        <f t="shared" si="40"/>
        <v>108.32541066293108</v>
      </c>
      <c r="AM251" s="134">
        <f t="shared" si="40"/>
        <v>0</v>
      </c>
      <c r="AN251" s="134">
        <f t="shared" si="40"/>
        <v>-108.32541066293108</v>
      </c>
      <c r="AO251" s="134">
        <f t="shared" si="40"/>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5">
      <c r="A252" s="102"/>
      <c r="B252" s="112" t="s">
        <v>131</v>
      </c>
      <c r="C252" s="135"/>
      <c r="D252" s="134">
        <f t="shared" ref="D252:AO252" si="41">IF(D$214=$B252,0,IF(D$214&gt;$B252,-0.5*D$212-0.5*C$212+C252,0.5*HLOOKUP($B252,$D$211:$AO$212,2,FALSE)+0.5*HLOOKUP($B251,$D$211:$AO$212,2,FALSE)+D251))</f>
        <v>2258.1823049851637</v>
      </c>
      <c r="E252" s="134">
        <f t="shared" si="41"/>
        <v>2258.1823049851637</v>
      </c>
      <c r="F252" s="134">
        <f t="shared" si="41"/>
        <v>2258.1823049851637</v>
      </c>
      <c r="G252" s="134">
        <f t="shared" si="41"/>
        <v>2258.1823049851637</v>
      </c>
      <c r="H252" s="134">
        <f t="shared" si="41"/>
        <v>2258.1823049851637</v>
      </c>
      <c r="I252" s="134">
        <f t="shared" si="41"/>
        <v>2258.1823049851637</v>
      </c>
      <c r="J252" s="134">
        <f t="shared" si="41"/>
        <v>2258.1823049851637</v>
      </c>
      <c r="K252" s="134">
        <f t="shared" si="41"/>
        <v>2258.1823049851637</v>
      </c>
      <c r="L252" s="134">
        <f t="shared" si="41"/>
        <v>2240.0670735192803</v>
      </c>
      <c r="M252" s="134">
        <f t="shared" si="41"/>
        <v>2202.1980890481673</v>
      </c>
      <c r="N252" s="134">
        <f t="shared" si="41"/>
        <v>2161.0520614983657</v>
      </c>
      <c r="O252" s="134">
        <f t="shared" si="41"/>
        <v>2116.628990869875</v>
      </c>
      <c r="P252" s="134">
        <f t="shared" si="41"/>
        <v>2068.9288771626948</v>
      </c>
      <c r="Q252" s="134">
        <f t="shared" si="41"/>
        <v>2017.9517203768257</v>
      </c>
      <c r="R252" s="134">
        <f t="shared" si="41"/>
        <v>1963.6975205122676</v>
      </c>
      <c r="S252" s="134">
        <f t="shared" si="41"/>
        <v>1906.1662775690199</v>
      </c>
      <c r="T252" s="134">
        <f t="shared" si="41"/>
        <v>1845.3579915470823</v>
      </c>
      <c r="U252" s="134">
        <f t="shared" si="41"/>
        <v>1781.272662446456</v>
      </c>
      <c r="V252" s="134">
        <f t="shared" si="41"/>
        <v>1713.9102902671405</v>
      </c>
      <c r="W252" s="134">
        <f t="shared" si="41"/>
        <v>1643.2708750091347</v>
      </c>
      <c r="X252" s="134">
        <f t="shared" si="41"/>
        <v>1569.3544166724396</v>
      </c>
      <c r="Y252" s="134">
        <f t="shared" si="41"/>
        <v>1492.1609152570561</v>
      </c>
      <c r="Z252" s="134">
        <f t="shared" si="41"/>
        <v>1411.6903707629838</v>
      </c>
      <c r="AA252" s="134">
        <f t="shared" si="41"/>
        <v>1327.9427831902217</v>
      </c>
      <c r="AB252" s="134">
        <f t="shared" si="41"/>
        <v>1240.9181525387708</v>
      </c>
      <c r="AC252" s="134">
        <f t="shared" si="41"/>
        <v>1150.6164788086301</v>
      </c>
      <c r="AD252" s="134">
        <f t="shared" si="41"/>
        <v>1057.0377619997996</v>
      </c>
      <c r="AE252" s="134">
        <f t="shared" si="41"/>
        <v>960.18200211228043</v>
      </c>
      <c r="AF252" s="134">
        <f t="shared" si="41"/>
        <v>860.0491991460724</v>
      </c>
      <c r="AG252" s="134">
        <f t="shared" si="41"/>
        <v>756.63935310117404</v>
      </c>
      <c r="AH252" s="134">
        <f t="shared" si="41"/>
        <v>649.95246397758649</v>
      </c>
      <c r="AI252" s="134">
        <f t="shared" si="41"/>
        <v>541.62705331465543</v>
      </c>
      <c r="AJ252" s="134">
        <f t="shared" si="41"/>
        <v>433.30164265172431</v>
      </c>
      <c r="AK252" s="134">
        <f t="shared" si="41"/>
        <v>324.97623198879324</v>
      </c>
      <c r="AL252" s="134">
        <f t="shared" si="41"/>
        <v>216.65082132586215</v>
      </c>
      <c r="AM252" s="134">
        <f t="shared" si="41"/>
        <v>108.32541066293108</v>
      </c>
      <c r="AN252" s="134">
        <f t="shared" si="41"/>
        <v>0</v>
      </c>
      <c r="AO252" s="134">
        <f t="shared" si="41"/>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5">
      <c r="A253" s="102"/>
      <c r="B253" s="112" t="s">
        <v>132</v>
      </c>
      <c r="C253" s="135"/>
      <c r="D253" s="134">
        <f t="shared" ref="D253:AO253" si="42">IF(D$214=$B253,0,IF(D$214&gt;$B253,-0.5*D$212-0.5*C$212+C253,0.5*HLOOKUP($B253,$D$211:$AO$212,2,FALSE)+0.5*HLOOKUP($B252,$D$211:$AO$212,2,FALSE)+D252))</f>
        <v>2366.5077156480947</v>
      </c>
      <c r="E253" s="134">
        <f t="shared" si="42"/>
        <v>2366.5077156480947</v>
      </c>
      <c r="F253" s="134">
        <f t="shared" si="42"/>
        <v>2366.5077156480947</v>
      </c>
      <c r="G253" s="134">
        <f t="shared" si="42"/>
        <v>2366.5077156480947</v>
      </c>
      <c r="H253" s="134">
        <f t="shared" si="42"/>
        <v>2366.5077156480947</v>
      </c>
      <c r="I253" s="134">
        <f t="shared" si="42"/>
        <v>2366.5077156480947</v>
      </c>
      <c r="J253" s="134">
        <f t="shared" si="42"/>
        <v>2366.5077156480947</v>
      </c>
      <c r="K253" s="134">
        <f t="shared" si="42"/>
        <v>2366.5077156480947</v>
      </c>
      <c r="L253" s="134">
        <f t="shared" si="42"/>
        <v>2348.3924841822113</v>
      </c>
      <c r="M253" s="134">
        <f t="shared" si="42"/>
        <v>2310.5234997110983</v>
      </c>
      <c r="N253" s="134">
        <f t="shared" si="42"/>
        <v>2269.3774721612967</v>
      </c>
      <c r="O253" s="134">
        <f t="shared" si="42"/>
        <v>2224.9544015328061</v>
      </c>
      <c r="P253" s="134">
        <f t="shared" si="42"/>
        <v>2177.2542878256259</v>
      </c>
      <c r="Q253" s="134">
        <f t="shared" si="42"/>
        <v>2126.277131039757</v>
      </c>
      <c r="R253" s="134">
        <f t="shared" si="42"/>
        <v>2072.0229311751987</v>
      </c>
      <c r="S253" s="134">
        <f t="shared" si="42"/>
        <v>2014.491688231951</v>
      </c>
      <c r="T253" s="134">
        <f t="shared" si="42"/>
        <v>1953.6834022100134</v>
      </c>
      <c r="U253" s="134">
        <f t="shared" si="42"/>
        <v>1889.5980731093871</v>
      </c>
      <c r="V253" s="134">
        <f t="shared" si="42"/>
        <v>1822.2357009300715</v>
      </c>
      <c r="W253" s="134">
        <f t="shared" si="42"/>
        <v>1751.5962856720657</v>
      </c>
      <c r="X253" s="134">
        <f t="shared" si="42"/>
        <v>1677.6798273353706</v>
      </c>
      <c r="Y253" s="134">
        <f t="shared" si="42"/>
        <v>1600.4863259199872</v>
      </c>
      <c r="Z253" s="134">
        <f t="shared" si="42"/>
        <v>1520.0157814259148</v>
      </c>
      <c r="AA253" s="134">
        <f t="shared" si="42"/>
        <v>1436.2681938531528</v>
      </c>
      <c r="AB253" s="134">
        <f t="shared" si="42"/>
        <v>1349.2435632017018</v>
      </c>
      <c r="AC253" s="134">
        <f t="shared" si="42"/>
        <v>1258.9418894715611</v>
      </c>
      <c r="AD253" s="134">
        <f t="shared" si="42"/>
        <v>1165.3631726627307</v>
      </c>
      <c r="AE253" s="134">
        <f t="shared" si="42"/>
        <v>1068.5074127752116</v>
      </c>
      <c r="AF253" s="134">
        <f t="shared" si="42"/>
        <v>968.37460980900346</v>
      </c>
      <c r="AG253" s="134">
        <f t="shared" si="42"/>
        <v>864.9647637641051</v>
      </c>
      <c r="AH253" s="134">
        <f t="shared" si="42"/>
        <v>758.27787464051755</v>
      </c>
      <c r="AI253" s="134">
        <f t="shared" si="42"/>
        <v>649.95246397758649</v>
      </c>
      <c r="AJ253" s="134">
        <f t="shared" si="42"/>
        <v>541.62705331465543</v>
      </c>
      <c r="AK253" s="134">
        <f t="shared" si="42"/>
        <v>433.30164265172431</v>
      </c>
      <c r="AL253" s="134">
        <f t="shared" si="42"/>
        <v>324.97623198879324</v>
      </c>
      <c r="AM253" s="134">
        <f t="shared" si="42"/>
        <v>216.65082132586215</v>
      </c>
      <c r="AN253" s="134">
        <f t="shared" si="42"/>
        <v>108.32541066293108</v>
      </c>
      <c r="AO253" s="134">
        <f t="shared" si="42"/>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5" x14ac:dyDescent="0.35">
      <c r="B255" s="8" t="s">
        <v>145</v>
      </c>
      <c r="C255" s="9"/>
      <c r="D255" s="10"/>
      <c r="E255" s="10"/>
    </row>
    <row r="256" spans="1:96" ht="15" customHeight="1" x14ac:dyDescent="0.35">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5">
      <c r="A257" s="102"/>
      <c r="B257" s="151" t="s">
        <v>141</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5">
      <c r="A258" s="102"/>
      <c r="B258" s="151"/>
      <c r="C258" s="64" t="s">
        <v>223</v>
      </c>
      <c r="D258" s="12" t="s">
        <v>95</v>
      </c>
      <c r="E258" s="13" t="s">
        <v>96</v>
      </c>
      <c r="F258" s="97" t="s">
        <v>97</v>
      </c>
      <c r="G258" s="97" t="s">
        <v>98</v>
      </c>
      <c r="H258" s="97" t="s">
        <v>99</v>
      </c>
      <c r="I258" s="97" t="s">
        <v>100</v>
      </c>
      <c r="J258" s="97" t="s">
        <v>101</v>
      </c>
      <c r="K258" s="97" t="s">
        <v>102</v>
      </c>
      <c r="L258" s="97" t="s">
        <v>103</v>
      </c>
      <c r="M258" s="97" t="s">
        <v>104</v>
      </c>
      <c r="N258" s="97" t="s">
        <v>105</v>
      </c>
      <c r="O258" s="97" t="s">
        <v>106</v>
      </c>
      <c r="P258" s="97" t="s">
        <v>107</v>
      </c>
      <c r="Q258" s="97" t="s">
        <v>108</v>
      </c>
      <c r="R258" s="97" t="s">
        <v>109</v>
      </c>
      <c r="S258" s="97" t="s">
        <v>110</v>
      </c>
      <c r="T258" s="97" t="s">
        <v>111</v>
      </c>
      <c r="U258" s="97" t="s">
        <v>112</v>
      </c>
      <c r="V258" s="97" t="s">
        <v>113</v>
      </c>
      <c r="W258" s="97" t="s">
        <v>114</v>
      </c>
      <c r="X258" s="97" t="s">
        <v>115</v>
      </c>
      <c r="Y258" s="97" t="s">
        <v>116</v>
      </c>
      <c r="Z258" s="97" t="s">
        <v>117</v>
      </c>
      <c r="AA258" s="97" t="s">
        <v>118</v>
      </c>
      <c r="AB258" s="97" t="s">
        <v>119</v>
      </c>
      <c r="AC258" s="97" t="s">
        <v>120</v>
      </c>
      <c r="AD258" s="97" t="s">
        <v>121</v>
      </c>
      <c r="AE258" s="97" t="s">
        <v>122</v>
      </c>
      <c r="AF258" s="97" t="s">
        <v>123</v>
      </c>
      <c r="AG258" s="97" t="s">
        <v>124</v>
      </c>
      <c r="AH258" s="97" t="s">
        <v>125</v>
      </c>
      <c r="AI258" s="97" t="s">
        <v>126</v>
      </c>
      <c r="AJ258" s="97" t="s">
        <v>127</v>
      </c>
      <c r="AK258" s="97" t="s">
        <v>128</v>
      </c>
      <c r="AL258" s="97" t="s">
        <v>129</v>
      </c>
      <c r="AM258" s="97" t="s">
        <v>130</v>
      </c>
      <c r="AN258" s="97" t="s">
        <v>131</v>
      </c>
      <c r="AO258" s="97" t="s">
        <v>132</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5">
      <c r="A259" s="102"/>
      <c r="B259" s="102" t="s">
        <v>229</v>
      </c>
      <c r="C259" s="102">
        <f>Road_mask</f>
        <v>1</v>
      </c>
      <c r="D259" s="118">
        <f t="shared" ref="D259:AO259" si="43">Amenity_values_road_1dB_in</f>
        <v>0</v>
      </c>
      <c r="E259" s="118">
        <f t="shared" si="43"/>
        <v>15.945028856200379</v>
      </c>
      <c r="F259" s="118">
        <f t="shared" si="43"/>
        <v>16.239208822374696</v>
      </c>
      <c r="G259" s="118">
        <f t="shared" si="43"/>
        <v>16.712706899628884</v>
      </c>
      <c r="H259" s="118">
        <f t="shared" si="43"/>
        <v>17.365523087963282</v>
      </c>
      <c r="I259" s="118">
        <f t="shared" si="43"/>
        <v>18.197657387377593</v>
      </c>
      <c r="J259" s="118">
        <f t="shared" si="43"/>
        <v>19.209109797871871</v>
      </c>
      <c r="K259" s="118">
        <f t="shared" si="43"/>
        <v>20.399880319446062</v>
      </c>
      <c r="L259" s="118">
        <f t="shared" si="43"/>
        <v>21.769968952100445</v>
      </c>
      <c r="M259" s="118">
        <f t="shared" si="43"/>
        <v>23.31937569583474</v>
      </c>
      <c r="N259" s="118">
        <f t="shared" si="43"/>
        <v>25.048100550649085</v>
      </c>
      <c r="O259" s="118">
        <f t="shared" si="43"/>
        <v>26.956143516543037</v>
      </c>
      <c r="P259" s="118">
        <f t="shared" si="43"/>
        <v>29.043504593517564</v>
      </c>
      <c r="Q259" s="118">
        <f t="shared" si="43"/>
        <v>31.31018378157189</v>
      </c>
      <c r="R259" s="118">
        <f t="shared" si="43"/>
        <v>33.756181080706106</v>
      </c>
      <c r="S259" s="118">
        <f t="shared" si="43"/>
        <v>36.381496490920128</v>
      </c>
      <c r="T259" s="118">
        <f t="shared" si="43"/>
        <v>39.186130012214583</v>
      </c>
      <c r="U259" s="118">
        <f t="shared" si="43"/>
        <v>42.170081644588983</v>
      </c>
      <c r="V259" s="118">
        <f t="shared" si="43"/>
        <v>45.333351388042779</v>
      </c>
      <c r="W259" s="118">
        <f t="shared" si="43"/>
        <v>48.675939242577492</v>
      </c>
      <c r="X259" s="118">
        <f t="shared" si="43"/>
        <v>52.197845208191616</v>
      </c>
      <c r="Y259" s="118">
        <f t="shared" si="43"/>
        <v>55.899069284885812</v>
      </c>
      <c r="Z259" s="118">
        <f t="shared" si="43"/>
        <v>59.779611472660079</v>
      </c>
      <c r="AA259" s="118">
        <f t="shared" si="43"/>
        <v>63.839471771514461</v>
      </c>
      <c r="AB259" s="118">
        <f t="shared" si="43"/>
        <v>68.078650181448637</v>
      </c>
      <c r="AC259" s="118">
        <f t="shared" si="43"/>
        <v>72.497146702462899</v>
      </c>
      <c r="AD259" s="118">
        <f t="shared" si="43"/>
        <v>77.094961334555734</v>
      </c>
      <c r="AE259" s="118">
        <f t="shared" si="43"/>
        <v>81.87209407773129</v>
      </c>
      <c r="AF259" s="118">
        <f t="shared" si="43"/>
        <v>86.828544931985689</v>
      </c>
      <c r="AG259" s="118">
        <f t="shared" si="43"/>
        <v>91.964313897319329</v>
      </c>
      <c r="AH259" s="118">
        <f t="shared" si="43"/>
        <v>97.27940097373444</v>
      </c>
      <c r="AI259" s="118">
        <f t="shared" si="43"/>
        <v>102.77380616122798</v>
      </c>
      <c r="AJ259" s="118">
        <f t="shared" si="43"/>
        <v>102.77380616122798</v>
      </c>
      <c r="AK259" s="118">
        <f t="shared" si="43"/>
        <v>102.77380616122798</v>
      </c>
      <c r="AL259" s="118">
        <f t="shared" si="43"/>
        <v>102.77380616122798</v>
      </c>
      <c r="AM259" s="118">
        <f t="shared" si="43"/>
        <v>102.77380616122798</v>
      </c>
      <c r="AN259" s="118">
        <f t="shared" si="43"/>
        <v>102.77380616122798</v>
      </c>
      <c r="AO259" s="118">
        <f t="shared" si="43"/>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5">
      <c r="A260" s="102"/>
      <c r="B260" s="102" t="s">
        <v>230</v>
      </c>
      <c r="C260" s="101">
        <f>Rail_mask</f>
        <v>0</v>
      </c>
      <c r="D260" s="118">
        <f t="shared" ref="D260:AO260" si="44">Amenity_values_rail_1dB_in</f>
        <v>0</v>
      </c>
      <c r="E260" s="118">
        <f t="shared" si="44"/>
        <v>5.4967545450049151</v>
      </c>
      <c r="F260" s="118">
        <f t="shared" si="44"/>
        <v>5.5617694069419219</v>
      </c>
      <c r="G260" s="118">
        <f t="shared" si="44"/>
        <v>5.7957155630505133</v>
      </c>
      <c r="H260" s="118">
        <f t="shared" si="44"/>
        <v>6.198593013330667</v>
      </c>
      <c r="I260" s="118">
        <f t="shared" si="44"/>
        <v>6.7704017577823938</v>
      </c>
      <c r="J260" s="118">
        <f t="shared" si="44"/>
        <v>7.5111417964057035</v>
      </c>
      <c r="K260" s="118">
        <f t="shared" si="44"/>
        <v>8.4208131292005799</v>
      </c>
      <c r="L260" s="118">
        <f t="shared" si="44"/>
        <v>9.4994157561670463</v>
      </c>
      <c r="M260" s="118">
        <f t="shared" si="44"/>
        <v>10.74694967730508</v>
      </c>
      <c r="N260" s="118">
        <f t="shared" si="44"/>
        <v>12.163414892614664</v>
      </c>
      <c r="O260" s="118">
        <f t="shared" si="44"/>
        <v>13.748811402095862</v>
      </c>
      <c r="P260" s="118">
        <f t="shared" si="44"/>
        <v>15.50313920574861</v>
      </c>
      <c r="Q260" s="118">
        <f t="shared" si="44"/>
        <v>17.426398303572924</v>
      </c>
      <c r="R260" s="118">
        <f t="shared" si="44"/>
        <v>19.518588695568852</v>
      </c>
      <c r="S260" s="118">
        <f t="shared" si="44"/>
        <v>21.779710381736301</v>
      </c>
      <c r="T260" s="118">
        <f t="shared" si="44"/>
        <v>24.209763362075329</v>
      </c>
      <c r="U260" s="118">
        <f t="shared" si="44"/>
        <v>26.80874763658602</v>
      </c>
      <c r="V260" s="118">
        <f t="shared" si="44"/>
        <v>29.576663205268183</v>
      </c>
      <c r="W260" s="118">
        <f t="shared" si="44"/>
        <v>32.513510068121974</v>
      </c>
      <c r="X260" s="118">
        <f t="shared" si="44"/>
        <v>35.619288225147272</v>
      </c>
      <c r="Y260" s="118">
        <f t="shared" si="44"/>
        <v>38.893997676344291</v>
      </c>
      <c r="Z260" s="118">
        <f t="shared" si="44"/>
        <v>42.337638421712683</v>
      </c>
      <c r="AA260" s="118">
        <f t="shared" si="44"/>
        <v>45.950210461252837</v>
      </c>
      <c r="AB260" s="118">
        <f t="shared" si="44"/>
        <v>49.731713794964357</v>
      </c>
      <c r="AC260" s="118">
        <f t="shared" si="44"/>
        <v>53.682148422847717</v>
      </c>
      <c r="AD260" s="118">
        <f t="shared" si="44"/>
        <v>57.801514344902508</v>
      </c>
      <c r="AE260" s="118">
        <f t="shared" si="44"/>
        <v>62.08981156112894</v>
      </c>
      <c r="AF260" s="118">
        <f t="shared" si="44"/>
        <v>66.547040071526723</v>
      </c>
      <c r="AG260" s="118">
        <f t="shared" si="44"/>
        <v>71.173199876096191</v>
      </c>
      <c r="AH260" s="118">
        <f t="shared" si="44"/>
        <v>75.968290974837259</v>
      </c>
      <c r="AI260" s="118">
        <f t="shared" si="44"/>
        <v>80.932313367750425</v>
      </c>
      <c r="AJ260" s="118">
        <f t="shared" si="44"/>
        <v>80.932313367750425</v>
      </c>
      <c r="AK260" s="118">
        <f t="shared" si="44"/>
        <v>80.932313367750425</v>
      </c>
      <c r="AL260" s="118">
        <f t="shared" si="44"/>
        <v>80.932313367750425</v>
      </c>
      <c r="AM260" s="118">
        <f t="shared" si="44"/>
        <v>80.932313367750425</v>
      </c>
      <c r="AN260" s="118">
        <f t="shared" si="44"/>
        <v>80.932313367750425</v>
      </c>
      <c r="AO260" s="118">
        <f t="shared" si="44"/>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5">
      <c r="A261" s="102"/>
      <c r="B261" s="102" t="s">
        <v>231</v>
      </c>
      <c r="C261" s="101">
        <f>Aviation_mask</f>
        <v>0</v>
      </c>
      <c r="D261" s="118">
        <f t="shared" ref="D261:AO261" si="45">Amenity_values_aviation_1dB_in</f>
        <v>0</v>
      </c>
      <c r="E261" s="118">
        <f t="shared" si="45"/>
        <v>22.003632440951492</v>
      </c>
      <c r="F261" s="118">
        <f t="shared" si="45"/>
        <v>24.976372050389344</v>
      </c>
      <c r="G261" s="118">
        <f t="shared" si="45"/>
        <v>27.927644620525012</v>
      </c>
      <c r="H261" s="118">
        <f t="shared" si="45"/>
        <v>30.857450151358531</v>
      </c>
      <c r="I261" s="118">
        <f t="shared" si="45"/>
        <v>33.765788642889852</v>
      </c>
      <c r="J261" s="118">
        <f t="shared" si="45"/>
        <v>36.65266009511901</v>
      </c>
      <c r="K261" s="118">
        <f t="shared" si="45"/>
        <v>39.518064508046024</v>
      </c>
      <c r="L261" s="118">
        <f t="shared" si="45"/>
        <v>42.362001881670842</v>
      </c>
      <c r="M261" s="118">
        <f t="shared" si="45"/>
        <v>45.184472215993473</v>
      </c>
      <c r="N261" s="118">
        <f>Amenity_values_aviation_1dB_in</f>
        <v>47.985475511013945</v>
      </c>
      <c r="O261" s="118">
        <f t="shared" si="45"/>
        <v>50.765011766732215</v>
      </c>
      <c r="P261" s="118">
        <f t="shared" si="45"/>
        <v>53.523080983148425</v>
      </c>
      <c r="Q261" s="118">
        <f t="shared" si="45"/>
        <v>56.259683160262263</v>
      </c>
      <c r="R261" s="118">
        <f t="shared" si="45"/>
        <v>58.974818298074148</v>
      </c>
      <c r="S261" s="118">
        <f t="shared" si="45"/>
        <v>61.668486396583702</v>
      </c>
      <c r="T261" s="118">
        <f t="shared" si="45"/>
        <v>64.340687455791155</v>
      </c>
      <c r="U261" s="118">
        <f t="shared" si="45"/>
        <v>66.991421475696413</v>
      </c>
      <c r="V261" s="118">
        <f t="shared" si="45"/>
        <v>69.620688456299433</v>
      </c>
      <c r="W261" s="118">
        <f t="shared" si="45"/>
        <v>72.228488397600231</v>
      </c>
      <c r="X261" s="118">
        <f t="shared" si="45"/>
        <v>74.814821299599259</v>
      </c>
      <c r="Y261" s="118">
        <f t="shared" si="45"/>
        <v>77.379687162295795</v>
      </c>
      <c r="Z261" s="118">
        <f t="shared" si="45"/>
        <v>79.923085985689937</v>
      </c>
      <c r="AA261" s="118">
        <f t="shared" si="45"/>
        <v>82.445017769782297</v>
      </c>
      <c r="AB261" s="118">
        <f t="shared" si="45"/>
        <v>84.945482514572419</v>
      </c>
      <c r="AC261" s="118">
        <f t="shared" si="45"/>
        <v>87.424480220060218</v>
      </c>
      <c r="AD261" s="118">
        <f t="shared" si="45"/>
        <v>89.882010886245794</v>
      </c>
      <c r="AE261" s="118">
        <f t="shared" si="45"/>
        <v>92.318074513129417</v>
      </c>
      <c r="AF261" s="118">
        <f t="shared" si="45"/>
        <v>94.732671100711102</v>
      </c>
      <c r="AG261" s="118">
        <f t="shared" si="45"/>
        <v>97.125800648989994</v>
      </c>
      <c r="AH261" s="118">
        <f t="shared" si="45"/>
        <v>99.497463157966706</v>
      </c>
      <c r="AI261" s="118">
        <f t="shared" si="45"/>
        <v>101.84765862764202</v>
      </c>
      <c r="AJ261" s="118">
        <f t="shared" si="45"/>
        <v>101.84765862764202</v>
      </c>
      <c r="AK261" s="118">
        <f t="shared" si="45"/>
        <v>101.84765862764202</v>
      </c>
      <c r="AL261" s="118">
        <f t="shared" si="45"/>
        <v>101.84765862764202</v>
      </c>
      <c r="AM261" s="118">
        <f t="shared" si="45"/>
        <v>101.84765862764202</v>
      </c>
      <c r="AN261" s="118">
        <f t="shared" si="45"/>
        <v>101.84765862764202</v>
      </c>
      <c r="AO261" s="118">
        <f t="shared" si="45"/>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5">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5">
      <c r="A263" s="102"/>
      <c r="B263" s="151" t="s">
        <v>141</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5">
      <c r="A264" s="102"/>
      <c r="B264" s="151"/>
      <c r="C264" s="102"/>
      <c r="D264" s="12" t="s">
        <v>95</v>
      </c>
      <c r="E264" s="13" t="s">
        <v>96</v>
      </c>
      <c r="F264" s="97" t="s">
        <v>97</v>
      </c>
      <c r="G264" s="97" t="s">
        <v>98</v>
      </c>
      <c r="H264" s="97" t="s">
        <v>99</v>
      </c>
      <c r="I264" s="97" t="s">
        <v>100</v>
      </c>
      <c r="J264" s="97" t="s">
        <v>101</v>
      </c>
      <c r="K264" s="97" t="s">
        <v>102</v>
      </c>
      <c r="L264" s="97" t="s">
        <v>103</v>
      </c>
      <c r="M264" s="97" t="s">
        <v>104</v>
      </c>
      <c r="N264" s="97" t="s">
        <v>105</v>
      </c>
      <c r="O264" s="97" t="s">
        <v>106</v>
      </c>
      <c r="P264" s="97" t="s">
        <v>107</v>
      </c>
      <c r="Q264" s="97" t="s">
        <v>108</v>
      </c>
      <c r="R264" s="97" t="s">
        <v>109</v>
      </c>
      <c r="S264" s="97" t="s">
        <v>110</v>
      </c>
      <c r="T264" s="97" t="s">
        <v>111</v>
      </c>
      <c r="U264" s="97" t="s">
        <v>112</v>
      </c>
      <c r="V264" s="97" t="s">
        <v>113</v>
      </c>
      <c r="W264" s="97" t="s">
        <v>114</v>
      </c>
      <c r="X264" s="97" t="s">
        <v>115</v>
      </c>
      <c r="Y264" s="97" t="s">
        <v>116</v>
      </c>
      <c r="Z264" s="97" t="s">
        <v>117</v>
      </c>
      <c r="AA264" s="97" t="s">
        <v>118</v>
      </c>
      <c r="AB264" s="97" t="s">
        <v>119</v>
      </c>
      <c r="AC264" s="97" t="s">
        <v>120</v>
      </c>
      <c r="AD264" s="97" t="s">
        <v>121</v>
      </c>
      <c r="AE264" s="97" t="s">
        <v>122</v>
      </c>
      <c r="AF264" s="97" t="s">
        <v>123</v>
      </c>
      <c r="AG264" s="97" t="s">
        <v>124</v>
      </c>
      <c r="AH264" s="97" t="s">
        <v>125</v>
      </c>
      <c r="AI264" s="97" t="s">
        <v>126</v>
      </c>
      <c r="AJ264" s="97" t="s">
        <v>127</v>
      </c>
      <c r="AK264" s="97" t="s">
        <v>128</v>
      </c>
      <c r="AL264" s="97" t="s">
        <v>129</v>
      </c>
      <c r="AM264" s="97" t="s">
        <v>130</v>
      </c>
      <c r="AN264" s="97" t="s">
        <v>131</v>
      </c>
      <c r="AO264" s="97" t="s">
        <v>132</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5">
      <c r="A265" s="102"/>
      <c r="B265" s="102" t="s">
        <v>228</v>
      </c>
      <c r="C265" s="102"/>
      <c r="D265" s="118">
        <f>Amenity_values_road_1dB*Road_mask +Amenity_values_rail_1dB*Rail_mask +Amenity_values_aviation_1dB*Aviation_mask</f>
        <v>0</v>
      </c>
      <c r="E265" s="118">
        <f>Amenity_values_road_1dB*Road_mask +Amenity_values_rail_1dB*Rail_mask +Amenity_values_aviation_1dB*Aviation_mask</f>
        <v>15.945028856200379</v>
      </c>
      <c r="F265" s="118">
        <f t="shared" ref="F265:AO265" si="46">Amenity_values_road_1dB*Road_mask +Amenity_values_rail_1dB*Rail_mask +Amenity_values_aviation_1dB*Aviation_mask</f>
        <v>16.239208822374696</v>
      </c>
      <c r="G265" s="118">
        <f t="shared" si="46"/>
        <v>16.712706899628884</v>
      </c>
      <c r="H265" s="118">
        <f t="shared" si="46"/>
        <v>17.365523087963282</v>
      </c>
      <c r="I265" s="118">
        <f t="shared" si="46"/>
        <v>18.197657387377593</v>
      </c>
      <c r="J265" s="118">
        <f t="shared" si="46"/>
        <v>19.209109797871871</v>
      </c>
      <c r="K265" s="118">
        <f t="shared" si="46"/>
        <v>20.399880319446062</v>
      </c>
      <c r="L265" s="118">
        <f t="shared" si="46"/>
        <v>21.769968952100445</v>
      </c>
      <c r="M265" s="118">
        <f t="shared" si="46"/>
        <v>23.31937569583474</v>
      </c>
      <c r="N265" s="118">
        <f t="shared" si="46"/>
        <v>25.048100550649085</v>
      </c>
      <c r="O265" s="118">
        <f t="shared" si="46"/>
        <v>26.956143516543037</v>
      </c>
      <c r="P265" s="118">
        <f t="shared" si="46"/>
        <v>29.043504593517564</v>
      </c>
      <c r="Q265" s="118">
        <f t="shared" si="46"/>
        <v>31.31018378157189</v>
      </c>
      <c r="R265" s="118">
        <f t="shared" si="46"/>
        <v>33.756181080706106</v>
      </c>
      <c r="S265" s="118">
        <f t="shared" si="46"/>
        <v>36.381496490920128</v>
      </c>
      <c r="T265" s="118">
        <f t="shared" si="46"/>
        <v>39.186130012214583</v>
      </c>
      <c r="U265" s="118">
        <f t="shared" si="46"/>
        <v>42.170081644588983</v>
      </c>
      <c r="V265" s="118">
        <f t="shared" si="46"/>
        <v>45.333351388042779</v>
      </c>
      <c r="W265" s="118">
        <f t="shared" si="46"/>
        <v>48.675939242577492</v>
      </c>
      <c r="X265" s="118">
        <f t="shared" si="46"/>
        <v>52.197845208191616</v>
      </c>
      <c r="Y265" s="118">
        <f t="shared" si="46"/>
        <v>55.899069284885812</v>
      </c>
      <c r="Z265" s="118">
        <f t="shared" si="46"/>
        <v>59.779611472660079</v>
      </c>
      <c r="AA265" s="118">
        <f t="shared" si="46"/>
        <v>63.839471771514461</v>
      </c>
      <c r="AB265" s="118">
        <f t="shared" si="46"/>
        <v>68.078650181448637</v>
      </c>
      <c r="AC265" s="118">
        <f t="shared" si="46"/>
        <v>72.497146702462899</v>
      </c>
      <c r="AD265" s="118">
        <f t="shared" si="46"/>
        <v>77.094961334555734</v>
      </c>
      <c r="AE265" s="118">
        <f t="shared" si="46"/>
        <v>81.87209407773129</v>
      </c>
      <c r="AF265" s="118">
        <f t="shared" si="46"/>
        <v>86.828544931985689</v>
      </c>
      <c r="AG265" s="118">
        <f t="shared" si="46"/>
        <v>91.964313897319329</v>
      </c>
      <c r="AH265" s="118">
        <f t="shared" si="46"/>
        <v>97.27940097373444</v>
      </c>
      <c r="AI265" s="118">
        <f t="shared" si="46"/>
        <v>102.77380616122798</v>
      </c>
      <c r="AJ265" s="118">
        <f t="shared" si="46"/>
        <v>102.77380616122798</v>
      </c>
      <c r="AK265" s="118">
        <f t="shared" si="46"/>
        <v>102.77380616122798</v>
      </c>
      <c r="AL265" s="118">
        <f t="shared" si="46"/>
        <v>102.77380616122798</v>
      </c>
      <c r="AM265" s="118">
        <f t="shared" si="46"/>
        <v>102.77380616122798</v>
      </c>
      <c r="AN265" s="118">
        <f t="shared" si="46"/>
        <v>102.77380616122798</v>
      </c>
      <c r="AO265" s="118">
        <f t="shared" si="46"/>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5">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5">
      <c r="A267" s="17"/>
      <c r="B267" s="114"/>
      <c r="C267" s="49" t="s">
        <v>94</v>
      </c>
      <c r="D267" s="70" t="s">
        <v>95</v>
      </c>
      <c r="E267" s="108" t="s">
        <v>96</v>
      </c>
      <c r="F267" s="108" t="s">
        <v>97</v>
      </c>
      <c r="G267" s="108" t="s">
        <v>98</v>
      </c>
      <c r="H267" s="108" t="s">
        <v>99</v>
      </c>
      <c r="I267" s="108" t="s">
        <v>100</v>
      </c>
      <c r="J267" s="108" t="s">
        <v>101</v>
      </c>
      <c r="K267" s="108" t="s">
        <v>102</v>
      </c>
      <c r="L267" s="108" t="s">
        <v>103</v>
      </c>
      <c r="M267" s="108" t="s">
        <v>104</v>
      </c>
      <c r="N267" s="108" t="s">
        <v>105</v>
      </c>
      <c r="O267" s="108" t="s">
        <v>106</v>
      </c>
      <c r="P267" s="108" t="s">
        <v>107</v>
      </c>
      <c r="Q267" s="108" t="s">
        <v>108</v>
      </c>
      <c r="R267" s="108" t="s">
        <v>109</v>
      </c>
      <c r="S267" s="108" t="s">
        <v>110</v>
      </c>
      <c r="T267" s="108" t="s">
        <v>111</v>
      </c>
      <c r="U267" s="108" t="s">
        <v>112</v>
      </c>
      <c r="V267" s="108" t="s">
        <v>113</v>
      </c>
      <c r="W267" s="108" t="s">
        <v>114</v>
      </c>
      <c r="X267" s="108" t="s">
        <v>115</v>
      </c>
      <c r="Y267" s="108" t="s">
        <v>116</v>
      </c>
      <c r="Z267" s="108" t="s">
        <v>117</v>
      </c>
      <c r="AA267" s="108" t="s">
        <v>118</v>
      </c>
      <c r="AB267" s="108" t="s">
        <v>119</v>
      </c>
      <c r="AC267" s="108" t="s">
        <v>120</v>
      </c>
      <c r="AD267" s="108" t="s">
        <v>121</v>
      </c>
      <c r="AE267" s="108" t="s">
        <v>122</v>
      </c>
      <c r="AF267" s="108" t="s">
        <v>123</v>
      </c>
      <c r="AG267" s="108" t="s">
        <v>124</v>
      </c>
      <c r="AH267" s="108" t="s">
        <v>125</v>
      </c>
      <c r="AI267" s="108" t="s">
        <v>126</v>
      </c>
      <c r="AJ267" s="108" t="s">
        <v>127</v>
      </c>
      <c r="AK267" s="108" t="s">
        <v>128</v>
      </c>
      <c r="AL267" s="108" t="s">
        <v>129</v>
      </c>
      <c r="AM267" s="108" t="s">
        <v>130</v>
      </c>
      <c r="AN267" s="108" t="s">
        <v>131</v>
      </c>
      <c r="AO267" s="108"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133</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8" t="s">
        <v>95</v>
      </c>
      <c r="C269" s="125"/>
      <c r="D269" s="134">
        <f>IF(D$267=$B269,0,IF(D$267&gt;$B269,-0.5*D$265-0.5*C$265+C269,0.5*HLOOKUP($B269,$D$264:$AO$265,2,FALSE)+0.5*HLOOKUP($B268,$D$264:$AO$265,2,FALSE)+D268))</f>
        <v>0</v>
      </c>
      <c r="E269" s="134">
        <f t="shared" ref="E269:AO269" si="47">IF(E$267=$B269,0,IF(E$267&gt;$B269,-0.5*E$265-0.5*D$265+D269,0.5*HLOOKUP($B269,$D$264:$AO$265,2,FALSE)+0.5*HLOOKUP($B268,$D$264:$AO$265,2,FALSE)+E268))</f>
        <v>-7.9725144281001894</v>
      </c>
      <c r="F269" s="134">
        <f t="shared" si="47"/>
        <v>-24.064633267387727</v>
      </c>
      <c r="G269" s="134">
        <f t="shared" si="47"/>
        <v>-40.540591128389515</v>
      </c>
      <c r="H269" s="134">
        <f t="shared" si="47"/>
        <v>-57.579706122185598</v>
      </c>
      <c r="I269" s="134">
        <f t="shared" si="47"/>
        <v>-75.361296359856027</v>
      </c>
      <c r="J269" s="134">
        <f t="shared" si="47"/>
        <v>-94.064679952480759</v>
      </c>
      <c r="K269" s="134">
        <f t="shared" si="47"/>
        <v>-113.86917501113973</v>
      </c>
      <c r="L269" s="134">
        <f t="shared" si="47"/>
        <v>-134.95409964691299</v>
      </c>
      <c r="M269" s="134">
        <f t="shared" si="47"/>
        <v>-157.4987719708806</v>
      </c>
      <c r="N269" s="134">
        <f t="shared" si="47"/>
        <v>-181.68251009412251</v>
      </c>
      <c r="O269" s="134">
        <f t="shared" si="47"/>
        <v>-207.68463212771857</v>
      </c>
      <c r="P269" s="134">
        <f t="shared" si="47"/>
        <v>-235.68445618274887</v>
      </c>
      <c r="Q269" s="134">
        <f t="shared" si="47"/>
        <v>-265.86130037029358</v>
      </c>
      <c r="R269" s="134">
        <f t="shared" si="47"/>
        <v>-298.39448280143256</v>
      </c>
      <c r="S269" s="134">
        <f t="shared" si="47"/>
        <v>-333.46332158724567</v>
      </c>
      <c r="T269" s="134">
        <f t="shared" si="47"/>
        <v>-371.24713483881305</v>
      </c>
      <c r="U269" s="134">
        <f t="shared" si="47"/>
        <v>-411.92524066721484</v>
      </c>
      <c r="V269" s="134">
        <f t="shared" si="47"/>
        <v>-455.6769571835307</v>
      </c>
      <c r="W269" s="134">
        <f t="shared" si="47"/>
        <v>-502.68160249884085</v>
      </c>
      <c r="X269" s="134">
        <f t="shared" si="47"/>
        <v>-553.11849472422546</v>
      </c>
      <c r="Y269" s="134">
        <f t="shared" si="47"/>
        <v>-607.16695197076422</v>
      </c>
      <c r="Z269" s="134">
        <f t="shared" si="47"/>
        <v>-665.00629234953715</v>
      </c>
      <c r="AA269" s="134">
        <f t="shared" si="47"/>
        <v>-726.81583397162444</v>
      </c>
      <c r="AB269" s="134">
        <f t="shared" si="47"/>
        <v>-792.77489494810595</v>
      </c>
      <c r="AC269" s="134">
        <f t="shared" si="47"/>
        <v>-863.06279339006176</v>
      </c>
      <c r="AD269" s="134">
        <f t="shared" si="47"/>
        <v>-937.85884740857114</v>
      </c>
      <c r="AE269" s="134">
        <f t="shared" si="47"/>
        <v>-1017.3423751147146</v>
      </c>
      <c r="AF269" s="134">
        <f t="shared" si="47"/>
        <v>-1101.6926946195731</v>
      </c>
      <c r="AG269" s="134">
        <f t="shared" si="47"/>
        <v>-1191.0891240342257</v>
      </c>
      <c r="AH269" s="134">
        <f t="shared" si="47"/>
        <v>-1285.7109814697526</v>
      </c>
      <c r="AI269" s="134">
        <f t="shared" si="47"/>
        <v>-1385.7375850372339</v>
      </c>
      <c r="AJ269" s="134">
        <f t="shared" si="47"/>
        <v>-1488.5113911984618</v>
      </c>
      <c r="AK269" s="134">
        <f t="shared" si="47"/>
        <v>-1591.2851973596898</v>
      </c>
      <c r="AL269" s="134">
        <f t="shared" si="47"/>
        <v>-1694.0590035209179</v>
      </c>
      <c r="AM269" s="134">
        <f t="shared" si="47"/>
        <v>-1796.832809682146</v>
      </c>
      <c r="AN269" s="134">
        <f t="shared" si="47"/>
        <v>-1899.6066158433741</v>
      </c>
      <c r="AO269" s="134">
        <f t="shared" si="47"/>
        <v>-2002.3804220046022</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2" t="s">
        <v>96</v>
      </c>
      <c r="C270" s="135"/>
      <c r="D270" s="134">
        <f t="shared" ref="D270:AO270" si="48">IF(D$267=$B270,0,IF(D$267&gt;$B270,-0.5*D$265-0.5*C$265+C270,0.5*HLOOKUP($B270,$D$264:$AO$265,2,FALSE)+0.5*HLOOKUP($B269,$D$264:$AO$265,2,FALSE)+D269))</f>
        <v>7.9725144281001894</v>
      </c>
      <c r="E270" s="134">
        <f t="shared" si="48"/>
        <v>0</v>
      </c>
      <c r="F270" s="134">
        <f t="shared" si="48"/>
        <v>-16.092118839287537</v>
      </c>
      <c r="G270" s="134">
        <f t="shared" si="48"/>
        <v>-32.568076700289325</v>
      </c>
      <c r="H270" s="134">
        <f t="shared" si="48"/>
        <v>-49.607191694085408</v>
      </c>
      <c r="I270" s="134">
        <f t="shared" si="48"/>
        <v>-67.388781931755844</v>
      </c>
      <c r="J270" s="134">
        <f t="shared" si="48"/>
        <v>-86.092165524380576</v>
      </c>
      <c r="K270" s="134">
        <f t="shared" si="48"/>
        <v>-105.89666058303953</v>
      </c>
      <c r="L270" s="134">
        <f t="shared" si="48"/>
        <v>-126.9815852188128</v>
      </c>
      <c r="M270" s="134">
        <f t="shared" si="48"/>
        <v>-149.5262575427804</v>
      </c>
      <c r="N270" s="134">
        <f t="shared" si="48"/>
        <v>-173.70999566602231</v>
      </c>
      <c r="O270" s="134">
        <f t="shared" si="48"/>
        <v>-199.71211769961837</v>
      </c>
      <c r="P270" s="134">
        <f t="shared" si="48"/>
        <v>-227.71194175464868</v>
      </c>
      <c r="Q270" s="134">
        <f t="shared" si="48"/>
        <v>-257.88878594219341</v>
      </c>
      <c r="R270" s="134">
        <f t="shared" si="48"/>
        <v>-290.42196837333239</v>
      </c>
      <c r="S270" s="134">
        <f t="shared" si="48"/>
        <v>-325.4908071591455</v>
      </c>
      <c r="T270" s="134">
        <f t="shared" si="48"/>
        <v>-363.27462041071283</v>
      </c>
      <c r="U270" s="134">
        <f t="shared" si="48"/>
        <v>-403.95272623911461</v>
      </c>
      <c r="V270" s="134">
        <f t="shared" si="48"/>
        <v>-447.70444275543048</v>
      </c>
      <c r="W270" s="134">
        <f t="shared" si="48"/>
        <v>-494.70908807074062</v>
      </c>
      <c r="X270" s="134">
        <f t="shared" si="48"/>
        <v>-545.14598029612512</v>
      </c>
      <c r="Y270" s="134">
        <f t="shared" si="48"/>
        <v>-599.19443754266388</v>
      </c>
      <c r="Z270" s="134">
        <f t="shared" si="48"/>
        <v>-657.03377792143681</v>
      </c>
      <c r="AA270" s="134">
        <f t="shared" si="48"/>
        <v>-718.8433195435241</v>
      </c>
      <c r="AB270" s="134">
        <f t="shared" si="48"/>
        <v>-784.80238052000561</v>
      </c>
      <c r="AC270" s="134">
        <f t="shared" si="48"/>
        <v>-855.09027896196142</v>
      </c>
      <c r="AD270" s="134">
        <f t="shared" si="48"/>
        <v>-929.8863329804708</v>
      </c>
      <c r="AE270" s="134">
        <f t="shared" si="48"/>
        <v>-1009.3698606866143</v>
      </c>
      <c r="AF270" s="134">
        <f t="shared" si="48"/>
        <v>-1093.7201801914728</v>
      </c>
      <c r="AG270" s="134">
        <f t="shared" si="48"/>
        <v>-1183.1166096061252</v>
      </c>
      <c r="AH270" s="134">
        <f t="shared" si="48"/>
        <v>-1277.738467041652</v>
      </c>
      <c r="AI270" s="134">
        <f t="shared" si="48"/>
        <v>-1377.7650706091333</v>
      </c>
      <c r="AJ270" s="134">
        <f t="shared" si="48"/>
        <v>-1480.5388767703612</v>
      </c>
      <c r="AK270" s="134">
        <f t="shared" si="48"/>
        <v>-1583.3126829315893</v>
      </c>
      <c r="AL270" s="134">
        <f t="shared" si="48"/>
        <v>-1686.0864890928174</v>
      </c>
      <c r="AM270" s="134">
        <f t="shared" si="48"/>
        <v>-1788.8602952540455</v>
      </c>
      <c r="AN270" s="134">
        <f t="shared" si="48"/>
        <v>-1891.6341014152736</v>
      </c>
      <c r="AO270" s="134">
        <f t="shared" si="48"/>
        <v>-1994.4079075765017</v>
      </c>
      <c r="AP270" s="99"/>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2" t="s">
        <v>97</v>
      </c>
      <c r="C271" s="135"/>
      <c r="D271" s="134">
        <f t="shared" ref="D271:AO271" si="49">IF(D$267=$B271,0,IF(D$267&gt;$B271,-0.5*D$265-0.5*C$265+C271,0.5*HLOOKUP($B271,$D$264:$AO$265,2,FALSE)+0.5*HLOOKUP($B270,$D$264:$AO$265,2,FALSE)+D270))</f>
        <v>24.064633267387727</v>
      </c>
      <c r="E271" s="134">
        <f t="shared" si="49"/>
        <v>16.092118839287537</v>
      </c>
      <c r="F271" s="134">
        <f t="shared" si="49"/>
        <v>0</v>
      </c>
      <c r="G271" s="134">
        <f t="shared" si="49"/>
        <v>-16.475957861001788</v>
      </c>
      <c r="H271" s="134">
        <f t="shared" si="49"/>
        <v>-33.515072854797872</v>
      </c>
      <c r="I271" s="134">
        <f t="shared" si="49"/>
        <v>-51.296663092468307</v>
      </c>
      <c r="J271" s="134">
        <f t="shared" si="49"/>
        <v>-70.000046685093039</v>
      </c>
      <c r="K271" s="134">
        <f t="shared" si="49"/>
        <v>-89.804541743751997</v>
      </c>
      <c r="L271" s="134">
        <f t="shared" si="49"/>
        <v>-110.88946637952526</v>
      </c>
      <c r="M271" s="134">
        <f t="shared" si="49"/>
        <v>-133.43413870349286</v>
      </c>
      <c r="N271" s="134">
        <f t="shared" si="49"/>
        <v>-157.61787682673477</v>
      </c>
      <c r="O271" s="134">
        <f t="shared" si="49"/>
        <v>-183.61999886033084</v>
      </c>
      <c r="P271" s="134">
        <f t="shared" si="49"/>
        <v>-211.61982291536114</v>
      </c>
      <c r="Q271" s="134">
        <f t="shared" si="49"/>
        <v>-241.79666710290587</v>
      </c>
      <c r="R271" s="134">
        <f t="shared" si="49"/>
        <v>-274.32984953404485</v>
      </c>
      <c r="S271" s="134">
        <f t="shared" si="49"/>
        <v>-309.39868831985797</v>
      </c>
      <c r="T271" s="134">
        <f t="shared" si="49"/>
        <v>-347.18250157142529</v>
      </c>
      <c r="U271" s="134">
        <f t="shared" si="49"/>
        <v>-387.86060739982707</v>
      </c>
      <c r="V271" s="134">
        <f t="shared" si="49"/>
        <v>-431.61232391614294</v>
      </c>
      <c r="W271" s="134">
        <f t="shared" si="49"/>
        <v>-478.61696923145308</v>
      </c>
      <c r="X271" s="134">
        <f t="shared" si="49"/>
        <v>-529.05386145683769</v>
      </c>
      <c r="Y271" s="134">
        <f t="shared" si="49"/>
        <v>-583.10231870337645</v>
      </c>
      <c r="Z271" s="134">
        <f t="shared" si="49"/>
        <v>-640.94165908214939</v>
      </c>
      <c r="AA271" s="134">
        <f t="shared" si="49"/>
        <v>-702.75120070423668</v>
      </c>
      <c r="AB271" s="134">
        <f t="shared" si="49"/>
        <v>-768.71026168071819</v>
      </c>
      <c r="AC271" s="134">
        <f t="shared" si="49"/>
        <v>-838.99816012267399</v>
      </c>
      <c r="AD271" s="134">
        <f t="shared" si="49"/>
        <v>-913.79421414118337</v>
      </c>
      <c r="AE271" s="134">
        <f t="shared" si="49"/>
        <v>-993.27774184732687</v>
      </c>
      <c r="AF271" s="134">
        <f t="shared" si="49"/>
        <v>-1077.6280613521853</v>
      </c>
      <c r="AG271" s="134">
        <f t="shared" si="49"/>
        <v>-1167.024490766838</v>
      </c>
      <c r="AH271" s="134">
        <f t="shared" si="49"/>
        <v>-1261.6463482023648</v>
      </c>
      <c r="AI271" s="134">
        <f t="shared" si="49"/>
        <v>-1361.6729517698461</v>
      </c>
      <c r="AJ271" s="134">
        <f t="shared" si="49"/>
        <v>-1464.446757931074</v>
      </c>
      <c r="AK271" s="134">
        <f t="shared" si="49"/>
        <v>-1567.2205640923021</v>
      </c>
      <c r="AL271" s="134">
        <f t="shared" si="49"/>
        <v>-1669.9943702535302</v>
      </c>
      <c r="AM271" s="134">
        <f t="shared" si="49"/>
        <v>-1772.7681764147583</v>
      </c>
      <c r="AN271" s="134">
        <f t="shared" si="49"/>
        <v>-1875.5419825759864</v>
      </c>
      <c r="AO271" s="134">
        <f t="shared" si="49"/>
        <v>-1978.3157887372145</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2" t="s">
        <v>98</v>
      </c>
      <c r="C272" s="135"/>
      <c r="D272" s="134">
        <f t="shared" ref="D272:AO272" si="50">IF(D$267=$B272,0,IF(D$267&gt;$B272,-0.5*D$265-0.5*C$265+C272,0.5*HLOOKUP($B272,$D$264:$AO$265,2,FALSE)+0.5*HLOOKUP($B271,$D$264:$AO$265,2,FALSE)+D271))</f>
        <v>40.540591128389515</v>
      </c>
      <c r="E272" s="134">
        <f t="shared" si="50"/>
        <v>32.568076700289325</v>
      </c>
      <c r="F272" s="134">
        <f t="shared" si="50"/>
        <v>16.475957861001788</v>
      </c>
      <c r="G272" s="134">
        <f t="shared" si="50"/>
        <v>0</v>
      </c>
      <c r="H272" s="134">
        <f t="shared" si="50"/>
        <v>-17.039114993796083</v>
      </c>
      <c r="I272" s="134">
        <f t="shared" si="50"/>
        <v>-34.820705231466519</v>
      </c>
      <c r="J272" s="134">
        <f t="shared" si="50"/>
        <v>-53.524088824091251</v>
      </c>
      <c r="K272" s="134">
        <f t="shared" si="50"/>
        <v>-73.328583882750223</v>
      </c>
      <c r="L272" s="134">
        <f t="shared" si="50"/>
        <v>-94.413508518523486</v>
      </c>
      <c r="M272" s="134">
        <f t="shared" si="50"/>
        <v>-116.95818084249107</v>
      </c>
      <c r="N272" s="134">
        <f t="shared" si="50"/>
        <v>-141.141918965733</v>
      </c>
      <c r="O272" s="134">
        <f t="shared" si="50"/>
        <v>-167.14404099932906</v>
      </c>
      <c r="P272" s="134">
        <f t="shared" si="50"/>
        <v>-195.14386505435937</v>
      </c>
      <c r="Q272" s="134">
        <f t="shared" si="50"/>
        <v>-225.3207092419041</v>
      </c>
      <c r="R272" s="134">
        <f t="shared" si="50"/>
        <v>-257.85389167304311</v>
      </c>
      <c r="S272" s="134">
        <f t="shared" si="50"/>
        <v>-292.92273045885622</v>
      </c>
      <c r="T272" s="134">
        <f t="shared" si="50"/>
        <v>-330.7065437104236</v>
      </c>
      <c r="U272" s="134">
        <f t="shared" si="50"/>
        <v>-371.38464953882539</v>
      </c>
      <c r="V272" s="134">
        <f t="shared" si="50"/>
        <v>-415.13636605514125</v>
      </c>
      <c r="W272" s="134">
        <f t="shared" si="50"/>
        <v>-462.14101137045139</v>
      </c>
      <c r="X272" s="134">
        <f t="shared" si="50"/>
        <v>-512.57790359583601</v>
      </c>
      <c r="Y272" s="134">
        <f t="shared" si="50"/>
        <v>-566.62636084237477</v>
      </c>
      <c r="Z272" s="134">
        <f t="shared" si="50"/>
        <v>-624.4657012211477</v>
      </c>
      <c r="AA272" s="134">
        <f t="shared" si="50"/>
        <v>-686.27524284323499</v>
      </c>
      <c r="AB272" s="134">
        <f t="shared" si="50"/>
        <v>-752.2343038197165</v>
      </c>
      <c r="AC272" s="134">
        <f t="shared" si="50"/>
        <v>-822.52220226167231</v>
      </c>
      <c r="AD272" s="134">
        <f t="shared" si="50"/>
        <v>-897.31825628018169</v>
      </c>
      <c r="AE272" s="134">
        <f t="shared" si="50"/>
        <v>-976.80178398632518</v>
      </c>
      <c r="AF272" s="134">
        <f t="shared" si="50"/>
        <v>-1061.1521034911837</v>
      </c>
      <c r="AG272" s="134">
        <f t="shared" si="50"/>
        <v>-1150.5485329058361</v>
      </c>
      <c r="AH272" s="134">
        <f t="shared" si="50"/>
        <v>-1245.1703903413629</v>
      </c>
      <c r="AI272" s="134">
        <f t="shared" si="50"/>
        <v>-1345.1969939088442</v>
      </c>
      <c r="AJ272" s="134">
        <f t="shared" si="50"/>
        <v>-1447.9708000700721</v>
      </c>
      <c r="AK272" s="134">
        <f t="shared" si="50"/>
        <v>-1550.7446062313002</v>
      </c>
      <c r="AL272" s="134">
        <f t="shared" si="50"/>
        <v>-1653.5184123925283</v>
      </c>
      <c r="AM272" s="134">
        <f t="shared" si="50"/>
        <v>-1756.2922185537564</v>
      </c>
      <c r="AN272" s="134">
        <f t="shared" si="50"/>
        <v>-1859.0660247149845</v>
      </c>
      <c r="AO272" s="134">
        <f t="shared" si="50"/>
        <v>-1961.8398308762125</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2" t="s">
        <v>99</v>
      </c>
      <c r="C273" s="135"/>
      <c r="D273" s="134">
        <f t="shared" ref="D273:AO273" si="51">IF(D$267=$B273,0,IF(D$267&gt;$B273,-0.5*D$265-0.5*C$265+C273,0.5*HLOOKUP($B273,$D$264:$AO$265,2,FALSE)+0.5*HLOOKUP($B272,$D$264:$AO$265,2,FALSE)+D272))</f>
        <v>57.579706122185598</v>
      </c>
      <c r="E273" s="134">
        <f t="shared" si="51"/>
        <v>49.607191694085408</v>
      </c>
      <c r="F273" s="134">
        <f t="shared" si="51"/>
        <v>33.515072854797872</v>
      </c>
      <c r="G273" s="134">
        <f t="shared" si="51"/>
        <v>17.039114993796083</v>
      </c>
      <c r="H273" s="134">
        <f t="shared" si="51"/>
        <v>0</v>
      </c>
      <c r="I273" s="134">
        <f t="shared" si="51"/>
        <v>-17.781590237670436</v>
      </c>
      <c r="J273" s="134">
        <f t="shared" si="51"/>
        <v>-36.484973830295168</v>
      </c>
      <c r="K273" s="134">
        <f t="shared" si="51"/>
        <v>-56.289468888954133</v>
      </c>
      <c r="L273" s="134">
        <f t="shared" si="51"/>
        <v>-77.374393524727395</v>
      </c>
      <c r="M273" s="134">
        <f t="shared" si="51"/>
        <v>-99.919065848694984</v>
      </c>
      <c r="N273" s="134">
        <f t="shared" si="51"/>
        <v>-124.10280397193689</v>
      </c>
      <c r="O273" s="134">
        <f t="shared" si="51"/>
        <v>-150.10492600553295</v>
      </c>
      <c r="P273" s="134">
        <f t="shared" si="51"/>
        <v>-178.10475006056325</v>
      </c>
      <c r="Q273" s="134">
        <f t="shared" si="51"/>
        <v>-208.28159424810798</v>
      </c>
      <c r="R273" s="134">
        <f t="shared" si="51"/>
        <v>-240.81477667924696</v>
      </c>
      <c r="S273" s="134">
        <f t="shared" si="51"/>
        <v>-275.88361546506007</v>
      </c>
      <c r="T273" s="134">
        <f t="shared" si="51"/>
        <v>-313.66742871662746</v>
      </c>
      <c r="U273" s="134">
        <f t="shared" si="51"/>
        <v>-354.34553454502924</v>
      </c>
      <c r="V273" s="134">
        <f t="shared" si="51"/>
        <v>-398.0972510613451</v>
      </c>
      <c r="W273" s="134">
        <f t="shared" si="51"/>
        <v>-445.10189637665525</v>
      </c>
      <c r="X273" s="134">
        <f t="shared" si="51"/>
        <v>-495.5387886020398</v>
      </c>
      <c r="Y273" s="134">
        <f t="shared" si="51"/>
        <v>-549.5872458485785</v>
      </c>
      <c r="Z273" s="134">
        <f t="shared" si="51"/>
        <v>-607.42658622735144</v>
      </c>
      <c r="AA273" s="134">
        <f t="shared" si="51"/>
        <v>-669.23612784943873</v>
      </c>
      <c r="AB273" s="134">
        <f t="shared" si="51"/>
        <v>-735.19518882592024</v>
      </c>
      <c r="AC273" s="134">
        <f t="shared" si="51"/>
        <v>-805.48308726787604</v>
      </c>
      <c r="AD273" s="134">
        <f t="shared" si="51"/>
        <v>-880.27914128638531</v>
      </c>
      <c r="AE273" s="134">
        <f t="shared" si="51"/>
        <v>-959.7626689925288</v>
      </c>
      <c r="AF273" s="134">
        <f t="shared" si="51"/>
        <v>-1044.1129884973873</v>
      </c>
      <c r="AG273" s="134">
        <f t="shared" si="51"/>
        <v>-1133.5094179120397</v>
      </c>
      <c r="AH273" s="134">
        <f t="shared" si="51"/>
        <v>-1228.1312753475665</v>
      </c>
      <c r="AI273" s="134">
        <f t="shared" si="51"/>
        <v>-1328.1578789150478</v>
      </c>
      <c r="AJ273" s="134">
        <f t="shared" si="51"/>
        <v>-1430.9316850762757</v>
      </c>
      <c r="AK273" s="134">
        <f t="shared" si="51"/>
        <v>-1533.7054912375038</v>
      </c>
      <c r="AL273" s="134">
        <f t="shared" si="51"/>
        <v>-1636.4792973987319</v>
      </c>
      <c r="AM273" s="134">
        <f t="shared" si="51"/>
        <v>-1739.25310355996</v>
      </c>
      <c r="AN273" s="134">
        <f t="shared" si="51"/>
        <v>-1842.0269097211881</v>
      </c>
      <c r="AO273" s="134">
        <f t="shared" si="51"/>
        <v>-1944.8007158824162</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2" t="s">
        <v>100</v>
      </c>
      <c r="C274" s="135"/>
      <c r="D274" s="134">
        <f t="shared" ref="D274:AO274" si="52">IF(D$267=$B274,0,IF(D$267&gt;$B274,-0.5*D$265-0.5*C$265+C274,0.5*HLOOKUP($B274,$D$264:$AO$265,2,FALSE)+0.5*HLOOKUP($B273,$D$264:$AO$265,2,FALSE)+D273))</f>
        <v>75.361296359856027</v>
      </c>
      <c r="E274" s="134">
        <f t="shared" si="52"/>
        <v>67.388781931755844</v>
      </c>
      <c r="F274" s="134">
        <f t="shared" si="52"/>
        <v>51.296663092468307</v>
      </c>
      <c r="G274" s="134">
        <f t="shared" si="52"/>
        <v>34.820705231466519</v>
      </c>
      <c r="H274" s="134">
        <f t="shared" si="52"/>
        <v>17.781590237670436</v>
      </c>
      <c r="I274" s="134">
        <f t="shared" si="52"/>
        <v>0</v>
      </c>
      <c r="J274" s="134">
        <f t="shared" si="52"/>
        <v>-18.703383592624732</v>
      </c>
      <c r="K274" s="134">
        <f t="shared" si="52"/>
        <v>-38.507878651283697</v>
      </c>
      <c r="L274" s="134">
        <f t="shared" si="52"/>
        <v>-59.592803287056952</v>
      </c>
      <c r="M274" s="134">
        <f t="shared" si="52"/>
        <v>-82.137475611024541</v>
      </c>
      <c r="N274" s="134">
        <f t="shared" si="52"/>
        <v>-106.32121373426645</v>
      </c>
      <c r="O274" s="134">
        <f t="shared" si="52"/>
        <v>-132.32333576786252</v>
      </c>
      <c r="P274" s="134">
        <f t="shared" si="52"/>
        <v>-160.32315982289282</v>
      </c>
      <c r="Q274" s="134">
        <f t="shared" si="52"/>
        <v>-190.50000401043755</v>
      </c>
      <c r="R274" s="134">
        <f t="shared" si="52"/>
        <v>-223.03318644157656</v>
      </c>
      <c r="S274" s="134">
        <f t="shared" si="52"/>
        <v>-258.10202522738967</v>
      </c>
      <c r="T274" s="134">
        <f t="shared" si="52"/>
        <v>-295.885838478957</v>
      </c>
      <c r="U274" s="134">
        <f t="shared" si="52"/>
        <v>-336.56394430735878</v>
      </c>
      <c r="V274" s="134">
        <f t="shared" si="52"/>
        <v>-380.31566082367465</v>
      </c>
      <c r="W274" s="134">
        <f t="shared" si="52"/>
        <v>-427.32030613898479</v>
      </c>
      <c r="X274" s="134">
        <f t="shared" si="52"/>
        <v>-477.75719836436934</v>
      </c>
      <c r="Y274" s="134">
        <f t="shared" si="52"/>
        <v>-531.80565561090805</v>
      </c>
      <c r="Z274" s="134">
        <f t="shared" si="52"/>
        <v>-589.64499598968098</v>
      </c>
      <c r="AA274" s="134">
        <f t="shared" si="52"/>
        <v>-651.45453761176827</v>
      </c>
      <c r="AB274" s="134">
        <f t="shared" si="52"/>
        <v>-717.41359858824978</v>
      </c>
      <c r="AC274" s="134">
        <f t="shared" si="52"/>
        <v>-787.70149703020559</v>
      </c>
      <c r="AD274" s="134">
        <f t="shared" si="52"/>
        <v>-862.49755104871497</v>
      </c>
      <c r="AE274" s="134">
        <f t="shared" si="52"/>
        <v>-941.98107875485846</v>
      </c>
      <c r="AF274" s="134">
        <f t="shared" si="52"/>
        <v>-1026.3313982597169</v>
      </c>
      <c r="AG274" s="134">
        <f t="shared" si="52"/>
        <v>-1115.7278276743696</v>
      </c>
      <c r="AH274" s="134">
        <f t="shared" si="52"/>
        <v>-1210.3496851098964</v>
      </c>
      <c r="AI274" s="134">
        <f t="shared" si="52"/>
        <v>-1310.3762886773777</v>
      </c>
      <c r="AJ274" s="134">
        <f t="shared" si="52"/>
        <v>-1413.1500948386056</v>
      </c>
      <c r="AK274" s="134">
        <f t="shared" si="52"/>
        <v>-1515.9239009998337</v>
      </c>
      <c r="AL274" s="134">
        <f t="shared" si="52"/>
        <v>-1618.6977071610618</v>
      </c>
      <c r="AM274" s="134">
        <f t="shared" si="52"/>
        <v>-1721.4715133222899</v>
      </c>
      <c r="AN274" s="134">
        <f t="shared" si="52"/>
        <v>-1824.245319483518</v>
      </c>
      <c r="AO274" s="134">
        <f t="shared" si="52"/>
        <v>-1927.0191256447461</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2" t="s">
        <v>101</v>
      </c>
      <c r="C275" s="135"/>
      <c r="D275" s="134">
        <f t="shared" ref="D275:AO275" si="53">IF(D$267=$B275,0,IF(D$267&gt;$B275,-0.5*D$265-0.5*C$265+C275,0.5*HLOOKUP($B275,$D$264:$AO$265,2,FALSE)+0.5*HLOOKUP($B274,$D$264:$AO$265,2,FALSE)+D274))</f>
        <v>94.064679952480759</v>
      </c>
      <c r="E275" s="134">
        <f t="shared" si="53"/>
        <v>86.092165524380576</v>
      </c>
      <c r="F275" s="134">
        <f t="shared" si="53"/>
        <v>70.000046685093039</v>
      </c>
      <c r="G275" s="134">
        <f t="shared" si="53"/>
        <v>53.524088824091251</v>
      </c>
      <c r="H275" s="134">
        <f t="shared" si="53"/>
        <v>36.484973830295168</v>
      </c>
      <c r="I275" s="134">
        <f t="shared" si="53"/>
        <v>18.703383592624732</v>
      </c>
      <c r="J275" s="134">
        <f t="shared" si="53"/>
        <v>0</v>
      </c>
      <c r="K275" s="134">
        <f t="shared" si="53"/>
        <v>-19.804495058658965</v>
      </c>
      <c r="L275" s="134">
        <f t="shared" si="53"/>
        <v>-40.88941969443222</v>
      </c>
      <c r="M275" s="134">
        <f t="shared" si="53"/>
        <v>-63.434092018399809</v>
      </c>
      <c r="N275" s="134">
        <f t="shared" si="53"/>
        <v>-87.617830141641718</v>
      </c>
      <c r="O275" s="134">
        <f t="shared" si="53"/>
        <v>-113.61995217523778</v>
      </c>
      <c r="P275" s="134">
        <f t="shared" si="53"/>
        <v>-141.61977623026809</v>
      </c>
      <c r="Q275" s="134">
        <f t="shared" si="53"/>
        <v>-171.79662041781282</v>
      </c>
      <c r="R275" s="134">
        <f t="shared" si="53"/>
        <v>-204.32980284895183</v>
      </c>
      <c r="S275" s="134">
        <f t="shared" si="53"/>
        <v>-239.39864163476494</v>
      </c>
      <c r="T275" s="134">
        <f t="shared" si="53"/>
        <v>-277.18245488633227</v>
      </c>
      <c r="U275" s="134">
        <f t="shared" si="53"/>
        <v>-317.86056071473405</v>
      </c>
      <c r="V275" s="134">
        <f t="shared" si="53"/>
        <v>-361.61227723104992</v>
      </c>
      <c r="W275" s="134">
        <f t="shared" si="53"/>
        <v>-408.61692254636006</v>
      </c>
      <c r="X275" s="134">
        <f t="shared" si="53"/>
        <v>-459.05381477174461</v>
      </c>
      <c r="Y275" s="134">
        <f t="shared" si="53"/>
        <v>-513.10227201828332</v>
      </c>
      <c r="Z275" s="134">
        <f t="shared" si="53"/>
        <v>-570.94161239705625</v>
      </c>
      <c r="AA275" s="134">
        <f t="shared" si="53"/>
        <v>-632.75115401914354</v>
      </c>
      <c r="AB275" s="134">
        <f t="shared" si="53"/>
        <v>-698.71021499562505</v>
      </c>
      <c r="AC275" s="134">
        <f t="shared" si="53"/>
        <v>-768.99811343758086</v>
      </c>
      <c r="AD275" s="134">
        <f t="shared" si="53"/>
        <v>-843.79416745609024</v>
      </c>
      <c r="AE275" s="134">
        <f t="shared" si="53"/>
        <v>-923.27769516223373</v>
      </c>
      <c r="AF275" s="134">
        <f t="shared" si="53"/>
        <v>-1007.6280146670922</v>
      </c>
      <c r="AG275" s="134">
        <f t="shared" si="53"/>
        <v>-1097.0244440817446</v>
      </c>
      <c r="AH275" s="134">
        <f t="shared" si="53"/>
        <v>-1191.6463015172715</v>
      </c>
      <c r="AI275" s="134">
        <f t="shared" si="53"/>
        <v>-1291.6729050847528</v>
      </c>
      <c r="AJ275" s="134">
        <f t="shared" si="53"/>
        <v>-1394.4467112459806</v>
      </c>
      <c r="AK275" s="134">
        <f t="shared" si="53"/>
        <v>-1497.2205174072087</v>
      </c>
      <c r="AL275" s="134">
        <f t="shared" si="53"/>
        <v>-1599.9943235684368</v>
      </c>
      <c r="AM275" s="134">
        <f t="shared" si="53"/>
        <v>-1702.7681297296649</v>
      </c>
      <c r="AN275" s="134">
        <f t="shared" si="53"/>
        <v>-1805.541935890893</v>
      </c>
      <c r="AO275" s="134">
        <f t="shared" si="53"/>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2" t="s">
        <v>102</v>
      </c>
      <c r="C276" s="135"/>
      <c r="D276" s="134">
        <f t="shared" ref="D276:AO276" si="54">IF(D$267=$B276,0,IF(D$267&gt;$B276,-0.5*D$265-0.5*C$265+C276,0.5*HLOOKUP($B276,$D$264:$AO$265,2,FALSE)+0.5*HLOOKUP($B275,$D$264:$AO$265,2,FALSE)+D275))</f>
        <v>113.86917501113973</v>
      </c>
      <c r="E276" s="134">
        <f t="shared" si="54"/>
        <v>105.89666058303953</v>
      </c>
      <c r="F276" s="134">
        <f t="shared" si="54"/>
        <v>89.804541743751997</v>
      </c>
      <c r="G276" s="134">
        <f t="shared" si="54"/>
        <v>73.328583882750223</v>
      </c>
      <c r="H276" s="134">
        <f t="shared" si="54"/>
        <v>56.289468888954133</v>
      </c>
      <c r="I276" s="134">
        <f t="shared" si="54"/>
        <v>38.507878651283697</v>
      </c>
      <c r="J276" s="134">
        <f t="shared" si="54"/>
        <v>19.804495058658965</v>
      </c>
      <c r="K276" s="134">
        <f t="shared" si="54"/>
        <v>0</v>
      </c>
      <c r="L276" s="134">
        <f t="shared" si="54"/>
        <v>-21.084924635773255</v>
      </c>
      <c r="M276" s="134">
        <f t="shared" si="54"/>
        <v>-43.629596959740852</v>
      </c>
      <c r="N276" s="134">
        <f t="shared" si="54"/>
        <v>-67.813335082982761</v>
      </c>
      <c r="O276" s="134">
        <f t="shared" si="54"/>
        <v>-93.815457116578813</v>
      </c>
      <c r="P276" s="134">
        <f t="shared" si="54"/>
        <v>-121.81528117160912</v>
      </c>
      <c r="Q276" s="134">
        <f t="shared" si="54"/>
        <v>-151.99212535915385</v>
      </c>
      <c r="R276" s="134">
        <f t="shared" si="54"/>
        <v>-184.52530779029286</v>
      </c>
      <c r="S276" s="134">
        <f t="shared" si="54"/>
        <v>-219.59414657610597</v>
      </c>
      <c r="T276" s="134">
        <f t="shared" si="54"/>
        <v>-257.37795982767329</v>
      </c>
      <c r="U276" s="134">
        <f t="shared" si="54"/>
        <v>-298.05606565607508</v>
      </c>
      <c r="V276" s="134">
        <f t="shared" si="54"/>
        <v>-341.80778217239094</v>
      </c>
      <c r="W276" s="134">
        <f t="shared" si="54"/>
        <v>-388.81242748770109</v>
      </c>
      <c r="X276" s="134">
        <f t="shared" si="54"/>
        <v>-439.24931971308564</v>
      </c>
      <c r="Y276" s="134">
        <f t="shared" si="54"/>
        <v>-493.29777695962434</v>
      </c>
      <c r="Z276" s="134">
        <f t="shared" si="54"/>
        <v>-551.13711733839727</v>
      </c>
      <c r="AA276" s="134">
        <f t="shared" si="54"/>
        <v>-612.94665896048457</v>
      </c>
      <c r="AB276" s="134">
        <f t="shared" si="54"/>
        <v>-678.90571993696608</v>
      </c>
      <c r="AC276" s="134">
        <f t="shared" si="54"/>
        <v>-749.19361837892188</v>
      </c>
      <c r="AD276" s="134">
        <f t="shared" si="54"/>
        <v>-823.98967239743115</v>
      </c>
      <c r="AE276" s="134">
        <f t="shared" si="54"/>
        <v>-903.47320010357464</v>
      </c>
      <c r="AF276" s="134">
        <f t="shared" si="54"/>
        <v>-987.82351960843312</v>
      </c>
      <c r="AG276" s="134">
        <f t="shared" si="54"/>
        <v>-1077.2199490230855</v>
      </c>
      <c r="AH276" s="134">
        <f t="shared" si="54"/>
        <v>-1171.8418064586124</v>
      </c>
      <c r="AI276" s="134">
        <f t="shared" si="54"/>
        <v>-1271.8684100260937</v>
      </c>
      <c r="AJ276" s="134">
        <f t="shared" si="54"/>
        <v>-1374.6422161873215</v>
      </c>
      <c r="AK276" s="134">
        <f t="shared" si="54"/>
        <v>-1477.4160223485496</v>
      </c>
      <c r="AL276" s="134">
        <f t="shared" si="54"/>
        <v>-1580.1898285097777</v>
      </c>
      <c r="AM276" s="134">
        <f t="shared" si="54"/>
        <v>-1682.9636346710058</v>
      </c>
      <c r="AN276" s="134">
        <f t="shared" si="54"/>
        <v>-1785.7374408322339</v>
      </c>
      <c r="AO276" s="134">
        <f t="shared" si="54"/>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2"/>
      <c r="B277" s="112" t="s">
        <v>103</v>
      </c>
      <c r="C277" s="135"/>
      <c r="D277" s="134">
        <f t="shared" ref="D277:AO277" si="55">IF(D$267=$B277,0,IF(D$267&gt;$B277,-0.5*D$265-0.5*C$265+C277,0.5*HLOOKUP($B277,$D$264:$AO$265,2,FALSE)+0.5*HLOOKUP($B276,$D$264:$AO$265,2,FALSE)+D276))</f>
        <v>134.95409964691299</v>
      </c>
      <c r="E277" s="134">
        <f t="shared" si="55"/>
        <v>126.9815852188128</v>
      </c>
      <c r="F277" s="134">
        <f t="shared" si="55"/>
        <v>110.88946637952526</v>
      </c>
      <c r="G277" s="134">
        <f t="shared" si="55"/>
        <v>94.413508518523486</v>
      </c>
      <c r="H277" s="134">
        <f t="shared" si="55"/>
        <v>77.374393524727395</v>
      </c>
      <c r="I277" s="134">
        <f t="shared" si="55"/>
        <v>59.592803287056952</v>
      </c>
      <c r="J277" s="134">
        <f t="shared" si="55"/>
        <v>40.88941969443222</v>
      </c>
      <c r="K277" s="134">
        <f t="shared" si="55"/>
        <v>21.084924635773255</v>
      </c>
      <c r="L277" s="134">
        <f t="shared" si="55"/>
        <v>0</v>
      </c>
      <c r="M277" s="134">
        <f t="shared" si="55"/>
        <v>-22.544672323967593</v>
      </c>
      <c r="N277" s="134">
        <f t="shared" si="55"/>
        <v>-46.728410447209505</v>
      </c>
      <c r="O277" s="134">
        <f t="shared" si="55"/>
        <v>-72.730532480805564</v>
      </c>
      <c r="P277" s="134">
        <f t="shared" si="55"/>
        <v>-100.73035653583587</v>
      </c>
      <c r="Q277" s="134">
        <f t="shared" si="55"/>
        <v>-130.90720072338058</v>
      </c>
      <c r="R277" s="134">
        <f t="shared" si="55"/>
        <v>-163.44038315451957</v>
      </c>
      <c r="S277" s="134">
        <f t="shared" si="55"/>
        <v>-198.50922194033268</v>
      </c>
      <c r="T277" s="134">
        <f t="shared" si="55"/>
        <v>-236.29303519190003</v>
      </c>
      <c r="U277" s="134">
        <f t="shared" si="55"/>
        <v>-276.97114102030184</v>
      </c>
      <c r="V277" s="134">
        <f t="shared" si="55"/>
        <v>-320.72285753661771</v>
      </c>
      <c r="W277" s="134">
        <f t="shared" si="55"/>
        <v>-367.72750285192785</v>
      </c>
      <c r="X277" s="134">
        <f t="shared" si="55"/>
        <v>-418.16439507731241</v>
      </c>
      <c r="Y277" s="134">
        <f t="shared" si="55"/>
        <v>-472.21285232385111</v>
      </c>
      <c r="Z277" s="134">
        <f t="shared" si="55"/>
        <v>-530.0521927026241</v>
      </c>
      <c r="AA277" s="134">
        <f t="shared" si="55"/>
        <v>-591.86173432471139</v>
      </c>
      <c r="AB277" s="134">
        <f t="shared" si="55"/>
        <v>-657.8207953011929</v>
      </c>
      <c r="AC277" s="134">
        <f t="shared" si="55"/>
        <v>-728.10869374314871</v>
      </c>
      <c r="AD277" s="134">
        <f t="shared" si="55"/>
        <v>-802.90474776165797</v>
      </c>
      <c r="AE277" s="134">
        <f t="shared" si="55"/>
        <v>-882.38827546780146</v>
      </c>
      <c r="AF277" s="134">
        <f t="shared" si="55"/>
        <v>-966.73859497265994</v>
      </c>
      <c r="AG277" s="134">
        <f t="shared" si="55"/>
        <v>-1056.1350243873126</v>
      </c>
      <c r="AH277" s="134">
        <f t="shared" si="55"/>
        <v>-1150.7568818228394</v>
      </c>
      <c r="AI277" s="134">
        <f t="shared" si="55"/>
        <v>-1250.7834853903207</v>
      </c>
      <c r="AJ277" s="134">
        <f t="shared" si="55"/>
        <v>-1353.5572915515486</v>
      </c>
      <c r="AK277" s="134">
        <f t="shared" si="55"/>
        <v>-1456.3310977127767</v>
      </c>
      <c r="AL277" s="134">
        <f t="shared" si="55"/>
        <v>-1559.1049038740048</v>
      </c>
      <c r="AM277" s="134">
        <f t="shared" si="55"/>
        <v>-1661.8787100352329</v>
      </c>
      <c r="AN277" s="134">
        <f t="shared" si="55"/>
        <v>-1764.652516196461</v>
      </c>
      <c r="AO277" s="134">
        <f t="shared" si="55"/>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5">
      <c r="A278" s="102"/>
      <c r="B278" s="112" t="s">
        <v>104</v>
      </c>
      <c r="C278" s="135"/>
      <c r="D278" s="134">
        <f t="shared" ref="D278:AO278" si="56">IF(D$267=$B278,0,IF(D$267&gt;$B278,-0.5*D$265-0.5*C$265+C278,0.5*HLOOKUP($B278,$D$264:$AO$265,2,FALSE)+0.5*HLOOKUP($B277,$D$264:$AO$265,2,FALSE)+D277))</f>
        <v>157.4987719708806</v>
      </c>
      <c r="E278" s="134">
        <f t="shared" si="56"/>
        <v>149.5262575427804</v>
      </c>
      <c r="F278" s="134">
        <f t="shared" si="56"/>
        <v>133.43413870349286</v>
      </c>
      <c r="G278" s="134">
        <f t="shared" si="56"/>
        <v>116.95818084249107</v>
      </c>
      <c r="H278" s="134">
        <f t="shared" si="56"/>
        <v>99.919065848694984</v>
      </c>
      <c r="I278" s="134">
        <f t="shared" si="56"/>
        <v>82.137475611024541</v>
      </c>
      <c r="J278" s="134">
        <f t="shared" si="56"/>
        <v>63.434092018399809</v>
      </c>
      <c r="K278" s="134">
        <f t="shared" si="56"/>
        <v>43.629596959740852</v>
      </c>
      <c r="L278" s="134">
        <f t="shared" si="56"/>
        <v>22.544672323967593</v>
      </c>
      <c r="M278" s="134">
        <f t="shared" si="56"/>
        <v>0</v>
      </c>
      <c r="N278" s="134">
        <f t="shared" si="56"/>
        <v>-24.183738123241913</v>
      </c>
      <c r="O278" s="134">
        <f t="shared" si="56"/>
        <v>-50.185860156837975</v>
      </c>
      <c r="P278" s="134">
        <f t="shared" si="56"/>
        <v>-78.185684211868278</v>
      </c>
      <c r="Q278" s="134">
        <f t="shared" si="56"/>
        <v>-108.36252839941301</v>
      </c>
      <c r="R278" s="134">
        <f t="shared" si="56"/>
        <v>-140.89571083055199</v>
      </c>
      <c r="S278" s="134">
        <f t="shared" si="56"/>
        <v>-175.9645496163651</v>
      </c>
      <c r="T278" s="134">
        <f t="shared" si="56"/>
        <v>-213.74836286793246</v>
      </c>
      <c r="U278" s="134">
        <f t="shared" si="56"/>
        <v>-254.42646869633424</v>
      </c>
      <c r="V278" s="134">
        <f t="shared" si="56"/>
        <v>-298.17818521265013</v>
      </c>
      <c r="W278" s="134">
        <f t="shared" si="56"/>
        <v>-345.18283052796028</v>
      </c>
      <c r="X278" s="134">
        <f t="shared" si="56"/>
        <v>-395.61972275334483</v>
      </c>
      <c r="Y278" s="134">
        <f t="shared" si="56"/>
        <v>-449.66817999988353</v>
      </c>
      <c r="Z278" s="134">
        <f t="shared" si="56"/>
        <v>-507.50752037865647</v>
      </c>
      <c r="AA278" s="134">
        <f t="shared" si="56"/>
        <v>-569.3170620007437</v>
      </c>
      <c r="AB278" s="134">
        <f t="shared" si="56"/>
        <v>-635.27612297722521</v>
      </c>
      <c r="AC278" s="134">
        <f t="shared" si="56"/>
        <v>-705.56402141918102</v>
      </c>
      <c r="AD278" s="134">
        <f t="shared" si="56"/>
        <v>-780.36007543769028</v>
      </c>
      <c r="AE278" s="134">
        <f t="shared" si="56"/>
        <v>-859.84360314383377</v>
      </c>
      <c r="AF278" s="134">
        <f t="shared" si="56"/>
        <v>-944.19392264869225</v>
      </c>
      <c r="AG278" s="134">
        <f t="shared" si="56"/>
        <v>-1033.5903520633447</v>
      </c>
      <c r="AH278" s="134">
        <f t="shared" si="56"/>
        <v>-1128.2122094988715</v>
      </c>
      <c r="AI278" s="134">
        <f t="shared" si="56"/>
        <v>-1228.2388130663528</v>
      </c>
      <c r="AJ278" s="134">
        <f t="shared" si="56"/>
        <v>-1331.0126192275807</v>
      </c>
      <c r="AK278" s="134">
        <f t="shared" si="56"/>
        <v>-1433.7864253888088</v>
      </c>
      <c r="AL278" s="134">
        <f t="shared" si="56"/>
        <v>-1536.5602315500369</v>
      </c>
      <c r="AM278" s="134">
        <f t="shared" si="56"/>
        <v>-1639.334037711265</v>
      </c>
      <c r="AN278" s="134">
        <f t="shared" si="56"/>
        <v>-1742.107843872493</v>
      </c>
      <c r="AO278" s="134">
        <f t="shared" si="56"/>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5">
      <c r="A279" s="102"/>
      <c r="B279" s="112" t="s">
        <v>105</v>
      </c>
      <c r="C279" s="135"/>
      <c r="D279" s="134">
        <f t="shared" ref="D279:AO279" si="57">IF(D$267=$B279,0,IF(D$267&gt;$B279,-0.5*D$265-0.5*C$265+C279,0.5*HLOOKUP($B279,$D$264:$AO$265,2,FALSE)+0.5*HLOOKUP($B278,$D$264:$AO$265,2,FALSE)+D278))</f>
        <v>181.68251009412251</v>
      </c>
      <c r="E279" s="134">
        <f t="shared" si="57"/>
        <v>173.70999566602231</v>
      </c>
      <c r="F279" s="134">
        <f t="shared" si="57"/>
        <v>157.61787682673477</v>
      </c>
      <c r="G279" s="134">
        <f t="shared" si="57"/>
        <v>141.141918965733</v>
      </c>
      <c r="H279" s="134">
        <f t="shared" si="57"/>
        <v>124.10280397193689</v>
      </c>
      <c r="I279" s="134">
        <f t="shared" si="57"/>
        <v>106.32121373426645</v>
      </c>
      <c r="J279" s="134">
        <f t="shared" si="57"/>
        <v>87.617830141641718</v>
      </c>
      <c r="K279" s="134">
        <f t="shared" si="57"/>
        <v>67.813335082982761</v>
      </c>
      <c r="L279" s="134">
        <f t="shared" si="57"/>
        <v>46.728410447209505</v>
      </c>
      <c r="M279" s="134">
        <f t="shared" si="57"/>
        <v>24.183738123241913</v>
      </c>
      <c r="N279" s="134">
        <f t="shared" si="57"/>
        <v>0</v>
      </c>
      <c r="O279" s="134">
        <f t="shared" si="57"/>
        <v>-26.002122033596059</v>
      </c>
      <c r="P279" s="134">
        <f t="shared" si="57"/>
        <v>-54.001946088626362</v>
      </c>
      <c r="Q279" s="134">
        <f t="shared" si="57"/>
        <v>-84.178790276171085</v>
      </c>
      <c r="R279" s="134">
        <f t="shared" si="57"/>
        <v>-116.71197270731008</v>
      </c>
      <c r="S279" s="134">
        <f t="shared" si="57"/>
        <v>-151.7808114931232</v>
      </c>
      <c r="T279" s="134">
        <f t="shared" si="57"/>
        <v>-189.56462474469055</v>
      </c>
      <c r="U279" s="134">
        <f t="shared" si="57"/>
        <v>-230.24273057309233</v>
      </c>
      <c r="V279" s="134">
        <f t="shared" si="57"/>
        <v>-273.9944470894082</v>
      </c>
      <c r="W279" s="134">
        <f t="shared" si="57"/>
        <v>-320.99909240471834</v>
      </c>
      <c r="X279" s="134">
        <f t="shared" si="57"/>
        <v>-371.43598463010289</v>
      </c>
      <c r="Y279" s="134">
        <f t="shared" si="57"/>
        <v>-425.4844418766416</v>
      </c>
      <c r="Z279" s="134">
        <f t="shared" si="57"/>
        <v>-483.32378225541453</v>
      </c>
      <c r="AA279" s="134">
        <f t="shared" si="57"/>
        <v>-545.13332387750177</v>
      </c>
      <c r="AB279" s="134">
        <f t="shared" si="57"/>
        <v>-611.09238485398328</v>
      </c>
      <c r="AC279" s="134">
        <f t="shared" si="57"/>
        <v>-681.38028329593908</v>
      </c>
      <c r="AD279" s="134">
        <f t="shared" si="57"/>
        <v>-756.17633731444835</v>
      </c>
      <c r="AE279" s="134">
        <f t="shared" si="57"/>
        <v>-835.65986502059184</v>
      </c>
      <c r="AF279" s="134">
        <f t="shared" si="57"/>
        <v>-920.01018452545031</v>
      </c>
      <c r="AG279" s="134">
        <f t="shared" si="57"/>
        <v>-1009.4066139401028</v>
      </c>
      <c r="AH279" s="134">
        <f t="shared" si="57"/>
        <v>-1104.0284713756298</v>
      </c>
      <c r="AI279" s="134">
        <f t="shared" si="57"/>
        <v>-1204.0550749431111</v>
      </c>
      <c r="AJ279" s="134">
        <f t="shared" si="57"/>
        <v>-1306.828881104339</v>
      </c>
      <c r="AK279" s="134">
        <f t="shared" si="57"/>
        <v>-1409.6026872655671</v>
      </c>
      <c r="AL279" s="134">
        <f t="shared" si="57"/>
        <v>-1512.3764934267952</v>
      </c>
      <c r="AM279" s="134">
        <f t="shared" si="57"/>
        <v>-1615.1502995880232</v>
      </c>
      <c r="AN279" s="134">
        <f t="shared" si="57"/>
        <v>-1717.9241057492513</v>
      </c>
      <c r="AO279" s="134">
        <f t="shared" si="57"/>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5">
      <c r="A280" s="102"/>
      <c r="B280" s="112" t="s">
        <v>106</v>
      </c>
      <c r="C280" s="135"/>
      <c r="D280" s="134">
        <f t="shared" ref="D280:AO280" si="58">IF(D$267=$B280,0,IF(D$267&gt;$B280,-0.5*D$265-0.5*C$265+C280,0.5*HLOOKUP($B280,$D$264:$AO$265,2,FALSE)+0.5*HLOOKUP($B279,$D$264:$AO$265,2,FALSE)+D279))</f>
        <v>207.68463212771857</v>
      </c>
      <c r="E280" s="134">
        <f t="shared" si="58"/>
        <v>199.71211769961837</v>
      </c>
      <c r="F280" s="134">
        <f t="shared" si="58"/>
        <v>183.61999886033084</v>
      </c>
      <c r="G280" s="134">
        <f t="shared" si="58"/>
        <v>167.14404099932906</v>
      </c>
      <c r="H280" s="134">
        <f t="shared" si="58"/>
        <v>150.10492600553295</v>
      </c>
      <c r="I280" s="134">
        <f t="shared" si="58"/>
        <v>132.32333576786252</v>
      </c>
      <c r="J280" s="134">
        <f t="shared" si="58"/>
        <v>113.61995217523778</v>
      </c>
      <c r="K280" s="134">
        <f t="shared" si="58"/>
        <v>93.815457116578813</v>
      </c>
      <c r="L280" s="134">
        <f t="shared" si="58"/>
        <v>72.730532480805564</v>
      </c>
      <c r="M280" s="134">
        <f t="shared" si="58"/>
        <v>50.185860156837975</v>
      </c>
      <c r="N280" s="134">
        <f t="shared" si="58"/>
        <v>26.002122033596059</v>
      </c>
      <c r="O280" s="134">
        <f t="shared" si="58"/>
        <v>0</v>
      </c>
      <c r="P280" s="134">
        <f t="shared" si="58"/>
        <v>-27.999824055030302</v>
      </c>
      <c r="Q280" s="134">
        <f t="shared" si="58"/>
        <v>-58.176668242575033</v>
      </c>
      <c r="R280" s="134">
        <f t="shared" si="58"/>
        <v>-90.70985067371403</v>
      </c>
      <c r="S280" s="134">
        <f t="shared" si="58"/>
        <v>-125.77868945952714</v>
      </c>
      <c r="T280" s="134">
        <f t="shared" si="58"/>
        <v>-163.56250271109451</v>
      </c>
      <c r="U280" s="134">
        <f t="shared" si="58"/>
        <v>-204.24060853949629</v>
      </c>
      <c r="V280" s="134">
        <f t="shared" si="58"/>
        <v>-247.99232505581216</v>
      </c>
      <c r="W280" s="134">
        <f t="shared" si="58"/>
        <v>-294.9969703711223</v>
      </c>
      <c r="X280" s="134">
        <f t="shared" si="58"/>
        <v>-345.43386259650686</v>
      </c>
      <c r="Y280" s="134">
        <f t="shared" si="58"/>
        <v>-399.48231984304556</v>
      </c>
      <c r="Z280" s="134">
        <f t="shared" si="58"/>
        <v>-457.32166022181849</v>
      </c>
      <c r="AA280" s="134">
        <f t="shared" si="58"/>
        <v>-519.13120184390573</v>
      </c>
      <c r="AB280" s="134">
        <f t="shared" si="58"/>
        <v>-585.09026282038724</v>
      </c>
      <c r="AC280" s="134">
        <f t="shared" si="58"/>
        <v>-655.37816126234304</v>
      </c>
      <c r="AD280" s="134">
        <f t="shared" si="58"/>
        <v>-730.17421528085242</v>
      </c>
      <c r="AE280" s="134">
        <f t="shared" si="58"/>
        <v>-809.65774298699591</v>
      </c>
      <c r="AF280" s="134">
        <f t="shared" si="58"/>
        <v>-894.00806249185439</v>
      </c>
      <c r="AG280" s="134">
        <f t="shared" si="58"/>
        <v>-983.40449190650691</v>
      </c>
      <c r="AH280" s="134">
        <f t="shared" si="58"/>
        <v>-1078.0263493420339</v>
      </c>
      <c r="AI280" s="134">
        <f t="shared" si="58"/>
        <v>-1178.0529529095152</v>
      </c>
      <c r="AJ280" s="134">
        <f t="shared" si="58"/>
        <v>-1280.8267590707433</v>
      </c>
      <c r="AK280" s="134">
        <f t="shared" si="58"/>
        <v>-1383.6005652319714</v>
      </c>
      <c r="AL280" s="134">
        <f t="shared" si="58"/>
        <v>-1486.3743713931995</v>
      </c>
      <c r="AM280" s="134">
        <f t="shared" si="58"/>
        <v>-1589.1481775544275</v>
      </c>
      <c r="AN280" s="134">
        <f t="shared" si="58"/>
        <v>-1691.9219837156556</v>
      </c>
      <c r="AO280" s="134">
        <f t="shared" si="58"/>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5">
      <c r="A281" s="102"/>
      <c r="B281" s="112" t="s">
        <v>107</v>
      </c>
      <c r="C281" s="135"/>
      <c r="D281" s="134">
        <f t="shared" ref="D281:AO281" si="59">IF(D$267=$B281,0,IF(D$267&gt;$B281,-0.5*D$265-0.5*C$265+C281,0.5*HLOOKUP($B281,$D$264:$AO$265,2,FALSE)+0.5*HLOOKUP($B280,$D$264:$AO$265,2,FALSE)+D280))</f>
        <v>235.68445618274887</v>
      </c>
      <c r="E281" s="134">
        <f t="shared" si="59"/>
        <v>227.71194175464868</v>
      </c>
      <c r="F281" s="134">
        <f t="shared" si="59"/>
        <v>211.61982291536114</v>
      </c>
      <c r="G281" s="134">
        <f t="shared" si="59"/>
        <v>195.14386505435937</v>
      </c>
      <c r="H281" s="134">
        <f t="shared" si="59"/>
        <v>178.10475006056325</v>
      </c>
      <c r="I281" s="134">
        <f t="shared" si="59"/>
        <v>160.32315982289282</v>
      </c>
      <c r="J281" s="134">
        <f t="shared" si="59"/>
        <v>141.61977623026809</v>
      </c>
      <c r="K281" s="134">
        <f t="shared" si="59"/>
        <v>121.81528117160912</v>
      </c>
      <c r="L281" s="134">
        <f t="shared" si="59"/>
        <v>100.73035653583587</v>
      </c>
      <c r="M281" s="134">
        <f t="shared" si="59"/>
        <v>78.185684211868278</v>
      </c>
      <c r="N281" s="134">
        <f t="shared" si="59"/>
        <v>54.001946088626362</v>
      </c>
      <c r="O281" s="134">
        <f t="shared" si="59"/>
        <v>27.999824055030302</v>
      </c>
      <c r="P281" s="134">
        <f t="shared" si="59"/>
        <v>0</v>
      </c>
      <c r="Q281" s="134">
        <f t="shared" si="59"/>
        <v>-30.176844187544727</v>
      </c>
      <c r="R281" s="134">
        <f t="shared" si="59"/>
        <v>-62.710026618683727</v>
      </c>
      <c r="S281" s="134">
        <f t="shared" si="59"/>
        <v>-97.778865404496841</v>
      </c>
      <c r="T281" s="134">
        <f t="shared" si="59"/>
        <v>-135.56267865606418</v>
      </c>
      <c r="U281" s="134">
        <f t="shared" si="59"/>
        <v>-176.24078448446596</v>
      </c>
      <c r="V281" s="134">
        <f t="shared" si="59"/>
        <v>-219.99250100078183</v>
      </c>
      <c r="W281" s="134">
        <f t="shared" si="59"/>
        <v>-266.99714631609197</v>
      </c>
      <c r="X281" s="134">
        <f t="shared" si="59"/>
        <v>-317.43403854147653</v>
      </c>
      <c r="Y281" s="134">
        <f t="shared" si="59"/>
        <v>-371.48249578801523</v>
      </c>
      <c r="Z281" s="134">
        <f t="shared" si="59"/>
        <v>-429.32183616678816</v>
      </c>
      <c r="AA281" s="134">
        <f t="shared" si="59"/>
        <v>-491.1313777888754</v>
      </c>
      <c r="AB281" s="134">
        <f t="shared" si="59"/>
        <v>-557.09043876535691</v>
      </c>
      <c r="AC281" s="134">
        <f t="shared" si="59"/>
        <v>-627.37833720731271</v>
      </c>
      <c r="AD281" s="134">
        <f t="shared" si="59"/>
        <v>-702.17439122582209</v>
      </c>
      <c r="AE281" s="134">
        <f t="shared" si="59"/>
        <v>-781.65791893196558</v>
      </c>
      <c r="AF281" s="134">
        <f t="shared" si="59"/>
        <v>-866.00823843682406</v>
      </c>
      <c r="AG281" s="134">
        <f t="shared" si="59"/>
        <v>-955.40466785147657</v>
      </c>
      <c r="AH281" s="134">
        <f t="shared" si="59"/>
        <v>-1050.0265252870036</v>
      </c>
      <c r="AI281" s="134">
        <f t="shared" si="59"/>
        <v>-1150.0531288544848</v>
      </c>
      <c r="AJ281" s="134">
        <f t="shared" si="59"/>
        <v>-1252.8269350157129</v>
      </c>
      <c r="AK281" s="134">
        <f t="shared" si="59"/>
        <v>-1355.600741176941</v>
      </c>
      <c r="AL281" s="134">
        <f t="shared" si="59"/>
        <v>-1458.3745473381691</v>
      </c>
      <c r="AM281" s="134">
        <f t="shared" si="59"/>
        <v>-1561.1483534993972</v>
      </c>
      <c r="AN281" s="134">
        <f t="shared" si="59"/>
        <v>-1663.9221596606253</v>
      </c>
      <c r="AO281" s="134">
        <f t="shared" si="59"/>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5">
      <c r="A282" s="102"/>
      <c r="B282" s="112" t="s">
        <v>108</v>
      </c>
      <c r="C282" s="135"/>
      <c r="D282" s="134">
        <f t="shared" ref="D282:AO282" si="60">IF(D$267=$B282,0,IF(D$267&gt;$B282,-0.5*D$265-0.5*C$265+C282,0.5*HLOOKUP($B282,$D$264:$AO$265,2,FALSE)+0.5*HLOOKUP($B281,$D$264:$AO$265,2,FALSE)+D281))</f>
        <v>265.86130037029358</v>
      </c>
      <c r="E282" s="134">
        <f t="shared" si="60"/>
        <v>257.88878594219341</v>
      </c>
      <c r="F282" s="134">
        <f t="shared" si="60"/>
        <v>241.79666710290587</v>
      </c>
      <c r="G282" s="134">
        <f t="shared" si="60"/>
        <v>225.3207092419041</v>
      </c>
      <c r="H282" s="134">
        <f t="shared" si="60"/>
        <v>208.28159424810798</v>
      </c>
      <c r="I282" s="134">
        <f t="shared" si="60"/>
        <v>190.50000401043755</v>
      </c>
      <c r="J282" s="134">
        <f t="shared" si="60"/>
        <v>171.79662041781282</v>
      </c>
      <c r="K282" s="134">
        <f t="shared" si="60"/>
        <v>151.99212535915385</v>
      </c>
      <c r="L282" s="134">
        <f t="shared" si="60"/>
        <v>130.90720072338058</v>
      </c>
      <c r="M282" s="134">
        <f t="shared" si="60"/>
        <v>108.36252839941301</v>
      </c>
      <c r="N282" s="134">
        <f t="shared" si="60"/>
        <v>84.178790276171085</v>
      </c>
      <c r="O282" s="134">
        <f t="shared" si="60"/>
        <v>58.176668242575033</v>
      </c>
      <c r="P282" s="134">
        <f t="shared" si="60"/>
        <v>30.176844187544727</v>
      </c>
      <c r="Q282" s="134">
        <f t="shared" si="60"/>
        <v>0</v>
      </c>
      <c r="R282" s="134">
        <f t="shared" si="60"/>
        <v>-32.533182431138997</v>
      </c>
      <c r="S282" s="134">
        <f t="shared" si="60"/>
        <v>-67.60202121695211</v>
      </c>
      <c r="T282" s="134">
        <f t="shared" si="60"/>
        <v>-105.38583446851946</v>
      </c>
      <c r="U282" s="134">
        <f t="shared" si="60"/>
        <v>-146.06394029692126</v>
      </c>
      <c r="V282" s="134">
        <f t="shared" si="60"/>
        <v>-189.81565681323713</v>
      </c>
      <c r="W282" s="134">
        <f t="shared" si="60"/>
        <v>-236.82030212854727</v>
      </c>
      <c r="X282" s="134">
        <f t="shared" si="60"/>
        <v>-287.25719435393182</v>
      </c>
      <c r="Y282" s="134">
        <f t="shared" si="60"/>
        <v>-341.30565160047053</v>
      </c>
      <c r="Z282" s="134">
        <f t="shared" si="60"/>
        <v>-399.14499197924346</v>
      </c>
      <c r="AA282" s="134">
        <f t="shared" si="60"/>
        <v>-460.9545336013307</v>
      </c>
      <c r="AB282" s="134">
        <f t="shared" si="60"/>
        <v>-526.9135945778122</v>
      </c>
      <c r="AC282" s="134">
        <f t="shared" si="60"/>
        <v>-597.20149301976801</v>
      </c>
      <c r="AD282" s="134">
        <f t="shared" si="60"/>
        <v>-671.99754703827739</v>
      </c>
      <c r="AE282" s="134">
        <f t="shared" si="60"/>
        <v>-751.48107474442088</v>
      </c>
      <c r="AF282" s="134">
        <f t="shared" si="60"/>
        <v>-835.83139424927936</v>
      </c>
      <c r="AG282" s="134">
        <f t="shared" si="60"/>
        <v>-925.22782366393187</v>
      </c>
      <c r="AH282" s="134">
        <f t="shared" si="60"/>
        <v>-1019.8496810994587</v>
      </c>
      <c r="AI282" s="134">
        <f t="shared" si="60"/>
        <v>-1119.8762846669399</v>
      </c>
      <c r="AJ282" s="134">
        <f t="shared" si="60"/>
        <v>-1222.6500908281678</v>
      </c>
      <c r="AK282" s="134">
        <f t="shared" si="60"/>
        <v>-1325.4238969893959</v>
      </c>
      <c r="AL282" s="134">
        <f t="shared" si="60"/>
        <v>-1428.197703150624</v>
      </c>
      <c r="AM282" s="134">
        <f t="shared" si="60"/>
        <v>-1530.9715093118521</v>
      </c>
      <c r="AN282" s="134">
        <f t="shared" si="60"/>
        <v>-1633.7453154730802</v>
      </c>
      <c r="AO282" s="134">
        <f t="shared" si="6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5">
      <c r="A283" s="102"/>
      <c r="B283" s="112" t="s">
        <v>109</v>
      </c>
      <c r="C283" s="135"/>
      <c r="D283" s="134">
        <f t="shared" ref="D283:AO283" si="61">IF(D$267=$B283,0,IF(D$267&gt;$B283,-0.5*D$265-0.5*C$265+C283,0.5*HLOOKUP($B283,$D$264:$AO$265,2,FALSE)+0.5*HLOOKUP($B282,$D$264:$AO$265,2,FALSE)+D282))</f>
        <v>298.39448280143256</v>
      </c>
      <c r="E283" s="134">
        <f t="shared" si="61"/>
        <v>290.42196837333239</v>
      </c>
      <c r="F283" s="134">
        <f t="shared" si="61"/>
        <v>274.32984953404485</v>
      </c>
      <c r="G283" s="134">
        <f t="shared" si="61"/>
        <v>257.85389167304311</v>
      </c>
      <c r="H283" s="134">
        <f t="shared" si="61"/>
        <v>240.81477667924696</v>
      </c>
      <c r="I283" s="134">
        <f t="shared" si="61"/>
        <v>223.03318644157656</v>
      </c>
      <c r="J283" s="134">
        <f t="shared" si="61"/>
        <v>204.32980284895183</v>
      </c>
      <c r="K283" s="134">
        <f t="shared" si="61"/>
        <v>184.52530779029286</v>
      </c>
      <c r="L283" s="134">
        <f t="shared" si="61"/>
        <v>163.44038315451957</v>
      </c>
      <c r="M283" s="134">
        <f t="shared" si="61"/>
        <v>140.89571083055199</v>
      </c>
      <c r="N283" s="134">
        <f t="shared" si="61"/>
        <v>116.71197270731008</v>
      </c>
      <c r="O283" s="134">
        <f t="shared" si="61"/>
        <v>90.70985067371403</v>
      </c>
      <c r="P283" s="134">
        <f t="shared" si="61"/>
        <v>62.710026618683727</v>
      </c>
      <c r="Q283" s="134">
        <f t="shared" si="61"/>
        <v>32.533182431138997</v>
      </c>
      <c r="R283" s="134">
        <f t="shared" si="61"/>
        <v>0</v>
      </c>
      <c r="S283" s="134">
        <f t="shared" si="61"/>
        <v>-35.068838785813114</v>
      </c>
      <c r="T283" s="134">
        <f t="shared" si="61"/>
        <v>-72.852652037380466</v>
      </c>
      <c r="U283" s="134">
        <f t="shared" si="61"/>
        <v>-113.53075786578225</v>
      </c>
      <c r="V283" s="134">
        <f t="shared" si="61"/>
        <v>-157.28247438209814</v>
      </c>
      <c r="W283" s="134">
        <f t="shared" si="61"/>
        <v>-204.28711969740829</v>
      </c>
      <c r="X283" s="134">
        <f t="shared" si="61"/>
        <v>-254.72401192279284</v>
      </c>
      <c r="Y283" s="134">
        <f t="shared" si="61"/>
        <v>-308.77246916933154</v>
      </c>
      <c r="Z283" s="134">
        <f t="shared" si="61"/>
        <v>-366.61180954810447</v>
      </c>
      <c r="AA283" s="134">
        <f t="shared" si="61"/>
        <v>-428.42135117019177</v>
      </c>
      <c r="AB283" s="134">
        <f t="shared" si="61"/>
        <v>-494.38041214667334</v>
      </c>
      <c r="AC283" s="134">
        <f t="shared" si="61"/>
        <v>-564.66831058862908</v>
      </c>
      <c r="AD283" s="134">
        <f t="shared" si="61"/>
        <v>-639.46436460713835</v>
      </c>
      <c r="AE283" s="134">
        <f t="shared" si="61"/>
        <v>-718.94789231328184</v>
      </c>
      <c r="AF283" s="134">
        <f t="shared" si="61"/>
        <v>-803.29821181814032</v>
      </c>
      <c r="AG283" s="134">
        <f t="shared" si="61"/>
        <v>-892.69464123279283</v>
      </c>
      <c r="AH283" s="134">
        <f t="shared" si="61"/>
        <v>-987.3164986683197</v>
      </c>
      <c r="AI283" s="134">
        <f t="shared" si="61"/>
        <v>-1087.3431022358009</v>
      </c>
      <c r="AJ283" s="134">
        <f t="shared" si="61"/>
        <v>-1190.116908397029</v>
      </c>
      <c r="AK283" s="134">
        <f t="shared" si="61"/>
        <v>-1292.8907145582571</v>
      </c>
      <c r="AL283" s="134">
        <f t="shared" si="61"/>
        <v>-1395.6645207194852</v>
      </c>
      <c r="AM283" s="134">
        <f t="shared" si="61"/>
        <v>-1498.4383268807132</v>
      </c>
      <c r="AN283" s="134">
        <f t="shared" si="61"/>
        <v>-1601.2121330419413</v>
      </c>
      <c r="AO283" s="134">
        <f t="shared" si="6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5">
      <c r="A284" s="102"/>
      <c r="B284" s="112" t="s">
        <v>110</v>
      </c>
      <c r="C284" s="135"/>
      <c r="D284" s="134">
        <f t="shared" ref="D284:AO284" si="62">IF(D$267=$B284,0,IF(D$267&gt;$B284,-0.5*D$265-0.5*C$265+C284,0.5*HLOOKUP($B284,$D$264:$AO$265,2,FALSE)+0.5*HLOOKUP($B283,$D$264:$AO$265,2,FALSE)+D283))</f>
        <v>333.46332158724567</v>
      </c>
      <c r="E284" s="134">
        <f t="shared" si="62"/>
        <v>325.4908071591455</v>
      </c>
      <c r="F284" s="134">
        <f t="shared" si="62"/>
        <v>309.39868831985797</v>
      </c>
      <c r="G284" s="134">
        <f t="shared" si="62"/>
        <v>292.92273045885622</v>
      </c>
      <c r="H284" s="134">
        <f t="shared" si="62"/>
        <v>275.88361546506007</v>
      </c>
      <c r="I284" s="134">
        <f t="shared" si="62"/>
        <v>258.10202522738967</v>
      </c>
      <c r="J284" s="134">
        <f t="shared" si="62"/>
        <v>239.39864163476494</v>
      </c>
      <c r="K284" s="134">
        <f t="shared" si="62"/>
        <v>219.59414657610597</v>
      </c>
      <c r="L284" s="134">
        <f t="shared" si="62"/>
        <v>198.50922194033268</v>
      </c>
      <c r="M284" s="134">
        <f t="shared" si="62"/>
        <v>175.9645496163651</v>
      </c>
      <c r="N284" s="134">
        <f t="shared" si="62"/>
        <v>151.7808114931232</v>
      </c>
      <c r="O284" s="134">
        <f t="shared" si="62"/>
        <v>125.77868945952714</v>
      </c>
      <c r="P284" s="134">
        <f t="shared" si="62"/>
        <v>97.778865404496841</v>
      </c>
      <c r="Q284" s="134">
        <f t="shared" si="62"/>
        <v>67.60202121695211</v>
      </c>
      <c r="R284" s="134">
        <f t="shared" si="62"/>
        <v>35.068838785813114</v>
      </c>
      <c r="S284" s="134">
        <f t="shared" si="62"/>
        <v>0</v>
      </c>
      <c r="T284" s="134">
        <f t="shared" si="62"/>
        <v>-37.783813251567352</v>
      </c>
      <c r="U284" s="134">
        <f t="shared" si="62"/>
        <v>-78.461919079969135</v>
      </c>
      <c r="V284" s="134">
        <f t="shared" si="62"/>
        <v>-122.21363559628502</v>
      </c>
      <c r="W284" s="134">
        <f t="shared" si="62"/>
        <v>-169.21828091159514</v>
      </c>
      <c r="X284" s="134">
        <f t="shared" si="62"/>
        <v>-219.6551731369797</v>
      </c>
      <c r="Y284" s="134">
        <f t="shared" si="62"/>
        <v>-273.70363038351843</v>
      </c>
      <c r="Z284" s="134">
        <f t="shared" si="62"/>
        <v>-331.54297076229136</v>
      </c>
      <c r="AA284" s="134">
        <f t="shared" si="62"/>
        <v>-393.35251238437866</v>
      </c>
      <c r="AB284" s="134">
        <f t="shared" si="62"/>
        <v>-459.31157336086022</v>
      </c>
      <c r="AC284" s="134">
        <f t="shared" si="62"/>
        <v>-529.59947180281597</v>
      </c>
      <c r="AD284" s="134">
        <f t="shared" si="62"/>
        <v>-604.39552582132524</v>
      </c>
      <c r="AE284" s="134">
        <f t="shared" si="62"/>
        <v>-683.87905352746873</v>
      </c>
      <c r="AF284" s="134">
        <f t="shared" si="62"/>
        <v>-768.2293730323272</v>
      </c>
      <c r="AG284" s="134">
        <f t="shared" si="62"/>
        <v>-857.62580244697972</v>
      </c>
      <c r="AH284" s="134">
        <f t="shared" si="62"/>
        <v>-952.24765988250658</v>
      </c>
      <c r="AI284" s="134">
        <f t="shared" si="62"/>
        <v>-1052.2742634499878</v>
      </c>
      <c r="AJ284" s="134">
        <f t="shared" si="62"/>
        <v>-1155.0480696112159</v>
      </c>
      <c r="AK284" s="134">
        <f t="shared" si="62"/>
        <v>-1257.8218757724439</v>
      </c>
      <c r="AL284" s="134">
        <f t="shared" si="62"/>
        <v>-1360.595681933672</v>
      </c>
      <c r="AM284" s="134">
        <f t="shared" si="62"/>
        <v>-1463.3694880949001</v>
      </c>
      <c r="AN284" s="134">
        <f t="shared" si="62"/>
        <v>-1566.1432942561282</v>
      </c>
      <c r="AO284" s="134">
        <f t="shared" si="6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5">
      <c r="A285" s="102"/>
      <c r="B285" s="112" t="s">
        <v>111</v>
      </c>
      <c r="C285" s="135"/>
      <c r="D285" s="134">
        <f t="shared" ref="D285:AO285" si="63">IF(D$267=$B285,0,IF(D$267&gt;$B285,-0.5*D$265-0.5*C$265+C285,0.5*HLOOKUP($B285,$D$264:$AO$265,2,FALSE)+0.5*HLOOKUP($B284,$D$264:$AO$265,2,FALSE)+D284))</f>
        <v>371.24713483881305</v>
      </c>
      <c r="E285" s="134">
        <f t="shared" si="63"/>
        <v>363.27462041071283</v>
      </c>
      <c r="F285" s="134">
        <f t="shared" si="63"/>
        <v>347.18250157142529</v>
      </c>
      <c r="G285" s="134">
        <f t="shared" si="63"/>
        <v>330.7065437104236</v>
      </c>
      <c r="H285" s="134">
        <f t="shared" si="63"/>
        <v>313.66742871662746</v>
      </c>
      <c r="I285" s="134">
        <f t="shared" si="63"/>
        <v>295.885838478957</v>
      </c>
      <c r="J285" s="134">
        <f t="shared" si="63"/>
        <v>277.18245488633227</v>
      </c>
      <c r="K285" s="134">
        <f t="shared" si="63"/>
        <v>257.37795982767329</v>
      </c>
      <c r="L285" s="134">
        <f t="shared" si="63"/>
        <v>236.29303519190003</v>
      </c>
      <c r="M285" s="134">
        <f t="shared" si="63"/>
        <v>213.74836286793246</v>
      </c>
      <c r="N285" s="134">
        <f t="shared" si="63"/>
        <v>189.56462474469055</v>
      </c>
      <c r="O285" s="134">
        <f t="shared" si="63"/>
        <v>163.56250271109451</v>
      </c>
      <c r="P285" s="134">
        <f t="shared" si="63"/>
        <v>135.56267865606418</v>
      </c>
      <c r="Q285" s="134">
        <f t="shared" si="63"/>
        <v>105.38583446851946</v>
      </c>
      <c r="R285" s="134">
        <f t="shared" si="63"/>
        <v>72.852652037380466</v>
      </c>
      <c r="S285" s="134">
        <f t="shared" si="63"/>
        <v>37.783813251567352</v>
      </c>
      <c r="T285" s="134">
        <f t="shared" si="63"/>
        <v>0</v>
      </c>
      <c r="U285" s="134">
        <f t="shared" si="63"/>
        <v>-40.678105828401783</v>
      </c>
      <c r="V285" s="134">
        <f t="shared" si="63"/>
        <v>-84.429822344717664</v>
      </c>
      <c r="W285" s="134">
        <f t="shared" si="63"/>
        <v>-131.43446766002779</v>
      </c>
      <c r="X285" s="134">
        <f t="shared" si="63"/>
        <v>-181.87135988541235</v>
      </c>
      <c r="Y285" s="134">
        <f t="shared" si="63"/>
        <v>-235.91981713195105</v>
      </c>
      <c r="Z285" s="134">
        <f t="shared" si="63"/>
        <v>-293.75915751072398</v>
      </c>
      <c r="AA285" s="134">
        <f t="shared" si="63"/>
        <v>-355.56869913281128</v>
      </c>
      <c r="AB285" s="134">
        <f t="shared" si="63"/>
        <v>-421.52776010929284</v>
      </c>
      <c r="AC285" s="134">
        <f t="shared" si="63"/>
        <v>-491.81565855124859</v>
      </c>
      <c r="AD285" s="134">
        <f t="shared" si="63"/>
        <v>-566.61171256975786</v>
      </c>
      <c r="AE285" s="134">
        <f t="shared" si="63"/>
        <v>-646.09524027590135</v>
      </c>
      <c r="AF285" s="134">
        <f t="shared" si="63"/>
        <v>-730.44555978075982</v>
      </c>
      <c r="AG285" s="134">
        <f t="shared" si="63"/>
        <v>-819.84198919541234</v>
      </c>
      <c r="AH285" s="134">
        <f t="shared" si="63"/>
        <v>-914.4638466309392</v>
      </c>
      <c r="AI285" s="134">
        <f t="shared" si="63"/>
        <v>-1014.4904501984204</v>
      </c>
      <c r="AJ285" s="134">
        <f t="shared" si="63"/>
        <v>-1117.2642563596482</v>
      </c>
      <c r="AK285" s="134">
        <f t="shared" si="63"/>
        <v>-1220.0380625208763</v>
      </c>
      <c r="AL285" s="134">
        <f t="shared" si="63"/>
        <v>-1322.8118686821044</v>
      </c>
      <c r="AM285" s="134">
        <f t="shared" si="63"/>
        <v>-1425.5856748433325</v>
      </c>
      <c r="AN285" s="134">
        <f t="shared" si="63"/>
        <v>-1528.3594810045606</v>
      </c>
      <c r="AO285" s="134">
        <f t="shared" si="63"/>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5">
      <c r="A286" s="102"/>
      <c r="B286" s="112" t="s">
        <v>112</v>
      </c>
      <c r="C286" s="135"/>
      <c r="D286" s="134">
        <f t="shared" ref="D286:AO286" si="64">IF(D$267=$B286,0,IF(D$267&gt;$B286,-0.5*D$265-0.5*C$265+C286,0.5*HLOOKUP($B286,$D$264:$AO$265,2,FALSE)+0.5*HLOOKUP($B285,$D$264:$AO$265,2,FALSE)+D285))</f>
        <v>411.92524066721484</v>
      </c>
      <c r="E286" s="134">
        <f t="shared" si="64"/>
        <v>403.95272623911461</v>
      </c>
      <c r="F286" s="134">
        <f t="shared" si="64"/>
        <v>387.86060739982707</v>
      </c>
      <c r="G286" s="134">
        <f t="shared" si="64"/>
        <v>371.38464953882539</v>
      </c>
      <c r="H286" s="134">
        <f t="shared" si="64"/>
        <v>354.34553454502924</v>
      </c>
      <c r="I286" s="134">
        <f t="shared" si="64"/>
        <v>336.56394430735878</v>
      </c>
      <c r="J286" s="134">
        <f t="shared" si="64"/>
        <v>317.86056071473405</v>
      </c>
      <c r="K286" s="134">
        <f t="shared" si="64"/>
        <v>298.05606565607508</v>
      </c>
      <c r="L286" s="134">
        <f t="shared" si="64"/>
        <v>276.97114102030184</v>
      </c>
      <c r="M286" s="134">
        <f t="shared" si="64"/>
        <v>254.42646869633424</v>
      </c>
      <c r="N286" s="134">
        <f t="shared" si="64"/>
        <v>230.24273057309233</v>
      </c>
      <c r="O286" s="134">
        <f t="shared" si="64"/>
        <v>204.24060853949629</v>
      </c>
      <c r="P286" s="134">
        <f t="shared" si="64"/>
        <v>176.24078448446596</v>
      </c>
      <c r="Q286" s="134">
        <f t="shared" si="64"/>
        <v>146.06394029692126</v>
      </c>
      <c r="R286" s="134">
        <f t="shared" si="64"/>
        <v>113.53075786578225</v>
      </c>
      <c r="S286" s="134">
        <f t="shared" si="64"/>
        <v>78.461919079969135</v>
      </c>
      <c r="T286" s="134">
        <f t="shared" si="64"/>
        <v>40.678105828401783</v>
      </c>
      <c r="U286" s="134">
        <f t="shared" si="64"/>
        <v>0</v>
      </c>
      <c r="V286" s="134">
        <f t="shared" si="64"/>
        <v>-43.751716516315881</v>
      </c>
      <c r="W286" s="134">
        <f t="shared" si="64"/>
        <v>-90.756361831626009</v>
      </c>
      <c r="X286" s="134">
        <f t="shared" si="64"/>
        <v>-141.19325405701056</v>
      </c>
      <c r="Y286" s="134">
        <f t="shared" si="64"/>
        <v>-195.24171130354927</v>
      </c>
      <c r="Z286" s="134">
        <f t="shared" si="64"/>
        <v>-253.0810516823222</v>
      </c>
      <c r="AA286" s="134">
        <f t="shared" si="64"/>
        <v>-314.89059330440944</v>
      </c>
      <c r="AB286" s="134">
        <f t="shared" si="64"/>
        <v>-380.849654280891</v>
      </c>
      <c r="AC286" s="134">
        <f t="shared" si="64"/>
        <v>-451.13755272284675</v>
      </c>
      <c r="AD286" s="134">
        <f t="shared" si="64"/>
        <v>-525.93360674135602</v>
      </c>
      <c r="AE286" s="134">
        <f t="shared" si="64"/>
        <v>-605.41713444749951</v>
      </c>
      <c r="AF286" s="134">
        <f t="shared" si="64"/>
        <v>-689.76745395235798</v>
      </c>
      <c r="AG286" s="134">
        <f t="shared" si="64"/>
        <v>-779.1638833670105</v>
      </c>
      <c r="AH286" s="134">
        <f t="shared" si="64"/>
        <v>-873.78574080253736</v>
      </c>
      <c r="AI286" s="134">
        <f t="shared" si="64"/>
        <v>-973.81234437001854</v>
      </c>
      <c r="AJ286" s="134">
        <f t="shared" si="64"/>
        <v>-1076.5861505312464</v>
      </c>
      <c r="AK286" s="134">
        <f t="shared" si="64"/>
        <v>-1179.3599566924745</v>
      </c>
      <c r="AL286" s="134">
        <f t="shared" si="64"/>
        <v>-1282.1337628537026</v>
      </c>
      <c r="AM286" s="134">
        <f t="shared" si="64"/>
        <v>-1384.9075690149307</v>
      </c>
      <c r="AN286" s="134">
        <f t="shared" si="64"/>
        <v>-1487.6813751761588</v>
      </c>
      <c r="AO286" s="134">
        <f t="shared" si="64"/>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5">
      <c r="A287" s="102"/>
      <c r="B287" s="112" t="s">
        <v>113</v>
      </c>
      <c r="C287" s="135"/>
      <c r="D287" s="134">
        <f t="shared" ref="D287:AO287" si="65">IF(D$267=$B287,0,IF(D$267&gt;$B287,-0.5*D$265-0.5*C$265+C287,0.5*HLOOKUP($B287,$D$264:$AO$265,2,FALSE)+0.5*HLOOKUP($B286,$D$264:$AO$265,2,FALSE)+D286))</f>
        <v>455.6769571835307</v>
      </c>
      <c r="E287" s="134">
        <f t="shared" si="65"/>
        <v>447.70444275543048</v>
      </c>
      <c r="F287" s="134">
        <f t="shared" si="65"/>
        <v>431.61232391614294</v>
      </c>
      <c r="G287" s="134">
        <f t="shared" si="65"/>
        <v>415.13636605514125</v>
      </c>
      <c r="H287" s="134">
        <f t="shared" si="65"/>
        <v>398.0972510613451</v>
      </c>
      <c r="I287" s="134">
        <f t="shared" si="65"/>
        <v>380.31566082367465</v>
      </c>
      <c r="J287" s="134">
        <f t="shared" si="65"/>
        <v>361.61227723104992</v>
      </c>
      <c r="K287" s="134">
        <f t="shared" si="65"/>
        <v>341.80778217239094</v>
      </c>
      <c r="L287" s="134">
        <f t="shared" si="65"/>
        <v>320.72285753661771</v>
      </c>
      <c r="M287" s="134">
        <f t="shared" si="65"/>
        <v>298.17818521265013</v>
      </c>
      <c r="N287" s="134">
        <f t="shared" si="65"/>
        <v>273.9944470894082</v>
      </c>
      <c r="O287" s="134">
        <f t="shared" si="65"/>
        <v>247.99232505581216</v>
      </c>
      <c r="P287" s="134">
        <f t="shared" si="65"/>
        <v>219.99250100078183</v>
      </c>
      <c r="Q287" s="134">
        <f t="shared" si="65"/>
        <v>189.81565681323713</v>
      </c>
      <c r="R287" s="134">
        <f t="shared" si="65"/>
        <v>157.28247438209814</v>
      </c>
      <c r="S287" s="134">
        <f t="shared" si="65"/>
        <v>122.21363559628502</v>
      </c>
      <c r="T287" s="134">
        <f t="shared" si="65"/>
        <v>84.429822344717664</v>
      </c>
      <c r="U287" s="134">
        <f t="shared" si="65"/>
        <v>43.751716516315881</v>
      </c>
      <c r="V287" s="134">
        <f t="shared" si="65"/>
        <v>0</v>
      </c>
      <c r="W287" s="134">
        <f t="shared" si="65"/>
        <v>-47.004645315310135</v>
      </c>
      <c r="X287" s="134">
        <f t="shared" si="65"/>
        <v>-97.441537540694696</v>
      </c>
      <c r="Y287" s="134">
        <f t="shared" si="65"/>
        <v>-151.4899947872334</v>
      </c>
      <c r="Z287" s="134">
        <f t="shared" si="65"/>
        <v>-209.32933516600633</v>
      </c>
      <c r="AA287" s="134">
        <f t="shared" si="65"/>
        <v>-271.13887678809363</v>
      </c>
      <c r="AB287" s="134">
        <f t="shared" si="65"/>
        <v>-337.09793776457519</v>
      </c>
      <c r="AC287" s="134">
        <f t="shared" si="65"/>
        <v>-407.38583620653094</v>
      </c>
      <c r="AD287" s="134">
        <f t="shared" si="65"/>
        <v>-482.18189022504026</v>
      </c>
      <c r="AE287" s="134">
        <f t="shared" si="65"/>
        <v>-561.66541793118381</v>
      </c>
      <c r="AF287" s="134">
        <f t="shared" si="65"/>
        <v>-646.01573743604229</v>
      </c>
      <c r="AG287" s="134">
        <f t="shared" si="65"/>
        <v>-735.4121668506948</v>
      </c>
      <c r="AH287" s="134">
        <f t="shared" si="65"/>
        <v>-830.03402428622167</v>
      </c>
      <c r="AI287" s="134">
        <f t="shared" si="65"/>
        <v>-930.06062785370284</v>
      </c>
      <c r="AJ287" s="134">
        <f t="shared" si="65"/>
        <v>-1032.8344340149308</v>
      </c>
      <c r="AK287" s="134">
        <f t="shared" si="65"/>
        <v>-1135.6082401761587</v>
      </c>
      <c r="AL287" s="134">
        <f t="shared" si="65"/>
        <v>-1238.3820463373868</v>
      </c>
      <c r="AM287" s="134">
        <f t="shared" si="65"/>
        <v>-1341.1558524986149</v>
      </c>
      <c r="AN287" s="134">
        <f t="shared" si="65"/>
        <v>-1443.929658659843</v>
      </c>
      <c r="AO287" s="134">
        <f t="shared" si="65"/>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5">
      <c r="A288" s="102"/>
      <c r="B288" s="112" t="s">
        <v>114</v>
      </c>
      <c r="C288" s="135"/>
      <c r="D288" s="134">
        <f t="shared" ref="D288:AO288" si="66">IF(D$267=$B288,0,IF(D$267&gt;$B288,-0.5*D$265-0.5*C$265+C288,0.5*HLOOKUP($B288,$D$264:$AO$265,2,FALSE)+0.5*HLOOKUP($B287,$D$264:$AO$265,2,FALSE)+D287))</f>
        <v>502.68160249884085</v>
      </c>
      <c r="E288" s="134">
        <f t="shared" si="66"/>
        <v>494.70908807074062</v>
      </c>
      <c r="F288" s="134">
        <f t="shared" si="66"/>
        <v>478.61696923145308</v>
      </c>
      <c r="G288" s="134">
        <f t="shared" si="66"/>
        <v>462.14101137045139</v>
      </c>
      <c r="H288" s="134">
        <f t="shared" si="66"/>
        <v>445.10189637665525</v>
      </c>
      <c r="I288" s="134">
        <f t="shared" si="66"/>
        <v>427.32030613898479</v>
      </c>
      <c r="J288" s="134">
        <f t="shared" si="66"/>
        <v>408.61692254636006</v>
      </c>
      <c r="K288" s="134">
        <f t="shared" si="66"/>
        <v>388.81242748770109</v>
      </c>
      <c r="L288" s="134">
        <f t="shared" si="66"/>
        <v>367.72750285192785</v>
      </c>
      <c r="M288" s="134">
        <f t="shared" si="66"/>
        <v>345.18283052796028</v>
      </c>
      <c r="N288" s="134">
        <f t="shared" si="66"/>
        <v>320.99909240471834</v>
      </c>
      <c r="O288" s="134">
        <f t="shared" si="66"/>
        <v>294.9969703711223</v>
      </c>
      <c r="P288" s="134">
        <f t="shared" si="66"/>
        <v>266.99714631609197</v>
      </c>
      <c r="Q288" s="134">
        <f t="shared" si="66"/>
        <v>236.82030212854727</v>
      </c>
      <c r="R288" s="134">
        <f t="shared" si="66"/>
        <v>204.28711969740829</v>
      </c>
      <c r="S288" s="134">
        <f t="shared" si="66"/>
        <v>169.21828091159514</v>
      </c>
      <c r="T288" s="134">
        <f t="shared" si="66"/>
        <v>131.43446766002779</v>
      </c>
      <c r="U288" s="134">
        <f t="shared" si="66"/>
        <v>90.756361831626009</v>
      </c>
      <c r="V288" s="134">
        <f t="shared" si="66"/>
        <v>47.004645315310135</v>
      </c>
      <c r="W288" s="134">
        <f t="shared" si="66"/>
        <v>0</v>
      </c>
      <c r="X288" s="134">
        <f t="shared" si="66"/>
        <v>-50.436892225384554</v>
      </c>
      <c r="Y288" s="134">
        <f t="shared" si="66"/>
        <v>-104.48534947192327</v>
      </c>
      <c r="Z288" s="134">
        <f t="shared" si="66"/>
        <v>-162.32468985069622</v>
      </c>
      <c r="AA288" s="134">
        <f t="shared" si="66"/>
        <v>-224.13423147278348</v>
      </c>
      <c r="AB288" s="134">
        <f t="shared" si="66"/>
        <v>-290.09329244926505</v>
      </c>
      <c r="AC288" s="134">
        <f t="shared" si="66"/>
        <v>-360.38119089122085</v>
      </c>
      <c r="AD288" s="134">
        <f t="shared" si="66"/>
        <v>-435.17724490973018</v>
      </c>
      <c r="AE288" s="134">
        <f t="shared" si="66"/>
        <v>-514.66077261587373</v>
      </c>
      <c r="AF288" s="134">
        <f t="shared" si="66"/>
        <v>-599.0110921207322</v>
      </c>
      <c r="AG288" s="134">
        <f t="shared" si="66"/>
        <v>-688.40752153538472</v>
      </c>
      <c r="AH288" s="134">
        <f t="shared" si="66"/>
        <v>-783.02937897091158</v>
      </c>
      <c r="AI288" s="134">
        <f t="shared" si="66"/>
        <v>-883.05598253839275</v>
      </c>
      <c r="AJ288" s="134">
        <f t="shared" si="66"/>
        <v>-985.82978869962074</v>
      </c>
      <c r="AK288" s="134">
        <f t="shared" si="66"/>
        <v>-1088.6035948608487</v>
      </c>
      <c r="AL288" s="134">
        <f t="shared" si="66"/>
        <v>-1191.3774010220768</v>
      </c>
      <c r="AM288" s="134">
        <f t="shared" si="66"/>
        <v>-1294.1512071833049</v>
      </c>
      <c r="AN288" s="134">
        <f t="shared" si="66"/>
        <v>-1396.925013344533</v>
      </c>
      <c r="AO288" s="134">
        <f t="shared" si="66"/>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5">
      <c r="A289" s="102"/>
      <c r="B289" s="112" t="s">
        <v>115</v>
      </c>
      <c r="C289" s="135"/>
      <c r="D289" s="134">
        <f t="shared" ref="D289:AO289" si="67">IF(D$267=$B289,0,IF(D$267&gt;$B289,-0.5*D$265-0.5*C$265+C289,0.5*HLOOKUP($B289,$D$264:$AO$265,2,FALSE)+0.5*HLOOKUP($B288,$D$264:$AO$265,2,FALSE)+D288))</f>
        <v>553.11849472422546</v>
      </c>
      <c r="E289" s="134">
        <f t="shared" si="67"/>
        <v>545.14598029612512</v>
      </c>
      <c r="F289" s="134">
        <f t="shared" si="67"/>
        <v>529.05386145683769</v>
      </c>
      <c r="G289" s="134">
        <f t="shared" si="67"/>
        <v>512.57790359583601</v>
      </c>
      <c r="H289" s="134">
        <f t="shared" si="67"/>
        <v>495.5387886020398</v>
      </c>
      <c r="I289" s="134">
        <f t="shared" si="67"/>
        <v>477.75719836436934</v>
      </c>
      <c r="J289" s="134">
        <f t="shared" si="67"/>
        <v>459.05381477174461</v>
      </c>
      <c r="K289" s="134">
        <f t="shared" si="67"/>
        <v>439.24931971308564</v>
      </c>
      <c r="L289" s="134">
        <f t="shared" si="67"/>
        <v>418.16439507731241</v>
      </c>
      <c r="M289" s="134">
        <f t="shared" si="67"/>
        <v>395.61972275334483</v>
      </c>
      <c r="N289" s="134">
        <f t="shared" si="67"/>
        <v>371.43598463010289</v>
      </c>
      <c r="O289" s="134">
        <f t="shared" si="67"/>
        <v>345.43386259650686</v>
      </c>
      <c r="P289" s="134">
        <f t="shared" si="67"/>
        <v>317.43403854147653</v>
      </c>
      <c r="Q289" s="134">
        <f t="shared" si="67"/>
        <v>287.25719435393182</v>
      </c>
      <c r="R289" s="134">
        <f t="shared" si="67"/>
        <v>254.72401192279284</v>
      </c>
      <c r="S289" s="134">
        <f t="shared" si="67"/>
        <v>219.6551731369797</v>
      </c>
      <c r="T289" s="134">
        <f t="shared" si="67"/>
        <v>181.87135988541235</v>
      </c>
      <c r="U289" s="134">
        <f t="shared" si="67"/>
        <v>141.19325405701056</v>
      </c>
      <c r="V289" s="134">
        <f t="shared" si="67"/>
        <v>97.441537540694696</v>
      </c>
      <c r="W289" s="134">
        <f t="shared" si="67"/>
        <v>50.436892225384554</v>
      </c>
      <c r="X289" s="134">
        <f t="shared" si="67"/>
        <v>0</v>
      </c>
      <c r="Y289" s="134">
        <f t="shared" si="67"/>
        <v>-54.048457246538717</v>
      </c>
      <c r="Z289" s="134">
        <f t="shared" si="67"/>
        <v>-111.88779762531166</v>
      </c>
      <c r="AA289" s="134">
        <f t="shared" si="67"/>
        <v>-173.69733924739893</v>
      </c>
      <c r="AB289" s="134">
        <f t="shared" si="67"/>
        <v>-239.6564002238805</v>
      </c>
      <c r="AC289" s="134">
        <f t="shared" si="67"/>
        <v>-309.9442986658363</v>
      </c>
      <c r="AD289" s="134">
        <f t="shared" si="67"/>
        <v>-384.74035268434562</v>
      </c>
      <c r="AE289" s="134">
        <f t="shared" si="67"/>
        <v>-464.22388039048917</v>
      </c>
      <c r="AF289" s="134">
        <f t="shared" si="67"/>
        <v>-548.57419989534765</v>
      </c>
      <c r="AG289" s="134">
        <f t="shared" si="67"/>
        <v>-637.97062931000016</v>
      </c>
      <c r="AH289" s="134">
        <f t="shared" si="67"/>
        <v>-732.59248674552703</v>
      </c>
      <c r="AI289" s="134">
        <f t="shared" si="67"/>
        <v>-832.6190903130082</v>
      </c>
      <c r="AJ289" s="134">
        <f t="shared" si="67"/>
        <v>-935.39289647423618</v>
      </c>
      <c r="AK289" s="134">
        <f t="shared" si="67"/>
        <v>-1038.1667026354642</v>
      </c>
      <c r="AL289" s="134">
        <f t="shared" si="67"/>
        <v>-1140.940508796692</v>
      </c>
      <c r="AM289" s="134">
        <f t="shared" si="67"/>
        <v>-1243.7143149579201</v>
      </c>
      <c r="AN289" s="134">
        <f t="shared" si="67"/>
        <v>-1346.4881211191482</v>
      </c>
      <c r="AO289" s="134">
        <f t="shared" si="67"/>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5">
      <c r="A290" s="102"/>
      <c r="B290" s="112" t="s">
        <v>116</v>
      </c>
      <c r="C290" s="135"/>
      <c r="D290" s="134">
        <f t="shared" ref="D290:AO290" si="68">IF(D$267=$B290,0,IF(D$267&gt;$B290,-0.5*D$265-0.5*C$265+C290,0.5*HLOOKUP($B290,$D$264:$AO$265,2,FALSE)+0.5*HLOOKUP($B289,$D$264:$AO$265,2,FALSE)+D289))</f>
        <v>607.16695197076422</v>
      </c>
      <c r="E290" s="134">
        <f t="shared" si="68"/>
        <v>599.19443754266388</v>
      </c>
      <c r="F290" s="134">
        <f t="shared" si="68"/>
        <v>583.10231870337645</v>
      </c>
      <c r="G290" s="134">
        <f t="shared" si="68"/>
        <v>566.62636084237477</v>
      </c>
      <c r="H290" s="134">
        <f t="shared" si="68"/>
        <v>549.5872458485785</v>
      </c>
      <c r="I290" s="134">
        <f t="shared" si="68"/>
        <v>531.80565561090805</v>
      </c>
      <c r="J290" s="134">
        <f t="shared" si="68"/>
        <v>513.10227201828332</v>
      </c>
      <c r="K290" s="134">
        <f t="shared" si="68"/>
        <v>493.29777695962434</v>
      </c>
      <c r="L290" s="134">
        <f t="shared" si="68"/>
        <v>472.21285232385111</v>
      </c>
      <c r="M290" s="134">
        <f t="shared" si="68"/>
        <v>449.66817999988353</v>
      </c>
      <c r="N290" s="134">
        <f t="shared" si="68"/>
        <v>425.4844418766416</v>
      </c>
      <c r="O290" s="134">
        <f t="shared" si="68"/>
        <v>399.48231984304556</v>
      </c>
      <c r="P290" s="134">
        <f t="shared" si="68"/>
        <v>371.48249578801523</v>
      </c>
      <c r="Q290" s="134">
        <f t="shared" si="68"/>
        <v>341.30565160047053</v>
      </c>
      <c r="R290" s="134">
        <f t="shared" si="68"/>
        <v>308.77246916933154</v>
      </c>
      <c r="S290" s="134">
        <f t="shared" si="68"/>
        <v>273.70363038351843</v>
      </c>
      <c r="T290" s="134">
        <f t="shared" si="68"/>
        <v>235.91981713195105</v>
      </c>
      <c r="U290" s="134">
        <f t="shared" si="68"/>
        <v>195.24171130354927</v>
      </c>
      <c r="V290" s="134">
        <f t="shared" si="68"/>
        <v>151.4899947872334</v>
      </c>
      <c r="W290" s="134">
        <f t="shared" si="68"/>
        <v>104.48534947192327</v>
      </c>
      <c r="X290" s="134">
        <f t="shared" si="68"/>
        <v>54.048457246538717</v>
      </c>
      <c r="Y290" s="134">
        <f t="shared" si="68"/>
        <v>0</v>
      </c>
      <c r="Z290" s="134">
        <f t="shared" si="68"/>
        <v>-57.839340378772945</v>
      </c>
      <c r="AA290" s="134">
        <f t="shared" si="68"/>
        <v>-119.64888200086021</v>
      </c>
      <c r="AB290" s="134">
        <f t="shared" si="68"/>
        <v>-185.60794297734176</v>
      </c>
      <c r="AC290" s="134">
        <f t="shared" si="68"/>
        <v>-255.89584141929754</v>
      </c>
      <c r="AD290" s="134">
        <f t="shared" si="68"/>
        <v>-330.69189543780686</v>
      </c>
      <c r="AE290" s="134">
        <f t="shared" si="68"/>
        <v>-410.17542314395041</v>
      </c>
      <c r="AF290" s="134">
        <f t="shared" si="68"/>
        <v>-494.52574264880889</v>
      </c>
      <c r="AG290" s="134">
        <f t="shared" si="68"/>
        <v>-583.9221720634614</v>
      </c>
      <c r="AH290" s="134">
        <f t="shared" si="68"/>
        <v>-678.54402949898827</v>
      </c>
      <c r="AI290" s="134">
        <f t="shared" si="68"/>
        <v>-778.57063306646944</v>
      </c>
      <c r="AJ290" s="134">
        <f t="shared" si="68"/>
        <v>-881.34443922769742</v>
      </c>
      <c r="AK290" s="134">
        <f t="shared" si="68"/>
        <v>-984.1182453889254</v>
      </c>
      <c r="AL290" s="134">
        <f t="shared" si="68"/>
        <v>-1086.8920515501534</v>
      </c>
      <c r="AM290" s="134">
        <f t="shared" si="68"/>
        <v>-1189.6658577113812</v>
      </c>
      <c r="AN290" s="134">
        <f t="shared" si="68"/>
        <v>-1292.4396638726093</v>
      </c>
      <c r="AO290" s="134">
        <f t="shared" si="68"/>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5">
      <c r="A291" s="102"/>
      <c r="B291" s="112" t="s">
        <v>117</v>
      </c>
      <c r="C291" s="135"/>
      <c r="D291" s="134">
        <f t="shared" ref="D291:AO291" si="69">IF(D$267=$B291,0,IF(D$267&gt;$B291,-0.5*D$265-0.5*C$265+C291,0.5*HLOOKUP($B291,$D$264:$AO$265,2,FALSE)+0.5*HLOOKUP($B290,$D$264:$AO$265,2,FALSE)+D290))</f>
        <v>665.00629234953715</v>
      </c>
      <c r="E291" s="134">
        <f t="shared" si="69"/>
        <v>657.03377792143681</v>
      </c>
      <c r="F291" s="134">
        <f t="shared" si="69"/>
        <v>640.94165908214939</v>
      </c>
      <c r="G291" s="134">
        <f t="shared" si="69"/>
        <v>624.4657012211477</v>
      </c>
      <c r="H291" s="134">
        <f t="shared" si="69"/>
        <v>607.42658622735144</v>
      </c>
      <c r="I291" s="134">
        <f t="shared" si="69"/>
        <v>589.64499598968098</v>
      </c>
      <c r="J291" s="134">
        <f t="shared" si="69"/>
        <v>570.94161239705625</v>
      </c>
      <c r="K291" s="134">
        <f t="shared" si="69"/>
        <v>551.13711733839727</v>
      </c>
      <c r="L291" s="134">
        <f t="shared" si="69"/>
        <v>530.0521927026241</v>
      </c>
      <c r="M291" s="134">
        <f t="shared" si="69"/>
        <v>507.50752037865647</v>
      </c>
      <c r="N291" s="134">
        <f t="shared" si="69"/>
        <v>483.32378225541453</v>
      </c>
      <c r="O291" s="134">
        <f t="shared" si="69"/>
        <v>457.32166022181849</v>
      </c>
      <c r="P291" s="134">
        <f t="shared" si="69"/>
        <v>429.32183616678816</v>
      </c>
      <c r="Q291" s="134">
        <f t="shared" si="69"/>
        <v>399.14499197924346</v>
      </c>
      <c r="R291" s="134">
        <f t="shared" si="69"/>
        <v>366.61180954810447</v>
      </c>
      <c r="S291" s="134">
        <f t="shared" si="69"/>
        <v>331.54297076229136</v>
      </c>
      <c r="T291" s="134">
        <f t="shared" si="69"/>
        <v>293.75915751072398</v>
      </c>
      <c r="U291" s="134">
        <f t="shared" si="69"/>
        <v>253.0810516823222</v>
      </c>
      <c r="V291" s="134">
        <f t="shared" si="69"/>
        <v>209.32933516600633</v>
      </c>
      <c r="W291" s="134">
        <f t="shared" si="69"/>
        <v>162.32468985069622</v>
      </c>
      <c r="X291" s="134">
        <f t="shared" si="69"/>
        <v>111.88779762531166</v>
      </c>
      <c r="Y291" s="134">
        <f t="shared" si="69"/>
        <v>57.839340378772945</v>
      </c>
      <c r="Z291" s="134">
        <f t="shared" si="69"/>
        <v>0</v>
      </c>
      <c r="AA291" s="134">
        <f t="shared" si="69"/>
        <v>-61.809541622087266</v>
      </c>
      <c r="AB291" s="134">
        <f t="shared" si="69"/>
        <v>-127.76860259856882</v>
      </c>
      <c r="AC291" s="134">
        <f t="shared" si="69"/>
        <v>-198.05650104052461</v>
      </c>
      <c r="AD291" s="134">
        <f t="shared" si="69"/>
        <v>-272.85255505903393</v>
      </c>
      <c r="AE291" s="134">
        <f t="shared" si="69"/>
        <v>-352.33608276517748</v>
      </c>
      <c r="AF291" s="134">
        <f t="shared" si="69"/>
        <v>-436.68640227003596</v>
      </c>
      <c r="AG291" s="134">
        <f t="shared" si="69"/>
        <v>-526.08283168468847</v>
      </c>
      <c r="AH291" s="134">
        <f t="shared" si="69"/>
        <v>-620.70468912021533</v>
      </c>
      <c r="AI291" s="134">
        <f t="shared" si="69"/>
        <v>-720.73129268769651</v>
      </c>
      <c r="AJ291" s="134">
        <f t="shared" si="69"/>
        <v>-823.50509884892449</v>
      </c>
      <c r="AK291" s="134">
        <f t="shared" si="69"/>
        <v>-926.27890501015247</v>
      </c>
      <c r="AL291" s="134">
        <f t="shared" si="69"/>
        <v>-1029.0527111713805</v>
      </c>
      <c r="AM291" s="134">
        <f t="shared" si="69"/>
        <v>-1131.8265173326085</v>
      </c>
      <c r="AN291" s="134">
        <f t="shared" si="69"/>
        <v>-1234.6003234938366</v>
      </c>
      <c r="AO291" s="134">
        <f t="shared" si="69"/>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5">
      <c r="A292" s="102"/>
      <c r="B292" s="112" t="s">
        <v>118</v>
      </c>
      <c r="C292" s="135"/>
      <c r="D292" s="134">
        <f t="shared" ref="D292:AO292" si="70">IF(D$267=$B292,0,IF(D$267&gt;$B292,-0.5*D$265-0.5*C$265+C292,0.5*HLOOKUP($B292,$D$264:$AO$265,2,FALSE)+0.5*HLOOKUP($B291,$D$264:$AO$265,2,FALSE)+D291))</f>
        <v>726.81583397162444</v>
      </c>
      <c r="E292" s="134">
        <f t="shared" si="70"/>
        <v>718.8433195435241</v>
      </c>
      <c r="F292" s="134">
        <f t="shared" si="70"/>
        <v>702.75120070423668</v>
      </c>
      <c r="G292" s="134">
        <f t="shared" si="70"/>
        <v>686.27524284323499</v>
      </c>
      <c r="H292" s="134">
        <f t="shared" si="70"/>
        <v>669.23612784943873</v>
      </c>
      <c r="I292" s="134">
        <f t="shared" si="70"/>
        <v>651.45453761176827</v>
      </c>
      <c r="J292" s="134">
        <f t="shared" si="70"/>
        <v>632.75115401914354</v>
      </c>
      <c r="K292" s="134">
        <f t="shared" si="70"/>
        <v>612.94665896048457</v>
      </c>
      <c r="L292" s="134">
        <f t="shared" si="70"/>
        <v>591.86173432471139</v>
      </c>
      <c r="M292" s="134">
        <f t="shared" si="70"/>
        <v>569.3170620007437</v>
      </c>
      <c r="N292" s="134">
        <f t="shared" si="70"/>
        <v>545.13332387750177</v>
      </c>
      <c r="O292" s="134">
        <f t="shared" si="70"/>
        <v>519.13120184390573</v>
      </c>
      <c r="P292" s="134">
        <f t="shared" si="70"/>
        <v>491.1313777888754</v>
      </c>
      <c r="Q292" s="134">
        <f t="shared" si="70"/>
        <v>460.9545336013307</v>
      </c>
      <c r="R292" s="134">
        <f t="shared" si="70"/>
        <v>428.42135117019177</v>
      </c>
      <c r="S292" s="134">
        <f t="shared" si="70"/>
        <v>393.35251238437866</v>
      </c>
      <c r="T292" s="134">
        <f t="shared" si="70"/>
        <v>355.56869913281128</v>
      </c>
      <c r="U292" s="134">
        <f t="shared" si="70"/>
        <v>314.89059330440944</v>
      </c>
      <c r="V292" s="134">
        <f t="shared" si="70"/>
        <v>271.13887678809363</v>
      </c>
      <c r="W292" s="134">
        <f t="shared" si="70"/>
        <v>224.13423147278348</v>
      </c>
      <c r="X292" s="134">
        <f t="shared" si="70"/>
        <v>173.69733924739893</v>
      </c>
      <c r="Y292" s="134">
        <f t="shared" si="70"/>
        <v>119.64888200086021</v>
      </c>
      <c r="Z292" s="134">
        <f t="shared" si="70"/>
        <v>61.809541622087266</v>
      </c>
      <c r="AA292" s="134">
        <f t="shared" si="70"/>
        <v>0</v>
      </c>
      <c r="AB292" s="134">
        <f t="shared" si="70"/>
        <v>-65.959060976481553</v>
      </c>
      <c r="AC292" s="134">
        <f t="shared" si="70"/>
        <v>-136.24695941843731</v>
      </c>
      <c r="AD292" s="134">
        <f t="shared" si="70"/>
        <v>-211.04301343694664</v>
      </c>
      <c r="AE292" s="134">
        <f t="shared" si="70"/>
        <v>-290.52654114309018</v>
      </c>
      <c r="AF292" s="134">
        <f t="shared" si="70"/>
        <v>-374.87686064794866</v>
      </c>
      <c r="AG292" s="134">
        <f t="shared" si="70"/>
        <v>-464.27329006260118</v>
      </c>
      <c r="AH292" s="134">
        <f t="shared" si="70"/>
        <v>-558.89514749812804</v>
      </c>
      <c r="AI292" s="134">
        <f t="shared" si="70"/>
        <v>-658.92175106560921</v>
      </c>
      <c r="AJ292" s="134">
        <f t="shared" si="70"/>
        <v>-761.6955572268372</v>
      </c>
      <c r="AK292" s="134">
        <f t="shared" si="70"/>
        <v>-864.46936338806518</v>
      </c>
      <c r="AL292" s="134">
        <f t="shared" si="70"/>
        <v>-967.24316954929316</v>
      </c>
      <c r="AM292" s="134">
        <f t="shared" si="70"/>
        <v>-1070.0169757105211</v>
      </c>
      <c r="AN292" s="134">
        <f t="shared" si="70"/>
        <v>-1172.790781871749</v>
      </c>
      <c r="AO292" s="134">
        <f t="shared" si="70"/>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5">
      <c r="A293" s="102"/>
      <c r="B293" s="112" t="s">
        <v>119</v>
      </c>
      <c r="C293" s="135"/>
      <c r="D293" s="134">
        <f t="shared" ref="D293:AO293" si="71">IF(D$267=$B293,0,IF(D$267&gt;$B293,-0.5*D$265-0.5*C$265+C293,0.5*HLOOKUP($B293,$D$264:$AO$265,2,FALSE)+0.5*HLOOKUP($B292,$D$264:$AO$265,2,FALSE)+D292))</f>
        <v>792.77489494810595</v>
      </c>
      <c r="E293" s="134">
        <f t="shared" si="71"/>
        <v>784.80238052000561</v>
      </c>
      <c r="F293" s="134">
        <f t="shared" si="71"/>
        <v>768.71026168071819</v>
      </c>
      <c r="G293" s="134">
        <f t="shared" si="71"/>
        <v>752.2343038197165</v>
      </c>
      <c r="H293" s="134">
        <f t="shared" si="71"/>
        <v>735.19518882592024</v>
      </c>
      <c r="I293" s="134">
        <f t="shared" si="71"/>
        <v>717.41359858824978</v>
      </c>
      <c r="J293" s="134">
        <f t="shared" si="71"/>
        <v>698.71021499562505</v>
      </c>
      <c r="K293" s="134">
        <f t="shared" si="71"/>
        <v>678.90571993696608</v>
      </c>
      <c r="L293" s="134">
        <f t="shared" si="71"/>
        <v>657.8207953011929</v>
      </c>
      <c r="M293" s="134">
        <f t="shared" si="71"/>
        <v>635.27612297722521</v>
      </c>
      <c r="N293" s="134">
        <f t="shared" si="71"/>
        <v>611.09238485398328</v>
      </c>
      <c r="O293" s="134">
        <f t="shared" si="71"/>
        <v>585.09026282038724</v>
      </c>
      <c r="P293" s="134">
        <f t="shared" si="71"/>
        <v>557.09043876535691</v>
      </c>
      <c r="Q293" s="134">
        <f t="shared" si="71"/>
        <v>526.9135945778122</v>
      </c>
      <c r="R293" s="134">
        <f t="shared" si="71"/>
        <v>494.38041214667334</v>
      </c>
      <c r="S293" s="134">
        <f t="shared" si="71"/>
        <v>459.31157336086022</v>
      </c>
      <c r="T293" s="134">
        <f t="shared" si="71"/>
        <v>421.52776010929284</v>
      </c>
      <c r="U293" s="134">
        <f t="shared" si="71"/>
        <v>380.849654280891</v>
      </c>
      <c r="V293" s="134">
        <f t="shared" si="71"/>
        <v>337.09793776457519</v>
      </c>
      <c r="W293" s="134">
        <f t="shared" si="71"/>
        <v>290.09329244926505</v>
      </c>
      <c r="X293" s="134">
        <f t="shared" si="71"/>
        <v>239.6564002238805</v>
      </c>
      <c r="Y293" s="134">
        <f t="shared" si="71"/>
        <v>185.60794297734176</v>
      </c>
      <c r="Z293" s="134">
        <f t="shared" si="71"/>
        <v>127.76860259856882</v>
      </c>
      <c r="AA293" s="134">
        <f t="shared" si="71"/>
        <v>65.959060976481553</v>
      </c>
      <c r="AB293" s="134">
        <f t="shared" si="71"/>
        <v>0</v>
      </c>
      <c r="AC293" s="134">
        <f t="shared" si="71"/>
        <v>-70.287898441955775</v>
      </c>
      <c r="AD293" s="134">
        <f t="shared" si="71"/>
        <v>-145.0839524604651</v>
      </c>
      <c r="AE293" s="134">
        <f t="shared" si="71"/>
        <v>-224.56748016660862</v>
      </c>
      <c r="AF293" s="134">
        <f t="shared" si="71"/>
        <v>-308.91779967146709</v>
      </c>
      <c r="AG293" s="134">
        <f t="shared" si="71"/>
        <v>-398.31422908611961</v>
      </c>
      <c r="AH293" s="134">
        <f t="shared" si="71"/>
        <v>-492.93608652164653</v>
      </c>
      <c r="AI293" s="134">
        <f t="shared" si="71"/>
        <v>-592.9626900891277</v>
      </c>
      <c r="AJ293" s="134">
        <f t="shared" si="71"/>
        <v>-695.73649625035569</v>
      </c>
      <c r="AK293" s="134">
        <f t="shared" si="71"/>
        <v>-798.51030241158367</v>
      </c>
      <c r="AL293" s="134">
        <f t="shared" si="71"/>
        <v>-901.28410857281165</v>
      </c>
      <c r="AM293" s="134">
        <f t="shared" si="71"/>
        <v>-1004.0579147340396</v>
      </c>
      <c r="AN293" s="134">
        <f t="shared" si="71"/>
        <v>-1106.8317208952676</v>
      </c>
      <c r="AO293" s="134">
        <f t="shared" si="71"/>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5">
      <c r="A294" s="102"/>
      <c r="B294" s="112" t="s">
        <v>120</v>
      </c>
      <c r="C294" s="135"/>
      <c r="D294" s="134">
        <f t="shared" ref="D294:AO294" si="72">IF(D$267=$B294,0,IF(D$267&gt;$B294,-0.5*D$265-0.5*C$265+C294,0.5*HLOOKUP($B294,$D$264:$AO$265,2,FALSE)+0.5*HLOOKUP($B293,$D$264:$AO$265,2,FALSE)+D293))</f>
        <v>863.06279339006176</v>
      </c>
      <c r="E294" s="134">
        <f t="shared" si="72"/>
        <v>855.09027896196142</v>
      </c>
      <c r="F294" s="134">
        <f t="shared" si="72"/>
        <v>838.99816012267399</v>
      </c>
      <c r="G294" s="134">
        <f t="shared" si="72"/>
        <v>822.52220226167231</v>
      </c>
      <c r="H294" s="134">
        <f t="shared" si="72"/>
        <v>805.48308726787604</v>
      </c>
      <c r="I294" s="134">
        <f t="shared" si="72"/>
        <v>787.70149703020559</v>
      </c>
      <c r="J294" s="134">
        <f t="shared" si="72"/>
        <v>768.99811343758086</v>
      </c>
      <c r="K294" s="134">
        <f t="shared" si="72"/>
        <v>749.19361837892188</v>
      </c>
      <c r="L294" s="134">
        <f t="shared" si="72"/>
        <v>728.10869374314871</v>
      </c>
      <c r="M294" s="134">
        <f t="shared" si="72"/>
        <v>705.56402141918102</v>
      </c>
      <c r="N294" s="134">
        <f t="shared" si="72"/>
        <v>681.38028329593908</v>
      </c>
      <c r="O294" s="134">
        <f t="shared" si="72"/>
        <v>655.37816126234304</v>
      </c>
      <c r="P294" s="134">
        <f t="shared" si="72"/>
        <v>627.37833720731271</v>
      </c>
      <c r="Q294" s="134">
        <f t="shared" si="72"/>
        <v>597.20149301976801</v>
      </c>
      <c r="R294" s="134">
        <f t="shared" si="72"/>
        <v>564.66831058862908</v>
      </c>
      <c r="S294" s="134">
        <f t="shared" si="72"/>
        <v>529.59947180281597</v>
      </c>
      <c r="T294" s="134">
        <f t="shared" si="72"/>
        <v>491.81565855124859</v>
      </c>
      <c r="U294" s="134">
        <f t="shared" si="72"/>
        <v>451.13755272284675</v>
      </c>
      <c r="V294" s="134">
        <f t="shared" si="72"/>
        <v>407.38583620653094</v>
      </c>
      <c r="W294" s="134">
        <f t="shared" si="72"/>
        <v>360.38119089122085</v>
      </c>
      <c r="X294" s="134">
        <f t="shared" si="72"/>
        <v>309.9442986658363</v>
      </c>
      <c r="Y294" s="134">
        <f t="shared" si="72"/>
        <v>255.89584141929754</v>
      </c>
      <c r="Z294" s="134">
        <f t="shared" si="72"/>
        <v>198.05650104052461</v>
      </c>
      <c r="AA294" s="134">
        <f t="shared" si="72"/>
        <v>136.24695941843731</v>
      </c>
      <c r="AB294" s="134">
        <f t="shared" si="72"/>
        <v>70.287898441955775</v>
      </c>
      <c r="AC294" s="134">
        <f t="shared" si="72"/>
        <v>0</v>
      </c>
      <c r="AD294" s="134">
        <f t="shared" si="72"/>
        <v>-74.796054018509324</v>
      </c>
      <c r="AE294" s="134">
        <f t="shared" si="72"/>
        <v>-154.27958172465284</v>
      </c>
      <c r="AF294" s="134">
        <f t="shared" si="72"/>
        <v>-238.62990122951135</v>
      </c>
      <c r="AG294" s="134">
        <f t="shared" si="72"/>
        <v>-328.02633064416386</v>
      </c>
      <c r="AH294" s="134">
        <f t="shared" si="72"/>
        <v>-422.64818807969073</v>
      </c>
      <c r="AI294" s="134">
        <f t="shared" si="72"/>
        <v>-522.6747916471719</v>
      </c>
      <c r="AJ294" s="134">
        <f t="shared" si="72"/>
        <v>-625.44859780839988</v>
      </c>
      <c r="AK294" s="134">
        <f t="shared" si="72"/>
        <v>-728.22240396962786</v>
      </c>
      <c r="AL294" s="134">
        <f t="shared" si="72"/>
        <v>-830.99621013085584</v>
      </c>
      <c r="AM294" s="134">
        <f t="shared" si="72"/>
        <v>-933.77001629208382</v>
      </c>
      <c r="AN294" s="134">
        <f t="shared" si="72"/>
        <v>-1036.5438224533118</v>
      </c>
      <c r="AO294" s="134">
        <f t="shared" si="72"/>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5">
      <c r="A295" s="102"/>
      <c r="B295" s="112" t="s">
        <v>121</v>
      </c>
      <c r="C295" s="135"/>
      <c r="D295" s="134">
        <f t="shared" ref="D295:AO295" si="73">IF(D$267=$B295,0,IF(D$267&gt;$B295,-0.5*D$265-0.5*C$265+C295,0.5*HLOOKUP($B295,$D$264:$AO$265,2,FALSE)+0.5*HLOOKUP($B294,$D$264:$AO$265,2,FALSE)+D294))</f>
        <v>937.85884740857114</v>
      </c>
      <c r="E295" s="134">
        <f t="shared" si="73"/>
        <v>929.8863329804708</v>
      </c>
      <c r="F295" s="134">
        <f t="shared" si="73"/>
        <v>913.79421414118337</v>
      </c>
      <c r="G295" s="134">
        <f t="shared" si="73"/>
        <v>897.31825628018169</v>
      </c>
      <c r="H295" s="134">
        <f t="shared" si="73"/>
        <v>880.27914128638531</v>
      </c>
      <c r="I295" s="134">
        <f t="shared" si="73"/>
        <v>862.49755104871497</v>
      </c>
      <c r="J295" s="134">
        <f t="shared" si="73"/>
        <v>843.79416745609024</v>
      </c>
      <c r="K295" s="134">
        <f t="shared" si="73"/>
        <v>823.98967239743115</v>
      </c>
      <c r="L295" s="134">
        <f t="shared" si="73"/>
        <v>802.90474776165797</v>
      </c>
      <c r="M295" s="134">
        <f t="shared" si="73"/>
        <v>780.36007543769028</v>
      </c>
      <c r="N295" s="134">
        <f t="shared" si="73"/>
        <v>756.17633731444835</v>
      </c>
      <c r="O295" s="134">
        <f t="shared" si="73"/>
        <v>730.17421528085242</v>
      </c>
      <c r="P295" s="134">
        <f t="shared" si="73"/>
        <v>702.17439122582209</v>
      </c>
      <c r="Q295" s="134">
        <f t="shared" si="73"/>
        <v>671.99754703827739</v>
      </c>
      <c r="R295" s="134">
        <f t="shared" si="73"/>
        <v>639.46436460713835</v>
      </c>
      <c r="S295" s="134">
        <f t="shared" si="73"/>
        <v>604.39552582132524</v>
      </c>
      <c r="T295" s="134">
        <f t="shared" si="73"/>
        <v>566.61171256975786</v>
      </c>
      <c r="U295" s="134">
        <f t="shared" si="73"/>
        <v>525.93360674135602</v>
      </c>
      <c r="V295" s="134">
        <f t="shared" si="73"/>
        <v>482.18189022504026</v>
      </c>
      <c r="W295" s="134">
        <f t="shared" si="73"/>
        <v>435.17724490973018</v>
      </c>
      <c r="X295" s="134">
        <f t="shared" si="73"/>
        <v>384.74035268434562</v>
      </c>
      <c r="Y295" s="134">
        <f t="shared" si="73"/>
        <v>330.69189543780686</v>
      </c>
      <c r="Z295" s="134">
        <f t="shared" si="73"/>
        <v>272.85255505903393</v>
      </c>
      <c r="AA295" s="134">
        <f t="shared" si="73"/>
        <v>211.04301343694664</v>
      </c>
      <c r="AB295" s="134">
        <f t="shared" si="73"/>
        <v>145.0839524604651</v>
      </c>
      <c r="AC295" s="134">
        <f t="shared" si="73"/>
        <v>74.796054018509324</v>
      </c>
      <c r="AD295" s="134">
        <f t="shared" si="73"/>
        <v>0</v>
      </c>
      <c r="AE295" s="134">
        <f t="shared" si="73"/>
        <v>-79.483527706143519</v>
      </c>
      <c r="AF295" s="134">
        <f t="shared" si="73"/>
        <v>-163.83384721100202</v>
      </c>
      <c r="AG295" s="134">
        <f t="shared" si="73"/>
        <v>-253.23027662565454</v>
      </c>
      <c r="AH295" s="134">
        <f t="shared" si="73"/>
        <v>-347.85213406118146</v>
      </c>
      <c r="AI295" s="134">
        <f t="shared" si="73"/>
        <v>-447.87873762866263</v>
      </c>
      <c r="AJ295" s="134">
        <f t="shared" si="73"/>
        <v>-550.65254378989061</v>
      </c>
      <c r="AK295" s="134">
        <f t="shared" si="73"/>
        <v>-653.4263499511186</v>
      </c>
      <c r="AL295" s="134">
        <f t="shared" si="73"/>
        <v>-756.20015611234658</v>
      </c>
      <c r="AM295" s="134">
        <f t="shared" si="73"/>
        <v>-858.97396227357456</v>
      </c>
      <c r="AN295" s="134">
        <f t="shared" si="73"/>
        <v>-961.74776843480254</v>
      </c>
      <c r="AO295" s="134">
        <f t="shared" si="73"/>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5">
      <c r="A296" s="102"/>
      <c r="B296" s="112" t="s">
        <v>122</v>
      </c>
      <c r="C296" s="135"/>
      <c r="D296" s="134">
        <f t="shared" ref="D296:AO296" si="74">IF(D$267=$B296,0,IF(D$267&gt;$B296,-0.5*D$265-0.5*C$265+C296,0.5*HLOOKUP($B296,$D$264:$AO$265,2,FALSE)+0.5*HLOOKUP($B295,$D$264:$AO$265,2,FALSE)+D295))</f>
        <v>1017.3423751147146</v>
      </c>
      <c r="E296" s="134">
        <f t="shared" si="74"/>
        <v>1009.3698606866143</v>
      </c>
      <c r="F296" s="134">
        <f t="shared" si="74"/>
        <v>993.27774184732687</v>
      </c>
      <c r="G296" s="134">
        <f t="shared" si="74"/>
        <v>976.80178398632518</v>
      </c>
      <c r="H296" s="134">
        <f t="shared" si="74"/>
        <v>959.7626689925288</v>
      </c>
      <c r="I296" s="134">
        <f t="shared" si="74"/>
        <v>941.98107875485846</v>
      </c>
      <c r="J296" s="134">
        <f t="shared" si="74"/>
        <v>923.27769516223373</v>
      </c>
      <c r="K296" s="134">
        <f t="shared" si="74"/>
        <v>903.47320010357464</v>
      </c>
      <c r="L296" s="134">
        <f t="shared" si="74"/>
        <v>882.38827546780146</v>
      </c>
      <c r="M296" s="134">
        <f t="shared" si="74"/>
        <v>859.84360314383377</v>
      </c>
      <c r="N296" s="134">
        <f t="shared" si="74"/>
        <v>835.65986502059184</v>
      </c>
      <c r="O296" s="134">
        <f t="shared" si="74"/>
        <v>809.65774298699591</v>
      </c>
      <c r="P296" s="134">
        <f t="shared" si="74"/>
        <v>781.65791893196558</v>
      </c>
      <c r="Q296" s="134">
        <f t="shared" si="74"/>
        <v>751.48107474442088</v>
      </c>
      <c r="R296" s="134">
        <f t="shared" si="74"/>
        <v>718.94789231328184</v>
      </c>
      <c r="S296" s="134">
        <f t="shared" si="74"/>
        <v>683.87905352746873</v>
      </c>
      <c r="T296" s="134">
        <f t="shared" si="74"/>
        <v>646.09524027590135</v>
      </c>
      <c r="U296" s="134">
        <f t="shared" si="74"/>
        <v>605.41713444749951</v>
      </c>
      <c r="V296" s="134">
        <f t="shared" si="74"/>
        <v>561.66541793118381</v>
      </c>
      <c r="W296" s="134">
        <f t="shared" si="74"/>
        <v>514.66077261587373</v>
      </c>
      <c r="X296" s="134">
        <f t="shared" si="74"/>
        <v>464.22388039048917</v>
      </c>
      <c r="Y296" s="134">
        <f t="shared" si="74"/>
        <v>410.17542314395041</v>
      </c>
      <c r="Z296" s="134">
        <f t="shared" si="74"/>
        <v>352.33608276517748</v>
      </c>
      <c r="AA296" s="134">
        <f t="shared" si="74"/>
        <v>290.52654114309018</v>
      </c>
      <c r="AB296" s="134">
        <f t="shared" si="74"/>
        <v>224.56748016660862</v>
      </c>
      <c r="AC296" s="134">
        <f t="shared" si="74"/>
        <v>154.27958172465284</v>
      </c>
      <c r="AD296" s="134">
        <f t="shared" si="74"/>
        <v>79.483527706143519</v>
      </c>
      <c r="AE296" s="134">
        <f t="shared" si="74"/>
        <v>0</v>
      </c>
      <c r="AF296" s="134">
        <f t="shared" si="74"/>
        <v>-84.35031950485849</v>
      </c>
      <c r="AG296" s="134">
        <f t="shared" si="74"/>
        <v>-173.74674891951099</v>
      </c>
      <c r="AH296" s="134">
        <f t="shared" si="74"/>
        <v>-268.36860635503785</v>
      </c>
      <c r="AI296" s="134">
        <f t="shared" si="74"/>
        <v>-368.39520992251903</v>
      </c>
      <c r="AJ296" s="134">
        <f t="shared" si="74"/>
        <v>-471.16901608374701</v>
      </c>
      <c r="AK296" s="134">
        <f t="shared" si="74"/>
        <v>-573.94282224497499</v>
      </c>
      <c r="AL296" s="134">
        <f t="shared" si="74"/>
        <v>-676.71662840620297</v>
      </c>
      <c r="AM296" s="134">
        <f t="shared" si="74"/>
        <v>-779.49043456743095</v>
      </c>
      <c r="AN296" s="134">
        <f t="shared" si="74"/>
        <v>-882.26424072865893</v>
      </c>
      <c r="AO296" s="134">
        <f t="shared" si="7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5">
      <c r="A297" s="102"/>
      <c r="B297" s="112" t="s">
        <v>123</v>
      </c>
      <c r="C297" s="135"/>
      <c r="D297" s="134">
        <f t="shared" ref="D297:AO297" si="75">IF(D$267=$B297,0,IF(D$267&gt;$B297,-0.5*D$265-0.5*C$265+C297,0.5*HLOOKUP($B297,$D$264:$AO$265,2,FALSE)+0.5*HLOOKUP($B296,$D$264:$AO$265,2,FALSE)+D296))</f>
        <v>1101.6926946195731</v>
      </c>
      <c r="E297" s="134">
        <f t="shared" si="75"/>
        <v>1093.7201801914728</v>
      </c>
      <c r="F297" s="134">
        <f t="shared" si="75"/>
        <v>1077.6280613521853</v>
      </c>
      <c r="G297" s="134">
        <f t="shared" si="75"/>
        <v>1061.1521034911837</v>
      </c>
      <c r="H297" s="134">
        <f t="shared" si="75"/>
        <v>1044.1129884973873</v>
      </c>
      <c r="I297" s="134">
        <f t="shared" si="75"/>
        <v>1026.3313982597169</v>
      </c>
      <c r="J297" s="134">
        <f t="shared" si="75"/>
        <v>1007.6280146670922</v>
      </c>
      <c r="K297" s="134">
        <f t="shared" si="75"/>
        <v>987.82351960843312</v>
      </c>
      <c r="L297" s="134">
        <f t="shared" si="75"/>
        <v>966.73859497265994</v>
      </c>
      <c r="M297" s="134">
        <f t="shared" si="75"/>
        <v>944.19392264869225</v>
      </c>
      <c r="N297" s="134">
        <f t="shared" si="75"/>
        <v>920.01018452545031</v>
      </c>
      <c r="O297" s="134">
        <f t="shared" si="75"/>
        <v>894.00806249185439</v>
      </c>
      <c r="P297" s="134">
        <f t="shared" si="75"/>
        <v>866.00823843682406</v>
      </c>
      <c r="Q297" s="134">
        <f t="shared" si="75"/>
        <v>835.83139424927936</v>
      </c>
      <c r="R297" s="134">
        <f t="shared" si="75"/>
        <v>803.29821181814032</v>
      </c>
      <c r="S297" s="134">
        <f t="shared" si="75"/>
        <v>768.2293730323272</v>
      </c>
      <c r="T297" s="134">
        <f t="shared" si="75"/>
        <v>730.44555978075982</v>
      </c>
      <c r="U297" s="134">
        <f t="shared" si="75"/>
        <v>689.76745395235798</v>
      </c>
      <c r="V297" s="134">
        <f t="shared" si="75"/>
        <v>646.01573743604229</v>
      </c>
      <c r="W297" s="134">
        <f t="shared" si="75"/>
        <v>599.0110921207322</v>
      </c>
      <c r="X297" s="134">
        <f t="shared" si="75"/>
        <v>548.57419989534765</v>
      </c>
      <c r="Y297" s="134">
        <f t="shared" si="75"/>
        <v>494.52574264880889</v>
      </c>
      <c r="Z297" s="134">
        <f t="shared" si="75"/>
        <v>436.68640227003596</v>
      </c>
      <c r="AA297" s="134">
        <f t="shared" si="75"/>
        <v>374.87686064794866</v>
      </c>
      <c r="AB297" s="134">
        <f t="shared" si="75"/>
        <v>308.91779967146709</v>
      </c>
      <c r="AC297" s="134">
        <f t="shared" si="75"/>
        <v>238.62990122951135</v>
      </c>
      <c r="AD297" s="134">
        <f t="shared" si="75"/>
        <v>163.83384721100202</v>
      </c>
      <c r="AE297" s="134">
        <f t="shared" si="75"/>
        <v>84.35031950485849</v>
      </c>
      <c r="AF297" s="134">
        <f t="shared" si="75"/>
        <v>0</v>
      </c>
      <c r="AG297" s="134">
        <f t="shared" si="75"/>
        <v>-89.396429414652516</v>
      </c>
      <c r="AH297" s="134">
        <f t="shared" si="75"/>
        <v>-184.01828685017941</v>
      </c>
      <c r="AI297" s="134">
        <f t="shared" si="75"/>
        <v>-284.04489041766061</v>
      </c>
      <c r="AJ297" s="134">
        <f t="shared" si="75"/>
        <v>-386.81869657888859</v>
      </c>
      <c r="AK297" s="134">
        <f t="shared" si="75"/>
        <v>-489.59250274011657</v>
      </c>
      <c r="AL297" s="134">
        <f t="shared" si="75"/>
        <v>-592.36630890134461</v>
      </c>
      <c r="AM297" s="134">
        <f t="shared" si="75"/>
        <v>-695.14011506257259</v>
      </c>
      <c r="AN297" s="134">
        <f t="shared" si="75"/>
        <v>-797.91392122380057</v>
      </c>
      <c r="AO297" s="134">
        <f t="shared" si="7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5">
      <c r="A298" s="102"/>
      <c r="B298" s="112" t="s">
        <v>124</v>
      </c>
      <c r="C298" s="135"/>
      <c r="D298" s="134">
        <f t="shared" ref="D298:AO298" si="76">IF(D$267=$B298,0,IF(D$267&gt;$B298,-0.5*D$265-0.5*C$265+C298,0.5*HLOOKUP($B298,$D$264:$AO$265,2,FALSE)+0.5*HLOOKUP($B297,$D$264:$AO$265,2,FALSE)+D297))</f>
        <v>1191.0891240342257</v>
      </c>
      <c r="E298" s="134">
        <f t="shared" si="76"/>
        <v>1183.1166096061252</v>
      </c>
      <c r="F298" s="134">
        <f t="shared" si="76"/>
        <v>1167.024490766838</v>
      </c>
      <c r="G298" s="134">
        <f t="shared" si="76"/>
        <v>1150.5485329058361</v>
      </c>
      <c r="H298" s="134">
        <f t="shared" si="76"/>
        <v>1133.5094179120397</v>
      </c>
      <c r="I298" s="134">
        <f t="shared" si="76"/>
        <v>1115.7278276743696</v>
      </c>
      <c r="J298" s="134">
        <f t="shared" si="76"/>
        <v>1097.0244440817446</v>
      </c>
      <c r="K298" s="134">
        <f t="shared" si="76"/>
        <v>1077.2199490230855</v>
      </c>
      <c r="L298" s="134">
        <f t="shared" si="76"/>
        <v>1056.1350243873126</v>
      </c>
      <c r="M298" s="134">
        <f t="shared" si="76"/>
        <v>1033.5903520633447</v>
      </c>
      <c r="N298" s="134">
        <f t="shared" si="76"/>
        <v>1009.4066139401028</v>
      </c>
      <c r="O298" s="134">
        <f t="shared" si="76"/>
        <v>983.40449190650691</v>
      </c>
      <c r="P298" s="134">
        <f t="shared" si="76"/>
        <v>955.40466785147657</v>
      </c>
      <c r="Q298" s="134">
        <f t="shared" si="76"/>
        <v>925.22782366393187</v>
      </c>
      <c r="R298" s="134">
        <f t="shared" si="76"/>
        <v>892.69464123279283</v>
      </c>
      <c r="S298" s="134">
        <f t="shared" si="76"/>
        <v>857.62580244697972</v>
      </c>
      <c r="T298" s="134">
        <f t="shared" si="76"/>
        <v>819.84198919541234</v>
      </c>
      <c r="U298" s="134">
        <f t="shared" si="76"/>
        <v>779.1638833670105</v>
      </c>
      <c r="V298" s="134">
        <f t="shared" si="76"/>
        <v>735.4121668506948</v>
      </c>
      <c r="W298" s="134">
        <f t="shared" si="76"/>
        <v>688.40752153538472</v>
      </c>
      <c r="X298" s="134">
        <f t="shared" si="76"/>
        <v>637.97062931000016</v>
      </c>
      <c r="Y298" s="134">
        <f t="shared" si="76"/>
        <v>583.9221720634614</v>
      </c>
      <c r="Z298" s="134">
        <f t="shared" si="76"/>
        <v>526.08283168468847</v>
      </c>
      <c r="AA298" s="134">
        <f t="shared" si="76"/>
        <v>464.27329006260118</v>
      </c>
      <c r="AB298" s="134">
        <f t="shared" si="76"/>
        <v>398.31422908611961</v>
      </c>
      <c r="AC298" s="134">
        <f t="shared" si="76"/>
        <v>328.02633064416386</v>
      </c>
      <c r="AD298" s="134">
        <f t="shared" si="76"/>
        <v>253.23027662565454</v>
      </c>
      <c r="AE298" s="134">
        <f t="shared" si="76"/>
        <v>173.74674891951099</v>
      </c>
      <c r="AF298" s="134">
        <f t="shared" si="76"/>
        <v>89.396429414652516</v>
      </c>
      <c r="AG298" s="134">
        <f t="shared" si="76"/>
        <v>0</v>
      </c>
      <c r="AH298" s="134">
        <f t="shared" si="76"/>
        <v>-94.621857435526891</v>
      </c>
      <c r="AI298" s="134">
        <f t="shared" si="76"/>
        <v>-194.64846100300809</v>
      </c>
      <c r="AJ298" s="134">
        <f t="shared" si="76"/>
        <v>-297.42226716423608</v>
      </c>
      <c r="AK298" s="134">
        <f t="shared" si="76"/>
        <v>-400.19607332546406</v>
      </c>
      <c r="AL298" s="134">
        <f t="shared" si="76"/>
        <v>-502.96987948669204</v>
      </c>
      <c r="AM298" s="134">
        <f t="shared" si="76"/>
        <v>-605.74368564792007</v>
      </c>
      <c r="AN298" s="134">
        <f t="shared" si="76"/>
        <v>-708.51749180914805</v>
      </c>
      <c r="AO298" s="134">
        <f t="shared" si="7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5">
      <c r="A299" s="102"/>
      <c r="B299" s="112" t="s">
        <v>125</v>
      </c>
      <c r="C299" s="135"/>
      <c r="D299" s="134">
        <f t="shared" ref="D299:AO299" si="77">IF(D$267=$B299,0,IF(D$267&gt;$B299,-0.5*D$265-0.5*C$265+C299,0.5*HLOOKUP($B299,$D$264:$AO$265,2,FALSE)+0.5*HLOOKUP($B298,$D$264:$AO$265,2,FALSE)+D298))</f>
        <v>1285.7109814697526</v>
      </c>
      <c r="E299" s="134">
        <f t="shared" si="77"/>
        <v>1277.738467041652</v>
      </c>
      <c r="F299" s="134">
        <f t="shared" si="77"/>
        <v>1261.6463482023648</v>
      </c>
      <c r="G299" s="134">
        <f t="shared" si="77"/>
        <v>1245.1703903413629</v>
      </c>
      <c r="H299" s="134">
        <f t="shared" si="77"/>
        <v>1228.1312753475665</v>
      </c>
      <c r="I299" s="134">
        <f t="shared" si="77"/>
        <v>1210.3496851098964</v>
      </c>
      <c r="J299" s="134">
        <f t="shared" si="77"/>
        <v>1191.6463015172715</v>
      </c>
      <c r="K299" s="134">
        <f t="shared" si="77"/>
        <v>1171.8418064586124</v>
      </c>
      <c r="L299" s="134">
        <f t="shared" si="77"/>
        <v>1150.7568818228394</v>
      </c>
      <c r="M299" s="134">
        <f t="shared" si="77"/>
        <v>1128.2122094988715</v>
      </c>
      <c r="N299" s="134">
        <f t="shared" si="77"/>
        <v>1104.0284713756298</v>
      </c>
      <c r="O299" s="134">
        <f t="shared" si="77"/>
        <v>1078.0263493420339</v>
      </c>
      <c r="P299" s="134">
        <f t="shared" si="77"/>
        <v>1050.0265252870036</v>
      </c>
      <c r="Q299" s="134">
        <f t="shared" si="77"/>
        <v>1019.8496810994587</v>
      </c>
      <c r="R299" s="134">
        <f t="shared" si="77"/>
        <v>987.3164986683197</v>
      </c>
      <c r="S299" s="134">
        <f t="shared" si="77"/>
        <v>952.24765988250658</v>
      </c>
      <c r="T299" s="134">
        <f t="shared" si="77"/>
        <v>914.4638466309392</v>
      </c>
      <c r="U299" s="134">
        <f t="shared" si="77"/>
        <v>873.78574080253736</v>
      </c>
      <c r="V299" s="134">
        <f t="shared" si="77"/>
        <v>830.03402428622167</v>
      </c>
      <c r="W299" s="134">
        <f t="shared" si="77"/>
        <v>783.02937897091158</v>
      </c>
      <c r="X299" s="134">
        <f t="shared" si="77"/>
        <v>732.59248674552703</v>
      </c>
      <c r="Y299" s="134">
        <f t="shared" si="77"/>
        <v>678.54402949898827</v>
      </c>
      <c r="Z299" s="134">
        <f t="shared" si="77"/>
        <v>620.70468912021533</v>
      </c>
      <c r="AA299" s="134">
        <f t="shared" si="77"/>
        <v>558.89514749812804</v>
      </c>
      <c r="AB299" s="134">
        <f t="shared" si="77"/>
        <v>492.93608652164653</v>
      </c>
      <c r="AC299" s="134">
        <f t="shared" si="77"/>
        <v>422.64818807969073</v>
      </c>
      <c r="AD299" s="134">
        <f t="shared" si="77"/>
        <v>347.85213406118146</v>
      </c>
      <c r="AE299" s="134">
        <f t="shared" si="77"/>
        <v>268.36860635503785</v>
      </c>
      <c r="AF299" s="134">
        <f t="shared" si="77"/>
        <v>184.01828685017941</v>
      </c>
      <c r="AG299" s="134">
        <f t="shared" si="77"/>
        <v>94.621857435526891</v>
      </c>
      <c r="AH299" s="134">
        <f t="shared" si="77"/>
        <v>0</v>
      </c>
      <c r="AI299" s="134">
        <f t="shared" si="77"/>
        <v>-100.0266035674812</v>
      </c>
      <c r="AJ299" s="134">
        <f t="shared" si="77"/>
        <v>-202.80040972870918</v>
      </c>
      <c r="AK299" s="134">
        <f t="shared" si="77"/>
        <v>-305.57421588993714</v>
      </c>
      <c r="AL299" s="134">
        <f t="shared" si="77"/>
        <v>-408.34802205116512</v>
      </c>
      <c r="AM299" s="134">
        <f t="shared" si="77"/>
        <v>-511.1218282123931</v>
      </c>
      <c r="AN299" s="134">
        <f t="shared" si="77"/>
        <v>-613.89563437362108</v>
      </c>
      <c r="AO299" s="134">
        <f t="shared" si="77"/>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5">
      <c r="A300" s="102"/>
      <c r="B300" s="112" t="s">
        <v>126</v>
      </c>
      <c r="C300" s="135"/>
      <c r="D300" s="134">
        <f t="shared" ref="D300:AO300" si="78">IF(D$267=$B300,0,IF(D$267&gt;$B300,-0.5*D$265-0.5*C$265+C300,0.5*HLOOKUP($B300,$D$264:$AO$265,2,FALSE)+0.5*HLOOKUP($B299,$D$264:$AO$265,2,FALSE)+D299))</f>
        <v>1385.7375850372339</v>
      </c>
      <c r="E300" s="134">
        <f t="shared" si="78"/>
        <v>1377.7650706091333</v>
      </c>
      <c r="F300" s="134">
        <f t="shared" si="78"/>
        <v>1361.6729517698461</v>
      </c>
      <c r="G300" s="134">
        <f t="shared" si="78"/>
        <v>1345.1969939088442</v>
      </c>
      <c r="H300" s="134">
        <f t="shared" si="78"/>
        <v>1328.1578789150478</v>
      </c>
      <c r="I300" s="134">
        <f t="shared" si="78"/>
        <v>1310.3762886773777</v>
      </c>
      <c r="J300" s="134">
        <f t="shared" si="78"/>
        <v>1291.6729050847528</v>
      </c>
      <c r="K300" s="134">
        <f t="shared" si="78"/>
        <v>1271.8684100260937</v>
      </c>
      <c r="L300" s="134">
        <f t="shared" si="78"/>
        <v>1250.7834853903207</v>
      </c>
      <c r="M300" s="134">
        <f t="shared" si="78"/>
        <v>1228.2388130663528</v>
      </c>
      <c r="N300" s="134">
        <f t="shared" si="78"/>
        <v>1204.0550749431111</v>
      </c>
      <c r="O300" s="134">
        <f t="shared" si="78"/>
        <v>1178.0529529095152</v>
      </c>
      <c r="P300" s="134">
        <f t="shared" si="78"/>
        <v>1150.0531288544848</v>
      </c>
      <c r="Q300" s="134">
        <f t="shared" si="78"/>
        <v>1119.8762846669399</v>
      </c>
      <c r="R300" s="134">
        <f t="shared" si="78"/>
        <v>1087.3431022358009</v>
      </c>
      <c r="S300" s="134">
        <f t="shared" si="78"/>
        <v>1052.2742634499878</v>
      </c>
      <c r="T300" s="134">
        <f t="shared" si="78"/>
        <v>1014.4904501984204</v>
      </c>
      <c r="U300" s="134">
        <f t="shared" si="78"/>
        <v>973.81234437001854</v>
      </c>
      <c r="V300" s="134">
        <f t="shared" si="78"/>
        <v>930.06062785370284</v>
      </c>
      <c r="W300" s="134">
        <f t="shared" si="78"/>
        <v>883.05598253839275</v>
      </c>
      <c r="X300" s="134">
        <f t="shared" si="78"/>
        <v>832.6190903130082</v>
      </c>
      <c r="Y300" s="134">
        <f t="shared" si="78"/>
        <v>778.57063306646944</v>
      </c>
      <c r="Z300" s="134">
        <f t="shared" si="78"/>
        <v>720.73129268769651</v>
      </c>
      <c r="AA300" s="134">
        <f t="shared" si="78"/>
        <v>658.92175106560921</v>
      </c>
      <c r="AB300" s="134">
        <f t="shared" si="78"/>
        <v>592.9626900891277</v>
      </c>
      <c r="AC300" s="134">
        <f t="shared" si="78"/>
        <v>522.6747916471719</v>
      </c>
      <c r="AD300" s="134">
        <f t="shared" si="78"/>
        <v>447.87873762866263</v>
      </c>
      <c r="AE300" s="134">
        <f t="shared" si="78"/>
        <v>368.39520992251903</v>
      </c>
      <c r="AF300" s="134">
        <f t="shared" si="78"/>
        <v>284.04489041766061</v>
      </c>
      <c r="AG300" s="134">
        <f t="shared" si="78"/>
        <v>194.64846100300809</v>
      </c>
      <c r="AH300" s="134">
        <f t="shared" si="78"/>
        <v>100.0266035674812</v>
      </c>
      <c r="AI300" s="134">
        <f t="shared" si="78"/>
        <v>0</v>
      </c>
      <c r="AJ300" s="134">
        <f t="shared" si="78"/>
        <v>-102.77380616122798</v>
      </c>
      <c r="AK300" s="134">
        <f t="shared" si="78"/>
        <v>-205.54761232245596</v>
      </c>
      <c r="AL300" s="134">
        <f t="shared" si="78"/>
        <v>-308.32141848368394</v>
      </c>
      <c r="AM300" s="134">
        <f t="shared" si="78"/>
        <v>-411.09522464491192</v>
      </c>
      <c r="AN300" s="134">
        <f t="shared" si="78"/>
        <v>-513.8690308061399</v>
      </c>
      <c r="AO300" s="134">
        <f t="shared" si="78"/>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5">
      <c r="A301" s="102"/>
      <c r="B301" s="112" t="s">
        <v>127</v>
      </c>
      <c r="C301" s="135"/>
      <c r="D301" s="134">
        <f t="shared" ref="D301:AO301" si="79">IF(D$267=$B301,0,IF(D$267&gt;$B301,-0.5*D$265-0.5*C$265+C301,0.5*HLOOKUP($B301,$D$264:$AO$265,2,FALSE)+0.5*HLOOKUP($B300,$D$264:$AO$265,2,FALSE)+D300))</f>
        <v>1488.5113911984618</v>
      </c>
      <c r="E301" s="134">
        <f t="shared" si="79"/>
        <v>1480.5388767703612</v>
      </c>
      <c r="F301" s="134">
        <f t="shared" si="79"/>
        <v>1464.446757931074</v>
      </c>
      <c r="G301" s="134">
        <f t="shared" si="79"/>
        <v>1447.9708000700721</v>
      </c>
      <c r="H301" s="134">
        <f t="shared" si="79"/>
        <v>1430.9316850762757</v>
      </c>
      <c r="I301" s="134">
        <f t="shared" si="79"/>
        <v>1413.1500948386056</v>
      </c>
      <c r="J301" s="134">
        <f t="shared" si="79"/>
        <v>1394.4467112459806</v>
      </c>
      <c r="K301" s="134">
        <f t="shared" si="79"/>
        <v>1374.6422161873215</v>
      </c>
      <c r="L301" s="134">
        <f t="shared" si="79"/>
        <v>1353.5572915515486</v>
      </c>
      <c r="M301" s="134">
        <f t="shared" si="79"/>
        <v>1331.0126192275807</v>
      </c>
      <c r="N301" s="134">
        <f t="shared" si="79"/>
        <v>1306.828881104339</v>
      </c>
      <c r="O301" s="134">
        <f t="shared" si="79"/>
        <v>1280.8267590707433</v>
      </c>
      <c r="P301" s="134">
        <f t="shared" si="79"/>
        <v>1252.8269350157129</v>
      </c>
      <c r="Q301" s="134">
        <f t="shared" si="79"/>
        <v>1222.6500908281678</v>
      </c>
      <c r="R301" s="134">
        <f t="shared" si="79"/>
        <v>1190.116908397029</v>
      </c>
      <c r="S301" s="134">
        <f t="shared" si="79"/>
        <v>1155.0480696112159</v>
      </c>
      <c r="T301" s="134">
        <f t="shared" si="79"/>
        <v>1117.2642563596482</v>
      </c>
      <c r="U301" s="134">
        <f t="shared" si="79"/>
        <v>1076.5861505312464</v>
      </c>
      <c r="V301" s="134">
        <f t="shared" si="79"/>
        <v>1032.8344340149308</v>
      </c>
      <c r="W301" s="134">
        <f t="shared" si="79"/>
        <v>985.82978869962074</v>
      </c>
      <c r="X301" s="134">
        <f t="shared" si="79"/>
        <v>935.39289647423618</v>
      </c>
      <c r="Y301" s="134">
        <f t="shared" si="79"/>
        <v>881.34443922769742</v>
      </c>
      <c r="Z301" s="134">
        <f t="shared" si="79"/>
        <v>823.50509884892449</v>
      </c>
      <c r="AA301" s="134">
        <f t="shared" si="79"/>
        <v>761.6955572268372</v>
      </c>
      <c r="AB301" s="134">
        <f t="shared" si="79"/>
        <v>695.73649625035569</v>
      </c>
      <c r="AC301" s="134">
        <f t="shared" si="79"/>
        <v>625.44859780839988</v>
      </c>
      <c r="AD301" s="134">
        <f t="shared" si="79"/>
        <v>550.65254378989061</v>
      </c>
      <c r="AE301" s="134">
        <f t="shared" si="79"/>
        <v>471.16901608374701</v>
      </c>
      <c r="AF301" s="134">
        <f t="shared" si="79"/>
        <v>386.81869657888859</v>
      </c>
      <c r="AG301" s="134">
        <f t="shared" si="79"/>
        <v>297.42226716423608</v>
      </c>
      <c r="AH301" s="134">
        <f t="shared" si="79"/>
        <v>202.80040972870918</v>
      </c>
      <c r="AI301" s="134">
        <f t="shared" si="79"/>
        <v>102.77380616122798</v>
      </c>
      <c r="AJ301" s="134">
        <f t="shared" si="79"/>
        <v>0</v>
      </c>
      <c r="AK301" s="134">
        <f t="shared" si="79"/>
        <v>-102.77380616122798</v>
      </c>
      <c r="AL301" s="134">
        <f t="shared" si="79"/>
        <v>-205.54761232245596</v>
      </c>
      <c r="AM301" s="134">
        <f t="shared" si="79"/>
        <v>-308.32141848368394</v>
      </c>
      <c r="AN301" s="134">
        <f t="shared" si="79"/>
        <v>-411.09522464491192</v>
      </c>
      <c r="AO301" s="134">
        <f t="shared" si="79"/>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5">
      <c r="A302" s="102"/>
      <c r="B302" s="112" t="s">
        <v>128</v>
      </c>
      <c r="C302" s="135"/>
      <c r="D302" s="134">
        <f t="shared" ref="D302:AO302" si="80">IF(D$267=$B302,0,IF(D$267&gt;$B302,-0.5*D$265-0.5*C$265+C302,0.5*HLOOKUP($B302,$D$264:$AO$265,2,FALSE)+0.5*HLOOKUP($B301,$D$264:$AO$265,2,FALSE)+D301))</f>
        <v>1591.2851973596898</v>
      </c>
      <c r="E302" s="134">
        <f t="shared" si="80"/>
        <v>1583.3126829315893</v>
      </c>
      <c r="F302" s="134">
        <f t="shared" si="80"/>
        <v>1567.2205640923021</v>
      </c>
      <c r="G302" s="134">
        <f t="shared" si="80"/>
        <v>1550.7446062313002</v>
      </c>
      <c r="H302" s="134">
        <f t="shared" si="80"/>
        <v>1533.7054912375038</v>
      </c>
      <c r="I302" s="134">
        <f t="shared" si="80"/>
        <v>1515.9239009998337</v>
      </c>
      <c r="J302" s="134">
        <f t="shared" si="80"/>
        <v>1497.2205174072087</v>
      </c>
      <c r="K302" s="134">
        <f t="shared" si="80"/>
        <v>1477.4160223485496</v>
      </c>
      <c r="L302" s="134">
        <f t="shared" si="80"/>
        <v>1456.3310977127767</v>
      </c>
      <c r="M302" s="134">
        <f t="shared" si="80"/>
        <v>1433.7864253888088</v>
      </c>
      <c r="N302" s="134">
        <f t="shared" si="80"/>
        <v>1409.6026872655671</v>
      </c>
      <c r="O302" s="134">
        <f t="shared" si="80"/>
        <v>1383.6005652319714</v>
      </c>
      <c r="P302" s="134">
        <f t="shared" si="80"/>
        <v>1355.600741176941</v>
      </c>
      <c r="Q302" s="134">
        <f t="shared" si="80"/>
        <v>1325.4238969893959</v>
      </c>
      <c r="R302" s="134">
        <f t="shared" si="80"/>
        <v>1292.8907145582571</v>
      </c>
      <c r="S302" s="134">
        <f t="shared" si="80"/>
        <v>1257.8218757724439</v>
      </c>
      <c r="T302" s="134">
        <f t="shared" si="80"/>
        <v>1220.0380625208763</v>
      </c>
      <c r="U302" s="134">
        <f t="shared" si="80"/>
        <v>1179.3599566924745</v>
      </c>
      <c r="V302" s="134">
        <f t="shared" si="80"/>
        <v>1135.6082401761587</v>
      </c>
      <c r="W302" s="134">
        <f t="shared" si="80"/>
        <v>1088.6035948608487</v>
      </c>
      <c r="X302" s="134">
        <f t="shared" si="80"/>
        <v>1038.1667026354642</v>
      </c>
      <c r="Y302" s="134">
        <f t="shared" si="80"/>
        <v>984.1182453889254</v>
      </c>
      <c r="Z302" s="134">
        <f t="shared" si="80"/>
        <v>926.27890501015247</v>
      </c>
      <c r="AA302" s="134">
        <f t="shared" si="80"/>
        <v>864.46936338806518</v>
      </c>
      <c r="AB302" s="134">
        <f t="shared" si="80"/>
        <v>798.51030241158367</v>
      </c>
      <c r="AC302" s="134">
        <f t="shared" si="80"/>
        <v>728.22240396962786</v>
      </c>
      <c r="AD302" s="134">
        <f t="shared" si="80"/>
        <v>653.4263499511186</v>
      </c>
      <c r="AE302" s="134">
        <f t="shared" si="80"/>
        <v>573.94282224497499</v>
      </c>
      <c r="AF302" s="134">
        <f t="shared" si="80"/>
        <v>489.59250274011657</v>
      </c>
      <c r="AG302" s="134">
        <f t="shared" si="80"/>
        <v>400.19607332546406</v>
      </c>
      <c r="AH302" s="134">
        <f t="shared" si="80"/>
        <v>305.57421588993714</v>
      </c>
      <c r="AI302" s="134">
        <f t="shared" si="80"/>
        <v>205.54761232245596</v>
      </c>
      <c r="AJ302" s="134">
        <f t="shared" si="80"/>
        <v>102.77380616122798</v>
      </c>
      <c r="AK302" s="134">
        <f t="shared" si="80"/>
        <v>0</v>
      </c>
      <c r="AL302" s="134">
        <f t="shared" si="80"/>
        <v>-102.77380616122798</v>
      </c>
      <c r="AM302" s="134">
        <f t="shared" si="80"/>
        <v>-205.54761232245596</v>
      </c>
      <c r="AN302" s="134">
        <f t="shared" si="80"/>
        <v>-308.32141848368394</v>
      </c>
      <c r="AO302" s="134">
        <f t="shared" si="80"/>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5">
      <c r="A303" s="102"/>
      <c r="B303" s="112" t="s">
        <v>129</v>
      </c>
      <c r="C303" s="135"/>
      <c r="D303" s="134">
        <f t="shared" ref="D303:AO303" si="81">IF(D$267=$B303,0,IF(D$267&gt;$B303,-0.5*D$265-0.5*C$265+C303,0.5*HLOOKUP($B303,$D$264:$AO$265,2,FALSE)+0.5*HLOOKUP($B302,$D$264:$AO$265,2,FALSE)+D302))</f>
        <v>1694.0590035209179</v>
      </c>
      <c r="E303" s="134">
        <f t="shared" si="81"/>
        <v>1686.0864890928174</v>
      </c>
      <c r="F303" s="134">
        <f t="shared" si="81"/>
        <v>1669.9943702535302</v>
      </c>
      <c r="G303" s="134">
        <f t="shared" si="81"/>
        <v>1653.5184123925283</v>
      </c>
      <c r="H303" s="134">
        <f t="shared" si="81"/>
        <v>1636.4792973987319</v>
      </c>
      <c r="I303" s="134">
        <f t="shared" si="81"/>
        <v>1618.6977071610618</v>
      </c>
      <c r="J303" s="134">
        <f t="shared" si="81"/>
        <v>1599.9943235684368</v>
      </c>
      <c r="K303" s="134">
        <f t="shared" si="81"/>
        <v>1580.1898285097777</v>
      </c>
      <c r="L303" s="134">
        <f t="shared" si="81"/>
        <v>1559.1049038740048</v>
      </c>
      <c r="M303" s="134">
        <f t="shared" si="81"/>
        <v>1536.5602315500369</v>
      </c>
      <c r="N303" s="134">
        <f t="shared" si="81"/>
        <v>1512.3764934267952</v>
      </c>
      <c r="O303" s="134">
        <f t="shared" si="81"/>
        <v>1486.3743713931995</v>
      </c>
      <c r="P303" s="134">
        <f t="shared" si="81"/>
        <v>1458.3745473381691</v>
      </c>
      <c r="Q303" s="134">
        <f t="shared" si="81"/>
        <v>1428.197703150624</v>
      </c>
      <c r="R303" s="134">
        <f t="shared" si="81"/>
        <v>1395.6645207194852</v>
      </c>
      <c r="S303" s="134">
        <f t="shared" si="81"/>
        <v>1360.595681933672</v>
      </c>
      <c r="T303" s="134">
        <f t="shared" si="81"/>
        <v>1322.8118686821044</v>
      </c>
      <c r="U303" s="134">
        <f t="shared" si="81"/>
        <v>1282.1337628537026</v>
      </c>
      <c r="V303" s="134">
        <f t="shared" si="81"/>
        <v>1238.3820463373868</v>
      </c>
      <c r="W303" s="134">
        <f t="shared" si="81"/>
        <v>1191.3774010220768</v>
      </c>
      <c r="X303" s="134">
        <f t="shared" si="81"/>
        <v>1140.940508796692</v>
      </c>
      <c r="Y303" s="134">
        <f t="shared" si="81"/>
        <v>1086.8920515501534</v>
      </c>
      <c r="Z303" s="134">
        <f t="shared" si="81"/>
        <v>1029.0527111713805</v>
      </c>
      <c r="AA303" s="134">
        <f t="shared" si="81"/>
        <v>967.24316954929316</v>
      </c>
      <c r="AB303" s="134">
        <f t="shared" si="81"/>
        <v>901.28410857281165</v>
      </c>
      <c r="AC303" s="134">
        <f t="shared" si="81"/>
        <v>830.99621013085584</v>
      </c>
      <c r="AD303" s="134">
        <f t="shared" si="81"/>
        <v>756.20015611234658</v>
      </c>
      <c r="AE303" s="134">
        <f t="shared" si="81"/>
        <v>676.71662840620297</v>
      </c>
      <c r="AF303" s="134">
        <f t="shared" si="81"/>
        <v>592.36630890134461</v>
      </c>
      <c r="AG303" s="134">
        <f t="shared" si="81"/>
        <v>502.96987948669204</v>
      </c>
      <c r="AH303" s="134">
        <f t="shared" si="81"/>
        <v>408.34802205116512</v>
      </c>
      <c r="AI303" s="134">
        <f t="shared" si="81"/>
        <v>308.32141848368394</v>
      </c>
      <c r="AJ303" s="134">
        <f t="shared" si="81"/>
        <v>205.54761232245596</v>
      </c>
      <c r="AK303" s="134">
        <f t="shared" si="81"/>
        <v>102.77380616122798</v>
      </c>
      <c r="AL303" s="134">
        <f t="shared" si="81"/>
        <v>0</v>
      </c>
      <c r="AM303" s="134">
        <f t="shared" si="81"/>
        <v>-102.77380616122798</v>
      </c>
      <c r="AN303" s="134">
        <f t="shared" si="81"/>
        <v>-205.54761232245596</v>
      </c>
      <c r="AO303" s="134">
        <f t="shared" si="81"/>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5">
      <c r="A304" s="102"/>
      <c r="B304" s="112" t="s">
        <v>130</v>
      </c>
      <c r="C304" s="135"/>
      <c r="D304" s="134">
        <f t="shared" ref="D304:AO304" si="82">IF(D$267=$B304,0,IF(D$267&gt;$B304,-0.5*D$265-0.5*C$265+C304,0.5*HLOOKUP($B304,$D$264:$AO$265,2,FALSE)+0.5*HLOOKUP($B303,$D$264:$AO$265,2,FALSE)+D303))</f>
        <v>1796.832809682146</v>
      </c>
      <c r="E304" s="134">
        <f t="shared" si="82"/>
        <v>1788.8602952540455</v>
      </c>
      <c r="F304" s="134">
        <f t="shared" si="82"/>
        <v>1772.7681764147583</v>
      </c>
      <c r="G304" s="134">
        <f t="shared" si="82"/>
        <v>1756.2922185537564</v>
      </c>
      <c r="H304" s="134">
        <f t="shared" si="82"/>
        <v>1739.25310355996</v>
      </c>
      <c r="I304" s="134">
        <f t="shared" si="82"/>
        <v>1721.4715133222899</v>
      </c>
      <c r="J304" s="134">
        <f t="shared" si="82"/>
        <v>1702.7681297296649</v>
      </c>
      <c r="K304" s="134">
        <f t="shared" si="82"/>
        <v>1682.9636346710058</v>
      </c>
      <c r="L304" s="134">
        <f t="shared" si="82"/>
        <v>1661.8787100352329</v>
      </c>
      <c r="M304" s="134">
        <f t="shared" si="82"/>
        <v>1639.334037711265</v>
      </c>
      <c r="N304" s="134">
        <f t="shared" si="82"/>
        <v>1615.1502995880232</v>
      </c>
      <c r="O304" s="134">
        <f t="shared" si="82"/>
        <v>1589.1481775544275</v>
      </c>
      <c r="P304" s="134">
        <f t="shared" si="82"/>
        <v>1561.1483534993972</v>
      </c>
      <c r="Q304" s="134">
        <f t="shared" si="82"/>
        <v>1530.9715093118521</v>
      </c>
      <c r="R304" s="134">
        <f t="shared" si="82"/>
        <v>1498.4383268807132</v>
      </c>
      <c r="S304" s="134">
        <f t="shared" si="82"/>
        <v>1463.3694880949001</v>
      </c>
      <c r="T304" s="134">
        <f t="shared" si="82"/>
        <v>1425.5856748433325</v>
      </c>
      <c r="U304" s="134">
        <f t="shared" si="82"/>
        <v>1384.9075690149307</v>
      </c>
      <c r="V304" s="134">
        <f t="shared" si="82"/>
        <v>1341.1558524986149</v>
      </c>
      <c r="W304" s="134">
        <f t="shared" si="82"/>
        <v>1294.1512071833049</v>
      </c>
      <c r="X304" s="134">
        <f t="shared" si="82"/>
        <v>1243.7143149579201</v>
      </c>
      <c r="Y304" s="134">
        <f t="shared" si="82"/>
        <v>1189.6658577113812</v>
      </c>
      <c r="Z304" s="134">
        <f t="shared" si="82"/>
        <v>1131.8265173326085</v>
      </c>
      <c r="AA304" s="134">
        <f t="shared" si="82"/>
        <v>1070.0169757105211</v>
      </c>
      <c r="AB304" s="134">
        <f t="shared" si="82"/>
        <v>1004.0579147340396</v>
      </c>
      <c r="AC304" s="134">
        <f t="shared" si="82"/>
        <v>933.77001629208382</v>
      </c>
      <c r="AD304" s="134">
        <f t="shared" si="82"/>
        <v>858.97396227357456</v>
      </c>
      <c r="AE304" s="134">
        <f t="shared" si="82"/>
        <v>779.49043456743095</v>
      </c>
      <c r="AF304" s="134">
        <f t="shared" si="82"/>
        <v>695.14011506257259</v>
      </c>
      <c r="AG304" s="134">
        <f t="shared" si="82"/>
        <v>605.74368564792007</v>
      </c>
      <c r="AH304" s="134">
        <f t="shared" si="82"/>
        <v>511.1218282123931</v>
      </c>
      <c r="AI304" s="134">
        <f t="shared" si="82"/>
        <v>411.09522464491192</v>
      </c>
      <c r="AJ304" s="134">
        <f t="shared" si="82"/>
        <v>308.32141848368394</v>
      </c>
      <c r="AK304" s="134">
        <f t="shared" si="82"/>
        <v>205.54761232245596</v>
      </c>
      <c r="AL304" s="134">
        <f t="shared" si="82"/>
        <v>102.77380616122798</v>
      </c>
      <c r="AM304" s="134">
        <f t="shared" si="82"/>
        <v>0</v>
      </c>
      <c r="AN304" s="134">
        <f t="shared" si="82"/>
        <v>-102.77380616122798</v>
      </c>
      <c r="AO304" s="134">
        <f t="shared" si="82"/>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5">
      <c r="A305" s="102"/>
      <c r="B305" s="112" t="s">
        <v>131</v>
      </c>
      <c r="C305" s="135"/>
      <c r="D305" s="134">
        <f t="shared" ref="D305:AO305" si="83">IF(D$267=$B305,0,IF(D$267&gt;$B305,-0.5*D$265-0.5*C$265+C305,0.5*HLOOKUP($B305,$D$264:$AO$265,2,FALSE)+0.5*HLOOKUP($B304,$D$264:$AO$265,2,FALSE)+D304))</f>
        <v>1899.6066158433741</v>
      </c>
      <c r="E305" s="134">
        <f t="shared" si="83"/>
        <v>1891.6341014152736</v>
      </c>
      <c r="F305" s="134">
        <f t="shared" si="83"/>
        <v>1875.5419825759864</v>
      </c>
      <c r="G305" s="134">
        <f t="shared" si="83"/>
        <v>1859.0660247149845</v>
      </c>
      <c r="H305" s="134">
        <f t="shared" si="83"/>
        <v>1842.0269097211881</v>
      </c>
      <c r="I305" s="134">
        <f t="shared" si="83"/>
        <v>1824.245319483518</v>
      </c>
      <c r="J305" s="134">
        <f t="shared" si="83"/>
        <v>1805.541935890893</v>
      </c>
      <c r="K305" s="134">
        <f t="shared" si="83"/>
        <v>1785.7374408322339</v>
      </c>
      <c r="L305" s="134">
        <f t="shared" si="83"/>
        <v>1764.652516196461</v>
      </c>
      <c r="M305" s="134">
        <f t="shared" si="83"/>
        <v>1742.107843872493</v>
      </c>
      <c r="N305" s="134">
        <f t="shared" si="83"/>
        <v>1717.9241057492513</v>
      </c>
      <c r="O305" s="134">
        <f t="shared" si="83"/>
        <v>1691.9219837156556</v>
      </c>
      <c r="P305" s="134">
        <f t="shared" si="83"/>
        <v>1663.9221596606253</v>
      </c>
      <c r="Q305" s="134">
        <f t="shared" si="83"/>
        <v>1633.7453154730802</v>
      </c>
      <c r="R305" s="134">
        <f t="shared" si="83"/>
        <v>1601.2121330419413</v>
      </c>
      <c r="S305" s="134">
        <f t="shared" si="83"/>
        <v>1566.1432942561282</v>
      </c>
      <c r="T305" s="134">
        <f t="shared" si="83"/>
        <v>1528.3594810045606</v>
      </c>
      <c r="U305" s="134">
        <f t="shared" si="83"/>
        <v>1487.6813751761588</v>
      </c>
      <c r="V305" s="134">
        <f t="shared" si="83"/>
        <v>1443.929658659843</v>
      </c>
      <c r="W305" s="134">
        <f t="shared" si="83"/>
        <v>1396.925013344533</v>
      </c>
      <c r="X305" s="134">
        <f t="shared" si="83"/>
        <v>1346.4881211191482</v>
      </c>
      <c r="Y305" s="134">
        <f t="shared" si="83"/>
        <v>1292.4396638726093</v>
      </c>
      <c r="Z305" s="134">
        <f t="shared" si="83"/>
        <v>1234.6003234938366</v>
      </c>
      <c r="AA305" s="134">
        <f t="shared" si="83"/>
        <v>1172.790781871749</v>
      </c>
      <c r="AB305" s="134">
        <f t="shared" si="83"/>
        <v>1106.8317208952676</v>
      </c>
      <c r="AC305" s="134">
        <f t="shared" si="83"/>
        <v>1036.5438224533118</v>
      </c>
      <c r="AD305" s="134">
        <f t="shared" si="83"/>
        <v>961.74776843480254</v>
      </c>
      <c r="AE305" s="134">
        <f t="shared" si="83"/>
        <v>882.26424072865893</v>
      </c>
      <c r="AF305" s="134">
        <f t="shared" si="83"/>
        <v>797.91392122380057</v>
      </c>
      <c r="AG305" s="134">
        <f t="shared" si="83"/>
        <v>708.51749180914805</v>
      </c>
      <c r="AH305" s="134">
        <f t="shared" si="83"/>
        <v>613.89563437362108</v>
      </c>
      <c r="AI305" s="134">
        <f t="shared" si="83"/>
        <v>513.8690308061399</v>
      </c>
      <c r="AJ305" s="134">
        <f t="shared" si="83"/>
        <v>411.09522464491192</v>
      </c>
      <c r="AK305" s="134">
        <f t="shared" si="83"/>
        <v>308.32141848368394</v>
      </c>
      <c r="AL305" s="134">
        <f t="shared" si="83"/>
        <v>205.54761232245596</v>
      </c>
      <c r="AM305" s="134">
        <f t="shared" si="83"/>
        <v>102.77380616122798</v>
      </c>
      <c r="AN305" s="134">
        <f t="shared" si="83"/>
        <v>0</v>
      </c>
      <c r="AO305" s="134">
        <f t="shared" si="83"/>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5">
      <c r="A306" s="102"/>
      <c r="B306" s="112" t="s">
        <v>132</v>
      </c>
      <c r="C306" s="135"/>
      <c r="D306" s="134">
        <f t="shared" ref="D306:AO306" si="84">IF(D$267=$B306,0,IF(D$267&gt;$B306,-0.5*D$265-0.5*C$265+C306,0.5*HLOOKUP($B306,$D$264:$AO$265,2,FALSE)+0.5*HLOOKUP($B305,$D$264:$AO$265,2,FALSE)+D305))</f>
        <v>2002.3804220046022</v>
      </c>
      <c r="E306" s="134">
        <f t="shared" si="84"/>
        <v>1994.4079075765017</v>
      </c>
      <c r="F306" s="134">
        <f t="shared" si="84"/>
        <v>1978.3157887372145</v>
      </c>
      <c r="G306" s="134">
        <f t="shared" si="84"/>
        <v>1961.8398308762125</v>
      </c>
      <c r="H306" s="134">
        <f t="shared" si="84"/>
        <v>1944.8007158824162</v>
      </c>
      <c r="I306" s="134">
        <f t="shared" si="84"/>
        <v>1927.0191256447461</v>
      </c>
      <c r="J306" s="134">
        <f t="shared" si="84"/>
        <v>1908.3157420521211</v>
      </c>
      <c r="K306" s="134">
        <f t="shared" si="84"/>
        <v>1888.511246993462</v>
      </c>
      <c r="L306" s="134">
        <f t="shared" si="84"/>
        <v>1867.4263223576891</v>
      </c>
      <c r="M306" s="134">
        <f t="shared" si="84"/>
        <v>1844.8816500337211</v>
      </c>
      <c r="N306" s="134">
        <f t="shared" si="84"/>
        <v>1820.6979119104794</v>
      </c>
      <c r="O306" s="134">
        <f t="shared" si="84"/>
        <v>1794.6957898768837</v>
      </c>
      <c r="P306" s="134">
        <f t="shared" si="84"/>
        <v>1766.6959658218534</v>
      </c>
      <c r="Q306" s="134">
        <f t="shared" si="84"/>
        <v>1736.5191216343082</v>
      </c>
      <c r="R306" s="134">
        <f t="shared" si="84"/>
        <v>1703.9859392031694</v>
      </c>
      <c r="S306" s="134">
        <f t="shared" si="84"/>
        <v>1668.9171004173563</v>
      </c>
      <c r="T306" s="134">
        <f t="shared" si="84"/>
        <v>1631.1332871657887</v>
      </c>
      <c r="U306" s="134">
        <f t="shared" si="84"/>
        <v>1590.4551813373869</v>
      </c>
      <c r="V306" s="134">
        <f t="shared" si="84"/>
        <v>1546.7034648210711</v>
      </c>
      <c r="W306" s="134">
        <f t="shared" si="84"/>
        <v>1499.6988195057611</v>
      </c>
      <c r="X306" s="134">
        <f t="shared" si="84"/>
        <v>1449.2619272803763</v>
      </c>
      <c r="Y306" s="134">
        <f t="shared" si="84"/>
        <v>1395.2134700338374</v>
      </c>
      <c r="Z306" s="134">
        <f t="shared" si="84"/>
        <v>1337.3741296550647</v>
      </c>
      <c r="AA306" s="134">
        <f t="shared" si="84"/>
        <v>1275.5645880329771</v>
      </c>
      <c r="AB306" s="134">
        <f t="shared" si="84"/>
        <v>1209.6055270564957</v>
      </c>
      <c r="AC306" s="134">
        <f t="shared" si="84"/>
        <v>1139.3176286145399</v>
      </c>
      <c r="AD306" s="134">
        <f t="shared" si="84"/>
        <v>1064.5215745960304</v>
      </c>
      <c r="AE306" s="134">
        <f t="shared" si="84"/>
        <v>985.03804688988691</v>
      </c>
      <c r="AF306" s="134">
        <f t="shared" si="84"/>
        <v>900.68772738502855</v>
      </c>
      <c r="AG306" s="134">
        <f t="shared" si="84"/>
        <v>811.29129797037604</v>
      </c>
      <c r="AH306" s="134">
        <f t="shared" si="84"/>
        <v>716.66944053484906</v>
      </c>
      <c r="AI306" s="134">
        <f t="shared" si="84"/>
        <v>616.64283696736788</v>
      </c>
      <c r="AJ306" s="134">
        <f t="shared" si="84"/>
        <v>513.8690308061399</v>
      </c>
      <c r="AK306" s="134">
        <f t="shared" si="84"/>
        <v>411.09522464491192</v>
      </c>
      <c r="AL306" s="134">
        <f t="shared" si="84"/>
        <v>308.32141848368394</v>
      </c>
      <c r="AM306" s="134">
        <f t="shared" si="84"/>
        <v>205.54761232245596</v>
      </c>
      <c r="AN306" s="134">
        <f t="shared" si="84"/>
        <v>102.77380616122798</v>
      </c>
      <c r="AO306" s="134">
        <f t="shared" si="84"/>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5">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5" x14ac:dyDescent="0.35">
      <c r="B308" s="8" t="s">
        <v>147</v>
      </c>
      <c r="C308" s="9"/>
      <c r="D308" s="10"/>
      <c r="E308" s="10"/>
    </row>
    <row r="309" spans="1:95" ht="15" customHeight="1" x14ac:dyDescent="0.35">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5">
      <c r="A310" s="102"/>
      <c r="B310" s="151" t="s">
        <v>141</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5">
      <c r="A311" s="102"/>
      <c r="B311" s="151"/>
      <c r="C311" s="64" t="s">
        <v>223</v>
      </c>
      <c r="D311" s="12" t="s">
        <v>95</v>
      </c>
      <c r="E311" s="13" t="s">
        <v>96</v>
      </c>
      <c r="F311" s="97" t="s">
        <v>97</v>
      </c>
      <c r="G311" s="97" t="s">
        <v>98</v>
      </c>
      <c r="H311" s="97" t="s">
        <v>99</v>
      </c>
      <c r="I311" s="97" t="s">
        <v>100</v>
      </c>
      <c r="J311" s="97" t="s">
        <v>101</v>
      </c>
      <c r="K311" s="97" t="s">
        <v>102</v>
      </c>
      <c r="L311" s="97" t="s">
        <v>103</v>
      </c>
      <c r="M311" s="97" t="s">
        <v>104</v>
      </c>
      <c r="N311" s="97" t="s">
        <v>105</v>
      </c>
      <c r="O311" s="97" t="s">
        <v>106</v>
      </c>
      <c r="P311" s="97" t="s">
        <v>107</v>
      </c>
      <c r="Q311" s="97" t="s">
        <v>108</v>
      </c>
      <c r="R311" s="97" t="s">
        <v>109</v>
      </c>
      <c r="S311" s="97" t="s">
        <v>110</v>
      </c>
      <c r="T311" s="97" t="s">
        <v>111</v>
      </c>
      <c r="U311" s="97" t="s">
        <v>112</v>
      </c>
      <c r="V311" s="97" t="s">
        <v>113</v>
      </c>
      <c r="W311" s="97" t="s">
        <v>114</v>
      </c>
      <c r="X311" s="97" t="s">
        <v>115</v>
      </c>
      <c r="Y311" s="97" t="s">
        <v>116</v>
      </c>
      <c r="Z311" s="97" t="s">
        <v>117</v>
      </c>
      <c r="AA311" s="97" t="s">
        <v>118</v>
      </c>
      <c r="AB311" s="97" t="s">
        <v>119</v>
      </c>
      <c r="AC311" s="97" t="s">
        <v>120</v>
      </c>
      <c r="AD311" s="97" t="s">
        <v>121</v>
      </c>
      <c r="AE311" s="97" t="s">
        <v>122</v>
      </c>
      <c r="AF311" s="97" t="s">
        <v>123</v>
      </c>
      <c r="AG311" s="97" t="s">
        <v>124</v>
      </c>
      <c r="AH311" s="97" t="s">
        <v>125</v>
      </c>
      <c r="AI311" s="97" t="s">
        <v>126</v>
      </c>
      <c r="AJ311" s="97" t="s">
        <v>127</v>
      </c>
      <c r="AK311" s="97" t="s">
        <v>128</v>
      </c>
      <c r="AL311" s="97" t="s">
        <v>129</v>
      </c>
      <c r="AM311" s="97" t="s">
        <v>130</v>
      </c>
      <c r="AN311" s="97" t="s">
        <v>131</v>
      </c>
      <c r="AO311" s="97" t="s">
        <v>132</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5">
      <c r="A312" s="102"/>
      <c r="B312" s="102" t="s">
        <v>229</v>
      </c>
      <c r="C312" s="102">
        <f>Road_mask</f>
        <v>1</v>
      </c>
      <c r="D312" s="118">
        <f t="shared" ref="D312:AO312" si="85">AMI_values_road_1dB_in</f>
        <v>0</v>
      </c>
      <c r="E312" s="118">
        <f t="shared" si="85"/>
        <v>0</v>
      </c>
      <c r="F312" s="118">
        <f t="shared" si="85"/>
        <v>0</v>
      </c>
      <c r="G312" s="118">
        <f t="shared" si="85"/>
        <v>0</v>
      </c>
      <c r="H312" s="118">
        <f t="shared" si="85"/>
        <v>0</v>
      </c>
      <c r="I312" s="118">
        <f t="shared" si="85"/>
        <v>0</v>
      </c>
      <c r="J312" s="118">
        <f t="shared" si="85"/>
        <v>0</v>
      </c>
      <c r="K312" s="118">
        <f t="shared" si="85"/>
        <v>0</v>
      </c>
      <c r="L312" s="118">
        <f t="shared" si="85"/>
        <v>0</v>
      </c>
      <c r="M312" s="118">
        <f t="shared" si="85"/>
        <v>0</v>
      </c>
      <c r="N312" s="118">
        <f t="shared" si="85"/>
        <v>0</v>
      </c>
      <c r="O312" s="118">
        <f t="shared" si="85"/>
        <v>0</v>
      </c>
      <c r="P312" s="118">
        <f t="shared" si="85"/>
        <v>2.1908346961933955</v>
      </c>
      <c r="Q312" s="118">
        <f t="shared" si="85"/>
        <v>4.3315455822901852</v>
      </c>
      <c r="R312" s="118">
        <f t="shared" si="85"/>
        <v>6.1334202810250771</v>
      </c>
      <c r="S312" s="118">
        <f t="shared" si="85"/>
        <v>7.9911169652514555</v>
      </c>
      <c r="T312" s="118">
        <f t="shared" si="85"/>
        <v>9.9046356349706333</v>
      </c>
      <c r="U312" s="118">
        <f t="shared" si="85"/>
        <v>11.873976290180316</v>
      </c>
      <c r="V312" s="118">
        <f t="shared" si="85"/>
        <v>13.899138930883124</v>
      </c>
      <c r="W312" s="118">
        <f t="shared" si="85"/>
        <v>15.980123557078405</v>
      </c>
      <c r="X312" s="118">
        <f t="shared" si="85"/>
        <v>18.116930168764519</v>
      </c>
      <c r="Y312" s="118">
        <f t="shared" si="85"/>
        <v>20.309558765942118</v>
      </c>
      <c r="Z312" s="118">
        <f t="shared" si="85"/>
        <v>22.558009348613183</v>
      </c>
      <c r="AA312" s="118">
        <f t="shared" si="85"/>
        <v>24.862281916777032</v>
      </c>
      <c r="AB312" s="118">
        <f t="shared" si="85"/>
        <v>27.222376470430415</v>
      </c>
      <c r="AC312" s="118">
        <f t="shared" si="85"/>
        <v>29.638293009576589</v>
      </c>
      <c r="AD312" s="118">
        <f t="shared" si="85"/>
        <v>32.110031534215565</v>
      </c>
      <c r="AE312" s="118">
        <f t="shared" si="85"/>
        <v>34.63759204434669</v>
      </c>
      <c r="AF312" s="118">
        <f t="shared" si="85"/>
        <v>37.220974539969291</v>
      </c>
      <c r="AG312" s="118">
        <f t="shared" si="85"/>
        <v>39.86017902108339</v>
      </c>
      <c r="AH312" s="118">
        <f t="shared" si="85"/>
        <v>42.555205487689626</v>
      </c>
      <c r="AI312" s="118">
        <f t="shared" si="85"/>
        <v>45.306053939789322</v>
      </c>
      <c r="AJ312" s="118">
        <f t="shared" si="85"/>
        <v>48.112724377379195</v>
      </c>
      <c r="AK312" s="118">
        <f t="shared" si="85"/>
        <v>50.975216800461872</v>
      </c>
      <c r="AL312" s="118">
        <f t="shared" si="85"/>
        <v>53.89353120903732</v>
      </c>
      <c r="AM312" s="118">
        <f t="shared" si="85"/>
        <v>53.89353120903732</v>
      </c>
      <c r="AN312" s="118">
        <f t="shared" si="85"/>
        <v>53.89353120903732</v>
      </c>
      <c r="AO312" s="118">
        <f t="shared" si="85"/>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5">
      <c r="A313" s="102"/>
      <c r="B313" s="102" t="s">
        <v>230</v>
      </c>
      <c r="C313" s="101">
        <f>Rail_mask</f>
        <v>0</v>
      </c>
      <c r="D313" s="118">
        <f t="shared" ref="D313:AO313" si="86">AMI_values_rail_1dB_in</f>
        <v>0</v>
      </c>
      <c r="E313" s="118">
        <f t="shared" si="86"/>
        <v>0</v>
      </c>
      <c r="F313" s="118">
        <f t="shared" si="86"/>
        <v>0</v>
      </c>
      <c r="G313" s="118">
        <f t="shared" si="86"/>
        <v>0</v>
      </c>
      <c r="H313" s="118">
        <f t="shared" si="86"/>
        <v>0</v>
      </c>
      <c r="I313" s="118">
        <f t="shared" si="86"/>
        <v>0</v>
      </c>
      <c r="J313" s="118">
        <f t="shared" si="86"/>
        <v>0</v>
      </c>
      <c r="K313" s="118">
        <f t="shared" si="86"/>
        <v>0</v>
      </c>
      <c r="L313" s="118">
        <f t="shared" si="86"/>
        <v>0</v>
      </c>
      <c r="M313" s="118">
        <f t="shared" si="86"/>
        <v>0</v>
      </c>
      <c r="N313" s="118">
        <f t="shared" si="86"/>
        <v>0</v>
      </c>
      <c r="O313" s="118">
        <f t="shared" si="86"/>
        <v>0</v>
      </c>
      <c r="P313" s="118">
        <f t="shared" si="86"/>
        <v>0</v>
      </c>
      <c r="Q313" s="118">
        <f t="shared" si="86"/>
        <v>0</v>
      </c>
      <c r="R313" s="118">
        <f t="shared" si="86"/>
        <v>2.1908346961933955</v>
      </c>
      <c r="S313" s="118">
        <f t="shared" si="86"/>
        <v>4.3315455822901852</v>
      </c>
      <c r="T313" s="118">
        <f t="shared" si="86"/>
        <v>6.1334202810250771</v>
      </c>
      <c r="U313" s="118">
        <f t="shared" si="86"/>
        <v>7.9911169652514555</v>
      </c>
      <c r="V313" s="118">
        <f t="shared" si="86"/>
        <v>9.9046356349706333</v>
      </c>
      <c r="W313" s="118">
        <f t="shared" si="86"/>
        <v>11.873976290180316</v>
      </c>
      <c r="X313" s="118">
        <f t="shared" si="86"/>
        <v>13.899138930883124</v>
      </c>
      <c r="Y313" s="118">
        <f t="shared" si="86"/>
        <v>15.980123557078405</v>
      </c>
      <c r="Z313" s="118">
        <f t="shared" si="86"/>
        <v>18.116930168764519</v>
      </c>
      <c r="AA313" s="118">
        <f t="shared" si="86"/>
        <v>20.309558765942118</v>
      </c>
      <c r="AB313" s="118">
        <f t="shared" si="86"/>
        <v>22.558009348613183</v>
      </c>
      <c r="AC313" s="118">
        <f t="shared" si="86"/>
        <v>24.862281916777032</v>
      </c>
      <c r="AD313" s="118">
        <f t="shared" si="86"/>
        <v>27.222376470430415</v>
      </c>
      <c r="AE313" s="118">
        <f t="shared" si="86"/>
        <v>29.638293009576589</v>
      </c>
      <c r="AF313" s="118">
        <f t="shared" si="86"/>
        <v>32.110031534215565</v>
      </c>
      <c r="AG313" s="118">
        <f t="shared" si="86"/>
        <v>34.63759204434669</v>
      </c>
      <c r="AH313" s="118">
        <f t="shared" si="86"/>
        <v>37.220974539969291</v>
      </c>
      <c r="AI313" s="118">
        <f t="shared" si="86"/>
        <v>39.86017902108339</v>
      </c>
      <c r="AJ313" s="118">
        <f t="shared" si="86"/>
        <v>42.555205487689626</v>
      </c>
      <c r="AK313" s="118">
        <f t="shared" si="86"/>
        <v>45.306053939789322</v>
      </c>
      <c r="AL313" s="118">
        <f t="shared" si="86"/>
        <v>48.112724377379195</v>
      </c>
      <c r="AM313" s="118">
        <f t="shared" si="86"/>
        <v>50.975216800461872</v>
      </c>
      <c r="AN313" s="118">
        <f t="shared" si="86"/>
        <v>53.89353120903732</v>
      </c>
      <c r="AO313" s="118">
        <f t="shared" si="86"/>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5">
      <c r="A314" s="102"/>
      <c r="B314" s="102" t="s">
        <v>231</v>
      </c>
      <c r="C314" s="101">
        <f>Aviation_mask</f>
        <v>0</v>
      </c>
      <c r="D314" s="118">
        <f t="shared" ref="D314:AO314" si="87">AMI_values_aviation_1dB_in</f>
        <v>0</v>
      </c>
      <c r="E314" s="118">
        <f t="shared" si="87"/>
        <v>0</v>
      </c>
      <c r="F314" s="118">
        <f t="shared" si="87"/>
        <v>0</v>
      </c>
      <c r="G314" s="118">
        <f t="shared" si="87"/>
        <v>0</v>
      </c>
      <c r="H314" s="118">
        <f t="shared" si="87"/>
        <v>0</v>
      </c>
      <c r="I314" s="118">
        <f t="shared" si="87"/>
        <v>0</v>
      </c>
      <c r="J314" s="118">
        <f t="shared" si="87"/>
        <v>0</v>
      </c>
      <c r="K314" s="118">
        <f t="shared" si="87"/>
        <v>0</v>
      </c>
      <c r="L314" s="118">
        <f t="shared" si="87"/>
        <v>0</v>
      </c>
      <c r="M314" s="118">
        <f t="shared" si="87"/>
        <v>0</v>
      </c>
      <c r="N314" s="118">
        <f t="shared" si="87"/>
        <v>0</v>
      </c>
      <c r="O314" s="118">
        <f t="shared" si="87"/>
        <v>0</v>
      </c>
      <c r="P314" s="118">
        <f t="shared" si="87"/>
        <v>0</v>
      </c>
      <c r="Q314" s="118">
        <f t="shared" si="87"/>
        <v>0</v>
      </c>
      <c r="R314" s="118">
        <f t="shared" si="87"/>
        <v>2.1908346961933955</v>
      </c>
      <c r="S314" s="118">
        <f t="shared" si="87"/>
        <v>4.3315455822901852</v>
      </c>
      <c r="T314" s="118">
        <f t="shared" si="87"/>
        <v>6.1334202810250771</v>
      </c>
      <c r="U314" s="118">
        <f t="shared" si="87"/>
        <v>7.9911169652514555</v>
      </c>
      <c r="V314" s="118">
        <f t="shared" si="87"/>
        <v>9.9046356349706333</v>
      </c>
      <c r="W314" s="118">
        <f t="shared" si="87"/>
        <v>11.873976290180316</v>
      </c>
      <c r="X314" s="118">
        <f t="shared" si="87"/>
        <v>13.899138930883124</v>
      </c>
      <c r="Y314" s="118">
        <f t="shared" si="87"/>
        <v>15.980123557078405</v>
      </c>
      <c r="Z314" s="118">
        <f t="shared" si="87"/>
        <v>18.116930168764519</v>
      </c>
      <c r="AA314" s="118">
        <f t="shared" si="87"/>
        <v>20.309558765942118</v>
      </c>
      <c r="AB314" s="118">
        <f t="shared" si="87"/>
        <v>22.558009348613183</v>
      </c>
      <c r="AC314" s="118">
        <f t="shared" si="87"/>
        <v>24.862281916777032</v>
      </c>
      <c r="AD314" s="118">
        <f t="shared" si="87"/>
        <v>27.222376470430415</v>
      </c>
      <c r="AE314" s="118">
        <f t="shared" si="87"/>
        <v>29.638293009576589</v>
      </c>
      <c r="AF314" s="118">
        <f t="shared" si="87"/>
        <v>32.110031534215565</v>
      </c>
      <c r="AG314" s="118">
        <f t="shared" si="87"/>
        <v>34.63759204434669</v>
      </c>
      <c r="AH314" s="118">
        <f t="shared" si="87"/>
        <v>37.220974539969291</v>
      </c>
      <c r="AI314" s="118">
        <f t="shared" si="87"/>
        <v>39.86017902108339</v>
      </c>
      <c r="AJ314" s="118">
        <f t="shared" si="87"/>
        <v>42.555205487689626</v>
      </c>
      <c r="AK314" s="118">
        <f t="shared" si="87"/>
        <v>45.306053939789322</v>
      </c>
      <c r="AL314" s="118">
        <f t="shared" si="87"/>
        <v>48.112724377379195</v>
      </c>
      <c r="AM314" s="118">
        <f t="shared" si="87"/>
        <v>50.975216800461872</v>
      </c>
      <c r="AN314" s="118">
        <f t="shared" si="87"/>
        <v>53.89353120903732</v>
      </c>
      <c r="AO314" s="118">
        <f t="shared" si="87"/>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5">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5">
      <c r="A316" s="102"/>
      <c r="B316" s="151" t="s">
        <v>141</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5">
      <c r="A317" s="102"/>
      <c r="B317" s="151"/>
      <c r="C317" s="102"/>
      <c r="D317" s="12" t="s">
        <v>95</v>
      </c>
      <c r="E317" s="13" t="s">
        <v>96</v>
      </c>
      <c r="F317" s="97" t="s">
        <v>97</v>
      </c>
      <c r="G317" s="97" t="s">
        <v>98</v>
      </c>
      <c r="H317" s="97" t="s">
        <v>99</v>
      </c>
      <c r="I317" s="97" t="s">
        <v>100</v>
      </c>
      <c r="J317" s="97" t="s">
        <v>101</v>
      </c>
      <c r="K317" s="97" t="s">
        <v>102</v>
      </c>
      <c r="L317" s="97" t="s">
        <v>103</v>
      </c>
      <c r="M317" s="97" t="s">
        <v>104</v>
      </c>
      <c r="N317" s="97" t="s">
        <v>105</v>
      </c>
      <c r="O317" s="97" t="s">
        <v>106</v>
      </c>
      <c r="P317" s="97" t="s">
        <v>107</v>
      </c>
      <c r="Q317" s="97" t="s">
        <v>108</v>
      </c>
      <c r="R317" s="97" t="s">
        <v>109</v>
      </c>
      <c r="S317" s="97" t="s">
        <v>110</v>
      </c>
      <c r="T317" s="97" t="s">
        <v>111</v>
      </c>
      <c r="U317" s="97" t="s">
        <v>112</v>
      </c>
      <c r="V317" s="97" t="s">
        <v>113</v>
      </c>
      <c r="W317" s="97" t="s">
        <v>114</v>
      </c>
      <c r="X317" s="97" t="s">
        <v>115</v>
      </c>
      <c r="Y317" s="97" t="s">
        <v>116</v>
      </c>
      <c r="Z317" s="97" t="s">
        <v>117</v>
      </c>
      <c r="AA317" s="97" t="s">
        <v>118</v>
      </c>
      <c r="AB317" s="97" t="s">
        <v>119</v>
      </c>
      <c r="AC317" s="97" t="s">
        <v>120</v>
      </c>
      <c r="AD317" s="97" t="s">
        <v>121</v>
      </c>
      <c r="AE317" s="97" t="s">
        <v>122</v>
      </c>
      <c r="AF317" s="97" t="s">
        <v>123</v>
      </c>
      <c r="AG317" s="97" t="s">
        <v>124</v>
      </c>
      <c r="AH317" s="97" t="s">
        <v>125</v>
      </c>
      <c r="AI317" s="97" t="s">
        <v>126</v>
      </c>
      <c r="AJ317" s="97" t="s">
        <v>127</v>
      </c>
      <c r="AK317" s="97" t="s">
        <v>128</v>
      </c>
      <c r="AL317" s="97" t="s">
        <v>129</v>
      </c>
      <c r="AM317" s="97" t="s">
        <v>130</v>
      </c>
      <c r="AN317" s="97" t="s">
        <v>131</v>
      </c>
      <c r="AO317" s="97" t="s">
        <v>132</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5">
      <c r="A318" s="102"/>
      <c r="B318" s="102" t="s">
        <v>228</v>
      </c>
      <c r="C318" s="102"/>
      <c r="D318" s="118">
        <f t="shared" ref="D318:AO318" si="88">AMI_values_road_1dB*Road_mask +AMI_values_rail_1dB*Rail_mask +AMI_values_aviation_1dB*Aviation_mask</f>
        <v>0</v>
      </c>
      <c r="E318" s="118">
        <f t="shared" si="88"/>
        <v>0</v>
      </c>
      <c r="F318" s="118">
        <f t="shared" si="88"/>
        <v>0</v>
      </c>
      <c r="G318" s="118">
        <f t="shared" si="88"/>
        <v>0</v>
      </c>
      <c r="H318" s="118">
        <f t="shared" si="88"/>
        <v>0</v>
      </c>
      <c r="I318" s="118">
        <f t="shared" si="88"/>
        <v>0</v>
      </c>
      <c r="J318" s="118">
        <f t="shared" si="88"/>
        <v>0</v>
      </c>
      <c r="K318" s="118">
        <f t="shared" si="88"/>
        <v>0</v>
      </c>
      <c r="L318" s="118">
        <f t="shared" si="88"/>
        <v>0</v>
      </c>
      <c r="M318" s="118">
        <f t="shared" si="88"/>
        <v>0</v>
      </c>
      <c r="N318" s="118">
        <f t="shared" si="88"/>
        <v>0</v>
      </c>
      <c r="O318" s="118">
        <f t="shared" si="88"/>
        <v>0</v>
      </c>
      <c r="P318" s="118">
        <f t="shared" si="88"/>
        <v>2.1908346961933955</v>
      </c>
      <c r="Q318" s="118">
        <f t="shared" si="88"/>
        <v>4.3315455822901852</v>
      </c>
      <c r="R318" s="118">
        <f t="shared" si="88"/>
        <v>6.1334202810250771</v>
      </c>
      <c r="S318" s="118">
        <f t="shared" si="88"/>
        <v>7.9911169652514555</v>
      </c>
      <c r="T318" s="118">
        <f t="shared" si="88"/>
        <v>9.9046356349706333</v>
      </c>
      <c r="U318" s="118">
        <f t="shared" si="88"/>
        <v>11.873976290180316</v>
      </c>
      <c r="V318" s="118">
        <f t="shared" si="88"/>
        <v>13.899138930883124</v>
      </c>
      <c r="W318" s="118">
        <f t="shared" si="88"/>
        <v>15.980123557078405</v>
      </c>
      <c r="X318" s="118">
        <f t="shared" si="88"/>
        <v>18.116930168764519</v>
      </c>
      <c r="Y318" s="118">
        <f t="shared" si="88"/>
        <v>20.309558765942118</v>
      </c>
      <c r="Z318" s="118">
        <f t="shared" si="88"/>
        <v>22.558009348613183</v>
      </c>
      <c r="AA318" s="118">
        <f t="shared" si="88"/>
        <v>24.862281916777032</v>
      </c>
      <c r="AB318" s="118">
        <f t="shared" si="88"/>
        <v>27.222376470430415</v>
      </c>
      <c r="AC318" s="118">
        <f t="shared" si="88"/>
        <v>29.638293009576589</v>
      </c>
      <c r="AD318" s="118">
        <f t="shared" si="88"/>
        <v>32.110031534215565</v>
      </c>
      <c r="AE318" s="118">
        <f t="shared" si="88"/>
        <v>34.63759204434669</v>
      </c>
      <c r="AF318" s="118">
        <f t="shared" si="88"/>
        <v>37.220974539969291</v>
      </c>
      <c r="AG318" s="118">
        <f t="shared" si="88"/>
        <v>39.86017902108339</v>
      </c>
      <c r="AH318" s="118">
        <f t="shared" si="88"/>
        <v>42.555205487689626</v>
      </c>
      <c r="AI318" s="118">
        <f t="shared" si="88"/>
        <v>45.306053939789322</v>
      </c>
      <c r="AJ318" s="118">
        <f t="shared" si="88"/>
        <v>48.112724377379195</v>
      </c>
      <c r="AK318" s="118">
        <f t="shared" si="88"/>
        <v>50.975216800461872</v>
      </c>
      <c r="AL318" s="118">
        <f t="shared" si="88"/>
        <v>53.89353120903732</v>
      </c>
      <c r="AM318" s="118">
        <f t="shared" si="88"/>
        <v>53.89353120903732</v>
      </c>
      <c r="AN318" s="118">
        <f t="shared" si="88"/>
        <v>53.89353120903732</v>
      </c>
      <c r="AO318" s="118">
        <f t="shared" si="88"/>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5">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5">
      <c r="A320" s="17"/>
      <c r="B320" s="114"/>
      <c r="C320" s="49" t="s">
        <v>94</v>
      </c>
      <c r="D320" s="70" t="s">
        <v>95</v>
      </c>
      <c r="E320" s="108" t="s">
        <v>96</v>
      </c>
      <c r="F320" s="108" t="s">
        <v>97</v>
      </c>
      <c r="G320" s="108" t="s">
        <v>98</v>
      </c>
      <c r="H320" s="108" t="s">
        <v>99</v>
      </c>
      <c r="I320" s="108" t="s">
        <v>100</v>
      </c>
      <c r="J320" s="108" t="s">
        <v>101</v>
      </c>
      <c r="K320" s="108" t="s">
        <v>102</v>
      </c>
      <c r="L320" s="108" t="s">
        <v>103</v>
      </c>
      <c r="M320" s="108" t="s">
        <v>104</v>
      </c>
      <c r="N320" s="108" t="s">
        <v>105</v>
      </c>
      <c r="O320" s="108" t="s">
        <v>106</v>
      </c>
      <c r="P320" s="108" t="s">
        <v>107</v>
      </c>
      <c r="Q320" s="108" t="s">
        <v>108</v>
      </c>
      <c r="R320" s="108" t="s">
        <v>109</v>
      </c>
      <c r="S320" s="108" t="s">
        <v>110</v>
      </c>
      <c r="T320" s="108" t="s">
        <v>111</v>
      </c>
      <c r="U320" s="108" t="s">
        <v>112</v>
      </c>
      <c r="V320" s="108" t="s">
        <v>113</v>
      </c>
      <c r="W320" s="108" t="s">
        <v>114</v>
      </c>
      <c r="X320" s="108" t="s">
        <v>115</v>
      </c>
      <c r="Y320" s="108" t="s">
        <v>116</v>
      </c>
      <c r="Z320" s="108" t="s">
        <v>117</v>
      </c>
      <c r="AA320" s="108" t="s">
        <v>118</v>
      </c>
      <c r="AB320" s="108" t="s">
        <v>119</v>
      </c>
      <c r="AC320" s="108" t="s">
        <v>120</v>
      </c>
      <c r="AD320" s="108" t="s">
        <v>121</v>
      </c>
      <c r="AE320" s="108" t="s">
        <v>122</v>
      </c>
      <c r="AF320" s="108" t="s">
        <v>123</v>
      </c>
      <c r="AG320" s="108" t="s">
        <v>124</v>
      </c>
      <c r="AH320" s="108" t="s">
        <v>125</v>
      </c>
      <c r="AI320" s="108" t="s">
        <v>126</v>
      </c>
      <c r="AJ320" s="108" t="s">
        <v>127</v>
      </c>
      <c r="AK320" s="108" t="s">
        <v>128</v>
      </c>
      <c r="AL320" s="108" t="s">
        <v>129</v>
      </c>
      <c r="AM320" s="108" t="s">
        <v>130</v>
      </c>
      <c r="AN320" s="108" t="s">
        <v>131</v>
      </c>
      <c r="AO320" s="108"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133</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8" t="s">
        <v>95</v>
      </c>
      <c r="C322" s="125"/>
      <c r="D322" s="134">
        <f>IF(D$320=$B322,0,IF(D$320&gt;$B322,-0.5*D$318-0.5*C$318+C322,0.5*HLOOKUP($B322,$D$317:$AO$318,2,FALSE)+0.5*HLOOKUP($B321,$D$317:$AO$318,2,FALSE)+D321))</f>
        <v>0</v>
      </c>
      <c r="E322" s="134">
        <f t="shared" ref="E322:AO322" si="89">IF(E$320=$B322,0,IF(E$320&gt;$B322,-0.5*E$318-0.5*D$318+D322,0.5*HLOOKUP($B322,$D$317:$AO$318,2,FALSE)+0.5*HLOOKUP($B321,$D$317:$AO$318,2,FALSE)+E321))</f>
        <v>0</v>
      </c>
      <c r="F322" s="134">
        <f t="shared" si="89"/>
        <v>0</v>
      </c>
      <c r="G322" s="134">
        <f t="shared" si="89"/>
        <v>0</v>
      </c>
      <c r="H322" s="134">
        <f t="shared" si="89"/>
        <v>0</v>
      </c>
      <c r="I322" s="134">
        <f t="shared" si="89"/>
        <v>0</v>
      </c>
      <c r="J322" s="134">
        <f t="shared" si="89"/>
        <v>0</v>
      </c>
      <c r="K322" s="134">
        <f t="shared" si="89"/>
        <v>0</v>
      </c>
      <c r="L322" s="134">
        <f t="shared" si="89"/>
        <v>0</v>
      </c>
      <c r="M322" s="134">
        <f t="shared" si="89"/>
        <v>0</v>
      </c>
      <c r="N322" s="134">
        <f t="shared" si="89"/>
        <v>0</v>
      </c>
      <c r="O322" s="134">
        <f t="shared" si="89"/>
        <v>0</v>
      </c>
      <c r="P322" s="134">
        <f t="shared" si="89"/>
        <v>-1.0954173480966978</v>
      </c>
      <c r="Q322" s="134">
        <f t="shared" si="89"/>
        <v>-4.3566074873384881</v>
      </c>
      <c r="R322" s="134">
        <f t="shared" si="89"/>
        <v>-9.5890904189961184</v>
      </c>
      <c r="S322" s="134">
        <f t="shared" si="89"/>
        <v>-16.651359042134384</v>
      </c>
      <c r="T322" s="134">
        <f t="shared" si="89"/>
        <v>-25.599235342245429</v>
      </c>
      <c r="U322" s="134">
        <f t="shared" si="89"/>
        <v>-36.488541304820899</v>
      </c>
      <c r="V322" s="134">
        <f t="shared" si="89"/>
        <v>-49.375098915352623</v>
      </c>
      <c r="W322" s="134">
        <f t="shared" si="89"/>
        <v>-64.314730159333394</v>
      </c>
      <c r="X322" s="134">
        <f t="shared" si="89"/>
        <v>-81.363257022254857</v>
      </c>
      <c r="Y322" s="134">
        <f t="shared" si="89"/>
        <v>-100.57650148960818</v>
      </c>
      <c r="Z322" s="134">
        <f t="shared" si="89"/>
        <v>-122.01028554688583</v>
      </c>
      <c r="AA322" s="134">
        <f t="shared" si="89"/>
        <v>-145.72043117958094</v>
      </c>
      <c r="AB322" s="134">
        <f t="shared" si="89"/>
        <v>-171.76276037318468</v>
      </c>
      <c r="AC322" s="134">
        <f t="shared" si="89"/>
        <v>-200.19309511318818</v>
      </c>
      <c r="AD322" s="134">
        <f t="shared" si="89"/>
        <v>-231.06725738508425</v>
      </c>
      <c r="AE322" s="134">
        <f t="shared" si="89"/>
        <v>-264.4410691743654</v>
      </c>
      <c r="AF322" s="134">
        <f t="shared" si="89"/>
        <v>-300.3703524665234</v>
      </c>
      <c r="AG322" s="134">
        <f t="shared" si="89"/>
        <v>-338.91092924704975</v>
      </c>
      <c r="AH322" s="134">
        <f t="shared" si="89"/>
        <v>-380.11862150143628</v>
      </c>
      <c r="AI322" s="134">
        <f t="shared" si="89"/>
        <v>-424.04925121517579</v>
      </c>
      <c r="AJ322" s="134">
        <f t="shared" si="89"/>
        <v>-470.75864037376004</v>
      </c>
      <c r="AK322" s="134">
        <f t="shared" si="89"/>
        <v>-520.30261096268055</v>
      </c>
      <c r="AL322" s="134">
        <f t="shared" si="89"/>
        <v>-572.73698496743009</v>
      </c>
      <c r="AM322" s="134">
        <f t="shared" si="89"/>
        <v>-626.63051617646738</v>
      </c>
      <c r="AN322" s="134">
        <f t="shared" si="89"/>
        <v>-680.52404738550467</v>
      </c>
      <c r="AO322" s="134">
        <f t="shared" si="89"/>
        <v>-734.41757859454196</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2" t="s">
        <v>96</v>
      </c>
      <c r="C323" s="135"/>
      <c r="D323" s="134">
        <f t="shared" ref="D323:AO323" si="90">IF(D$320=$B323,0,IF(D$320&gt;$B323,-0.5*D$318-0.5*C$318+C323,0.5*HLOOKUP($B323,$D$317:$AO$318,2,FALSE)+0.5*HLOOKUP($B322,$D$317:$AO$318,2,FALSE)+D322))</f>
        <v>0</v>
      </c>
      <c r="E323" s="134">
        <f t="shared" si="90"/>
        <v>0</v>
      </c>
      <c r="F323" s="134">
        <f t="shared" si="90"/>
        <v>0</v>
      </c>
      <c r="G323" s="134">
        <f t="shared" si="90"/>
        <v>0</v>
      </c>
      <c r="H323" s="134">
        <f t="shared" si="90"/>
        <v>0</v>
      </c>
      <c r="I323" s="134">
        <f t="shared" si="90"/>
        <v>0</v>
      </c>
      <c r="J323" s="134">
        <f t="shared" si="90"/>
        <v>0</v>
      </c>
      <c r="K323" s="134">
        <f t="shared" si="90"/>
        <v>0</v>
      </c>
      <c r="L323" s="134">
        <f t="shared" si="90"/>
        <v>0</v>
      </c>
      <c r="M323" s="134">
        <f t="shared" si="90"/>
        <v>0</v>
      </c>
      <c r="N323" s="134">
        <f t="shared" si="90"/>
        <v>0</v>
      </c>
      <c r="O323" s="134">
        <f t="shared" si="90"/>
        <v>0</v>
      </c>
      <c r="P323" s="134">
        <f t="shared" si="90"/>
        <v>-1.0954173480966978</v>
      </c>
      <c r="Q323" s="134">
        <f t="shared" si="90"/>
        <v>-4.3566074873384881</v>
      </c>
      <c r="R323" s="134">
        <f t="shared" si="90"/>
        <v>-9.5890904189961184</v>
      </c>
      <c r="S323" s="134">
        <f t="shared" si="90"/>
        <v>-16.651359042134384</v>
      </c>
      <c r="T323" s="134">
        <f t="shared" si="90"/>
        <v>-25.599235342245429</v>
      </c>
      <c r="U323" s="134">
        <f t="shared" si="90"/>
        <v>-36.488541304820899</v>
      </c>
      <c r="V323" s="134">
        <f t="shared" si="90"/>
        <v>-49.375098915352623</v>
      </c>
      <c r="W323" s="134">
        <f t="shared" si="90"/>
        <v>-64.314730159333394</v>
      </c>
      <c r="X323" s="134">
        <f t="shared" si="90"/>
        <v>-81.363257022254857</v>
      </c>
      <c r="Y323" s="134">
        <f t="shared" si="90"/>
        <v>-100.57650148960818</v>
      </c>
      <c r="Z323" s="134">
        <f t="shared" si="90"/>
        <v>-122.01028554688583</v>
      </c>
      <c r="AA323" s="134">
        <f t="shared" si="90"/>
        <v>-145.72043117958094</v>
      </c>
      <c r="AB323" s="134">
        <f t="shared" si="90"/>
        <v>-171.76276037318468</v>
      </c>
      <c r="AC323" s="134">
        <f t="shared" si="90"/>
        <v>-200.19309511318818</v>
      </c>
      <c r="AD323" s="134">
        <f t="shared" si="90"/>
        <v>-231.06725738508425</v>
      </c>
      <c r="AE323" s="134">
        <f t="shared" si="90"/>
        <v>-264.4410691743654</v>
      </c>
      <c r="AF323" s="134">
        <f t="shared" si="90"/>
        <v>-300.3703524665234</v>
      </c>
      <c r="AG323" s="134">
        <f t="shared" si="90"/>
        <v>-338.91092924704975</v>
      </c>
      <c r="AH323" s="134">
        <f t="shared" si="90"/>
        <v>-380.11862150143628</v>
      </c>
      <c r="AI323" s="134">
        <f t="shared" si="90"/>
        <v>-424.04925121517579</v>
      </c>
      <c r="AJ323" s="134">
        <f t="shared" si="90"/>
        <v>-470.75864037376004</v>
      </c>
      <c r="AK323" s="134">
        <f t="shared" si="90"/>
        <v>-520.30261096268055</v>
      </c>
      <c r="AL323" s="134">
        <f t="shared" si="90"/>
        <v>-572.73698496743009</v>
      </c>
      <c r="AM323" s="134">
        <f t="shared" si="90"/>
        <v>-626.63051617646738</v>
      </c>
      <c r="AN323" s="134">
        <f t="shared" si="90"/>
        <v>-680.52404738550467</v>
      </c>
      <c r="AO323" s="134">
        <f t="shared" si="90"/>
        <v>-734.41757859454196</v>
      </c>
      <c r="AP323" s="99"/>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2" t="s">
        <v>97</v>
      </c>
      <c r="C324" s="135"/>
      <c r="D324" s="134">
        <f t="shared" ref="D324:AO324" si="91">IF(D$320=$B324,0,IF(D$320&gt;$B324,-0.5*D$318-0.5*C$318+C324,0.5*HLOOKUP($B324,$D$317:$AO$318,2,FALSE)+0.5*HLOOKUP($B323,$D$317:$AO$318,2,FALSE)+D323))</f>
        <v>0</v>
      </c>
      <c r="E324" s="134">
        <f t="shared" si="91"/>
        <v>0</v>
      </c>
      <c r="F324" s="134">
        <f t="shared" si="91"/>
        <v>0</v>
      </c>
      <c r="G324" s="134">
        <f t="shared" si="91"/>
        <v>0</v>
      </c>
      <c r="H324" s="134">
        <f t="shared" si="91"/>
        <v>0</v>
      </c>
      <c r="I324" s="134">
        <f t="shared" si="91"/>
        <v>0</v>
      </c>
      <c r="J324" s="134">
        <f t="shared" si="91"/>
        <v>0</v>
      </c>
      <c r="K324" s="134">
        <f t="shared" si="91"/>
        <v>0</v>
      </c>
      <c r="L324" s="134">
        <f t="shared" si="91"/>
        <v>0</v>
      </c>
      <c r="M324" s="134">
        <f t="shared" si="91"/>
        <v>0</v>
      </c>
      <c r="N324" s="134">
        <f t="shared" si="91"/>
        <v>0</v>
      </c>
      <c r="O324" s="134">
        <f t="shared" si="91"/>
        <v>0</v>
      </c>
      <c r="P324" s="134">
        <f t="shared" si="91"/>
        <v>-1.0954173480966978</v>
      </c>
      <c r="Q324" s="134">
        <f t="shared" si="91"/>
        <v>-4.3566074873384881</v>
      </c>
      <c r="R324" s="134">
        <f t="shared" si="91"/>
        <v>-9.5890904189961184</v>
      </c>
      <c r="S324" s="134">
        <f t="shared" si="91"/>
        <v>-16.651359042134384</v>
      </c>
      <c r="T324" s="134">
        <f t="shared" si="91"/>
        <v>-25.599235342245429</v>
      </c>
      <c r="U324" s="134">
        <f t="shared" si="91"/>
        <v>-36.488541304820899</v>
      </c>
      <c r="V324" s="134">
        <f t="shared" si="91"/>
        <v>-49.375098915352623</v>
      </c>
      <c r="W324" s="134">
        <f t="shared" si="91"/>
        <v>-64.314730159333394</v>
      </c>
      <c r="X324" s="134">
        <f t="shared" si="91"/>
        <v>-81.363257022254857</v>
      </c>
      <c r="Y324" s="134">
        <f t="shared" si="91"/>
        <v>-100.57650148960818</v>
      </c>
      <c r="Z324" s="134">
        <f t="shared" si="91"/>
        <v>-122.01028554688583</v>
      </c>
      <c r="AA324" s="134">
        <f t="shared" si="91"/>
        <v>-145.72043117958094</v>
      </c>
      <c r="AB324" s="134">
        <f t="shared" si="91"/>
        <v>-171.76276037318468</v>
      </c>
      <c r="AC324" s="134">
        <f t="shared" si="91"/>
        <v>-200.19309511318818</v>
      </c>
      <c r="AD324" s="134">
        <f t="shared" si="91"/>
        <v>-231.06725738508425</v>
      </c>
      <c r="AE324" s="134">
        <f t="shared" si="91"/>
        <v>-264.4410691743654</v>
      </c>
      <c r="AF324" s="134">
        <f t="shared" si="91"/>
        <v>-300.3703524665234</v>
      </c>
      <c r="AG324" s="134">
        <f t="shared" si="91"/>
        <v>-338.91092924704975</v>
      </c>
      <c r="AH324" s="134">
        <f t="shared" si="91"/>
        <v>-380.11862150143628</v>
      </c>
      <c r="AI324" s="134">
        <f t="shared" si="91"/>
        <v>-424.04925121517579</v>
      </c>
      <c r="AJ324" s="134">
        <f t="shared" si="91"/>
        <v>-470.75864037376004</v>
      </c>
      <c r="AK324" s="134">
        <f t="shared" si="91"/>
        <v>-520.30261096268055</v>
      </c>
      <c r="AL324" s="134">
        <f t="shared" si="91"/>
        <v>-572.73698496743009</v>
      </c>
      <c r="AM324" s="134">
        <f t="shared" si="91"/>
        <v>-626.63051617646738</v>
      </c>
      <c r="AN324" s="134">
        <f t="shared" si="91"/>
        <v>-680.52404738550467</v>
      </c>
      <c r="AO324" s="134">
        <f t="shared" si="91"/>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2" t="s">
        <v>98</v>
      </c>
      <c r="C325" s="135"/>
      <c r="D325" s="134">
        <f t="shared" ref="D325:AO325" si="92">IF(D$320=$B325,0,IF(D$320&gt;$B325,-0.5*D$318-0.5*C$318+C325,0.5*HLOOKUP($B325,$D$317:$AO$318,2,FALSE)+0.5*HLOOKUP($B324,$D$317:$AO$318,2,FALSE)+D324))</f>
        <v>0</v>
      </c>
      <c r="E325" s="134">
        <f t="shared" si="92"/>
        <v>0</v>
      </c>
      <c r="F325" s="134">
        <f t="shared" si="92"/>
        <v>0</v>
      </c>
      <c r="G325" s="134">
        <f t="shared" si="92"/>
        <v>0</v>
      </c>
      <c r="H325" s="134">
        <f t="shared" si="92"/>
        <v>0</v>
      </c>
      <c r="I325" s="134">
        <f t="shared" si="92"/>
        <v>0</v>
      </c>
      <c r="J325" s="134">
        <f t="shared" si="92"/>
        <v>0</v>
      </c>
      <c r="K325" s="134">
        <f t="shared" si="92"/>
        <v>0</v>
      </c>
      <c r="L325" s="134">
        <f t="shared" si="92"/>
        <v>0</v>
      </c>
      <c r="M325" s="134">
        <f t="shared" si="92"/>
        <v>0</v>
      </c>
      <c r="N325" s="134">
        <f t="shared" si="92"/>
        <v>0</v>
      </c>
      <c r="O325" s="134">
        <f t="shared" si="92"/>
        <v>0</v>
      </c>
      <c r="P325" s="134">
        <f t="shared" si="92"/>
        <v>-1.0954173480966978</v>
      </c>
      <c r="Q325" s="134">
        <f t="shared" si="92"/>
        <v>-4.3566074873384881</v>
      </c>
      <c r="R325" s="134">
        <f t="shared" si="92"/>
        <v>-9.5890904189961184</v>
      </c>
      <c r="S325" s="134">
        <f t="shared" si="92"/>
        <v>-16.651359042134384</v>
      </c>
      <c r="T325" s="134">
        <f t="shared" si="92"/>
        <v>-25.599235342245429</v>
      </c>
      <c r="U325" s="134">
        <f t="shared" si="92"/>
        <v>-36.488541304820899</v>
      </c>
      <c r="V325" s="134">
        <f t="shared" si="92"/>
        <v>-49.375098915352623</v>
      </c>
      <c r="W325" s="134">
        <f t="shared" si="92"/>
        <v>-64.314730159333394</v>
      </c>
      <c r="X325" s="134">
        <f t="shared" si="92"/>
        <v>-81.363257022254857</v>
      </c>
      <c r="Y325" s="134">
        <f t="shared" si="92"/>
        <v>-100.57650148960818</v>
      </c>
      <c r="Z325" s="134">
        <f t="shared" si="92"/>
        <v>-122.01028554688583</v>
      </c>
      <c r="AA325" s="134">
        <f t="shared" si="92"/>
        <v>-145.72043117958094</v>
      </c>
      <c r="AB325" s="134">
        <f t="shared" si="92"/>
        <v>-171.76276037318468</v>
      </c>
      <c r="AC325" s="134">
        <f t="shared" si="92"/>
        <v>-200.19309511318818</v>
      </c>
      <c r="AD325" s="134">
        <f t="shared" si="92"/>
        <v>-231.06725738508425</v>
      </c>
      <c r="AE325" s="134">
        <f t="shared" si="92"/>
        <v>-264.4410691743654</v>
      </c>
      <c r="AF325" s="134">
        <f t="shared" si="92"/>
        <v>-300.3703524665234</v>
      </c>
      <c r="AG325" s="134">
        <f t="shared" si="92"/>
        <v>-338.91092924704975</v>
      </c>
      <c r="AH325" s="134">
        <f t="shared" si="92"/>
        <v>-380.11862150143628</v>
      </c>
      <c r="AI325" s="134">
        <f t="shared" si="92"/>
        <v>-424.04925121517579</v>
      </c>
      <c r="AJ325" s="134">
        <f t="shared" si="92"/>
        <v>-470.75864037376004</v>
      </c>
      <c r="AK325" s="134">
        <f t="shared" si="92"/>
        <v>-520.30261096268055</v>
      </c>
      <c r="AL325" s="134">
        <f t="shared" si="92"/>
        <v>-572.73698496743009</v>
      </c>
      <c r="AM325" s="134">
        <f t="shared" si="92"/>
        <v>-626.63051617646738</v>
      </c>
      <c r="AN325" s="134">
        <f t="shared" si="92"/>
        <v>-680.52404738550467</v>
      </c>
      <c r="AO325" s="134">
        <f t="shared" si="92"/>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2" t="s">
        <v>99</v>
      </c>
      <c r="C326" s="135"/>
      <c r="D326" s="134">
        <f t="shared" ref="D326:AO326" si="93">IF(D$320=$B326,0,IF(D$320&gt;$B326,-0.5*D$318-0.5*C$318+C326,0.5*HLOOKUP($B326,$D$317:$AO$318,2,FALSE)+0.5*HLOOKUP($B325,$D$317:$AO$318,2,FALSE)+D325))</f>
        <v>0</v>
      </c>
      <c r="E326" s="134">
        <f t="shared" si="93"/>
        <v>0</v>
      </c>
      <c r="F326" s="134">
        <f t="shared" si="93"/>
        <v>0</v>
      </c>
      <c r="G326" s="134">
        <f t="shared" si="93"/>
        <v>0</v>
      </c>
      <c r="H326" s="134">
        <f t="shared" si="93"/>
        <v>0</v>
      </c>
      <c r="I326" s="134">
        <f t="shared" si="93"/>
        <v>0</v>
      </c>
      <c r="J326" s="134">
        <f t="shared" si="93"/>
        <v>0</v>
      </c>
      <c r="K326" s="134">
        <f t="shared" si="93"/>
        <v>0</v>
      </c>
      <c r="L326" s="134">
        <f t="shared" si="93"/>
        <v>0</v>
      </c>
      <c r="M326" s="134">
        <f t="shared" si="93"/>
        <v>0</v>
      </c>
      <c r="N326" s="134">
        <f t="shared" si="93"/>
        <v>0</v>
      </c>
      <c r="O326" s="134">
        <f t="shared" si="93"/>
        <v>0</v>
      </c>
      <c r="P326" s="134">
        <f t="shared" si="93"/>
        <v>-1.0954173480966978</v>
      </c>
      <c r="Q326" s="134">
        <f t="shared" si="93"/>
        <v>-4.3566074873384881</v>
      </c>
      <c r="R326" s="134">
        <f t="shared" si="93"/>
        <v>-9.5890904189961184</v>
      </c>
      <c r="S326" s="134">
        <f t="shared" si="93"/>
        <v>-16.651359042134384</v>
      </c>
      <c r="T326" s="134">
        <f t="shared" si="93"/>
        <v>-25.599235342245429</v>
      </c>
      <c r="U326" s="134">
        <f t="shared" si="93"/>
        <v>-36.488541304820899</v>
      </c>
      <c r="V326" s="134">
        <f t="shared" si="93"/>
        <v>-49.375098915352623</v>
      </c>
      <c r="W326" s="134">
        <f t="shared" si="93"/>
        <v>-64.314730159333394</v>
      </c>
      <c r="X326" s="134">
        <f t="shared" si="93"/>
        <v>-81.363257022254857</v>
      </c>
      <c r="Y326" s="134">
        <f t="shared" si="93"/>
        <v>-100.57650148960818</v>
      </c>
      <c r="Z326" s="134">
        <f t="shared" si="93"/>
        <v>-122.01028554688583</v>
      </c>
      <c r="AA326" s="134">
        <f t="shared" si="93"/>
        <v>-145.72043117958094</v>
      </c>
      <c r="AB326" s="134">
        <f t="shared" si="93"/>
        <v>-171.76276037318468</v>
      </c>
      <c r="AC326" s="134">
        <f t="shared" si="93"/>
        <v>-200.19309511318818</v>
      </c>
      <c r="AD326" s="134">
        <f t="shared" si="93"/>
        <v>-231.06725738508425</v>
      </c>
      <c r="AE326" s="134">
        <f t="shared" si="93"/>
        <v>-264.4410691743654</v>
      </c>
      <c r="AF326" s="134">
        <f t="shared" si="93"/>
        <v>-300.3703524665234</v>
      </c>
      <c r="AG326" s="134">
        <f t="shared" si="93"/>
        <v>-338.91092924704975</v>
      </c>
      <c r="AH326" s="134">
        <f t="shared" si="93"/>
        <v>-380.11862150143628</v>
      </c>
      <c r="AI326" s="134">
        <f t="shared" si="93"/>
        <v>-424.04925121517579</v>
      </c>
      <c r="AJ326" s="134">
        <f t="shared" si="93"/>
        <v>-470.75864037376004</v>
      </c>
      <c r="AK326" s="134">
        <f t="shared" si="93"/>
        <v>-520.30261096268055</v>
      </c>
      <c r="AL326" s="134">
        <f t="shared" si="93"/>
        <v>-572.73698496743009</v>
      </c>
      <c r="AM326" s="134">
        <f t="shared" si="93"/>
        <v>-626.63051617646738</v>
      </c>
      <c r="AN326" s="134">
        <f t="shared" si="93"/>
        <v>-680.52404738550467</v>
      </c>
      <c r="AO326" s="134">
        <f t="shared" si="93"/>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2" t="s">
        <v>100</v>
      </c>
      <c r="C327" s="135"/>
      <c r="D327" s="134">
        <f t="shared" ref="D327:AO327" si="94">IF(D$320=$B327,0,IF(D$320&gt;$B327,-0.5*D$318-0.5*C$318+C327,0.5*HLOOKUP($B327,$D$317:$AO$318,2,FALSE)+0.5*HLOOKUP($B326,$D$317:$AO$318,2,FALSE)+D326))</f>
        <v>0</v>
      </c>
      <c r="E327" s="134">
        <f t="shared" si="94"/>
        <v>0</v>
      </c>
      <c r="F327" s="134">
        <f t="shared" si="94"/>
        <v>0</v>
      </c>
      <c r="G327" s="134">
        <f t="shared" si="94"/>
        <v>0</v>
      </c>
      <c r="H327" s="134">
        <f t="shared" si="94"/>
        <v>0</v>
      </c>
      <c r="I327" s="134">
        <f t="shared" si="94"/>
        <v>0</v>
      </c>
      <c r="J327" s="134">
        <f t="shared" si="94"/>
        <v>0</v>
      </c>
      <c r="K327" s="134">
        <f t="shared" si="94"/>
        <v>0</v>
      </c>
      <c r="L327" s="134">
        <f t="shared" si="94"/>
        <v>0</v>
      </c>
      <c r="M327" s="134">
        <f t="shared" si="94"/>
        <v>0</v>
      </c>
      <c r="N327" s="134">
        <f t="shared" si="94"/>
        <v>0</v>
      </c>
      <c r="O327" s="134">
        <f t="shared" si="94"/>
        <v>0</v>
      </c>
      <c r="P327" s="134">
        <f t="shared" si="94"/>
        <v>-1.0954173480966978</v>
      </c>
      <c r="Q327" s="134">
        <f t="shared" si="94"/>
        <v>-4.3566074873384881</v>
      </c>
      <c r="R327" s="134">
        <f t="shared" si="94"/>
        <v>-9.5890904189961184</v>
      </c>
      <c r="S327" s="134">
        <f t="shared" si="94"/>
        <v>-16.651359042134384</v>
      </c>
      <c r="T327" s="134">
        <f t="shared" si="94"/>
        <v>-25.599235342245429</v>
      </c>
      <c r="U327" s="134">
        <f t="shared" si="94"/>
        <v>-36.488541304820899</v>
      </c>
      <c r="V327" s="134">
        <f t="shared" si="94"/>
        <v>-49.375098915352623</v>
      </c>
      <c r="W327" s="134">
        <f t="shared" si="94"/>
        <v>-64.314730159333394</v>
      </c>
      <c r="X327" s="134">
        <f t="shared" si="94"/>
        <v>-81.363257022254857</v>
      </c>
      <c r="Y327" s="134">
        <f t="shared" si="94"/>
        <v>-100.57650148960818</v>
      </c>
      <c r="Z327" s="134">
        <f t="shared" si="94"/>
        <v>-122.01028554688583</v>
      </c>
      <c r="AA327" s="134">
        <f t="shared" si="94"/>
        <v>-145.72043117958094</v>
      </c>
      <c r="AB327" s="134">
        <f t="shared" si="94"/>
        <v>-171.76276037318468</v>
      </c>
      <c r="AC327" s="134">
        <f t="shared" si="94"/>
        <v>-200.19309511318818</v>
      </c>
      <c r="AD327" s="134">
        <f t="shared" si="94"/>
        <v>-231.06725738508425</v>
      </c>
      <c r="AE327" s="134">
        <f t="shared" si="94"/>
        <v>-264.4410691743654</v>
      </c>
      <c r="AF327" s="134">
        <f t="shared" si="94"/>
        <v>-300.3703524665234</v>
      </c>
      <c r="AG327" s="134">
        <f t="shared" si="94"/>
        <v>-338.91092924704975</v>
      </c>
      <c r="AH327" s="134">
        <f t="shared" si="94"/>
        <v>-380.11862150143628</v>
      </c>
      <c r="AI327" s="134">
        <f t="shared" si="94"/>
        <v>-424.04925121517579</v>
      </c>
      <c r="AJ327" s="134">
        <f t="shared" si="94"/>
        <v>-470.75864037376004</v>
      </c>
      <c r="AK327" s="134">
        <f t="shared" si="94"/>
        <v>-520.30261096268055</v>
      </c>
      <c r="AL327" s="134">
        <f t="shared" si="94"/>
        <v>-572.73698496743009</v>
      </c>
      <c r="AM327" s="134">
        <f t="shared" si="94"/>
        <v>-626.63051617646738</v>
      </c>
      <c r="AN327" s="134">
        <f t="shared" si="94"/>
        <v>-680.52404738550467</v>
      </c>
      <c r="AO327" s="134">
        <f t="shared" si="94"/>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2" t="s">
        <v>101</v>
      </c>
      <c r="C328" s="135"/>
      <c r="D328" s="134">
        <f t="shared" ref="D328:AO328" si="95">IF(D$320=$B328,0,IF(D$320&gt;$B328,-0.5*D$318-0.5*C$318+C328,0.5*HLOOKUP($B328,$D$317:$AO$318,2,FALSE)+0.5*HLOOKUP($B327,$D$317:$AO$318,2,FALSE)+D327))</f>
        <v>0</v>
      </c>
      <c r="E328" s="134">
        <f t="shared" si="95"/>
        <v>0</v>
      </c>
      <c r="F328" s="134">
        <f t="shared" si="95"/>
        <v>0</v>
      </c>
      <c r="G328" s="134">
        <f t="shared" si="95"/>
        <v>0</v>
      </c>
      <c r="H328" s="134">
        <f t="shared" si="95"/>
        <v>0</v>
      </c>
      <c r="I328" s="134">
        <f t="shared" si="95"/>
        <v>0</v>
      </c>
      <c r="J328" s="134">
        <f t="shared" si="95"/>
        <v>0</v>
      </c>
      <c r="K328" s="134">
        <f t="shared" si="95"/>
        <v>0</v>
      </c>
      <c r="L328" s="134">
        <f t="shared" si="95"/>
        <v>0</v>
      </c>
      <c r="M328" s="134">
        <f t="shared" si="95"/>
        <v>0</v>
      </c>
      <c r="N328" s="134">
        <f t="shared" si="95"/>
        <v>0</v>
      </c>
      <c r="O328" s="134">
        <f t="shared" si="95"/>
        <v>0</v>
      </c>
      <c r="P328" s="134">
        <f t="shared" si="95"/>
        <v>-1.0954173480966978</v>
      </c>
      <c r="Q328" s="134">
        <f t="shared" si="95"/>
        <v>-4.3566074873384881</v>
      </c>
      <c r="R328" s="134">
        <f t="shared" si="95"/>
        <v>-9.5890904189961184</v>
      </c>
      <c r="S328" s="134">
        <f t="shared" si="95"/>
        <v>-16.651359042134384</v>
      </c>
      <c r="T328" s="134">
        <f t="shared" si="95"/>
        <v>-25.599235342245429</v>
      </c>
      <c r="U328" s="134">
        <f t="shared" si="95"/>
        <v>-36.488541304820899</v>
      </c>
      <c r="V328" s="134">
        <f t="shared" si="95"/>
        <v>-49.375098915352623</v>
      </c>
      <c r="W328" s="134">
        <f t="shared" si="95"/>
        <v>-64.314730159333394</v>
      </c>
      <c r="X328" s="134">
        <f t="shared" si="95"/>
        <v>-81.363257022254857</v>
      </c>
      <c r="Y328" s="134">
        <f t="shared" si="95"/>
        <v>-100.57650148960818</v>
      </c>
      <c r="Z328" s="134">
        <f t="shared" si="95"/>
        <v>-122.01028554688583</v>
      </c>
      <c r="AA328" s="134">
        <f t="shared" si="95"/>
        <v>-145.72043117958094</v>
      </c>
      <c r="AB328" s="134">
        <f t="shared" si="95"/>
        <v>-171.76276037318468</v>
      </c>
      <c r="AC328" s="134">
        <f t="shared" si="95"/>
        <v>-200.19309511318818</v>
      </c>
      <c r="AD328" s="134">
        <f t="shared" si="95"/>
        <v>-231.06725738508425</v>
      </c>
      <c r="AE328" s="134">
        <f t="shared" si="95"/>
        <v>-264.4410691743654</v>
      </c>
      <c r="AF328" s="134">
        <f t="shared" si="95"/>
        <v>-300.3703524665234</v>
      </c>
      <c r="AG328" s="134">
        <f t="shared" si="95"/>
        <v>-338.91092924704975</v>
      </c>
      <c r="AH328" s="134">
        <f t="shared" si="95"/>
        <v>-380.11862150143628</v>
      </c>
      <c r="AI328" s="134">
        <f t="shared" si="95"/>
        <v>-424.04925121517579</v>
      </c>
      <c r="AJ328" s="134">
        <f t="shared" si="95"/>
        <v>-470.75864037376004</v>
      </c>
      <c r="AK328" s="134">
        <f t="shared" si="95"/>
        <v>-520.30261096268055</v>
      </c>
      <c r="AL328" s="134">
        <f t="shared" si="95"/>
        <v>-572.73698496743009</v>
      </c>
      <c r="AM328" s="134">
        <f t="shared" si="95"/>
        <v>-626.63051617646738</v>
      </c>
      <c r="AN328" s="134">
        <f t="shared" si="95"/>
        <v>-680.52404738550467</v>
      </c>
      <c r="AO328" s="134">
        <f t="shared" si="9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2" t="s">
        <v>102</v>
      </c>
      <c r="C329" s="135"/>
      <c r="D329" s="134">
        <f t="shared" ref="D329:AO329" si="96">IF(D$320=$B329,0,IF(D$320&gt;$B329,-0.5*D$318-0.5*C$318+C329,0.5*HLOOKUP($B329,$D$317:$AO$318,2,FALSE)+0.5*HLOOKUP($B328,$D$317:$AO$318,2,FALSE)+D328))</f>
        <v>0</v>
      </c>
      <c r="E329" s="134">
        <f t="shared" si="96"/>
        <v>0</v>
      </c>
      <c r="F329" s="134">
        <f t="shared" si="96"/>
        <v>0</v>
      </c>
      <c r="G329" s="134">
        <f t="shared" si="96"/>
        <v>0</v>
      </c>
      <c r="H329" s="134">
        <f t="shared" si="96"/>
        <v>0</v>
      </c>
      <c r="I329" s="134">
        <f t="shared" si="96"/>
        <v>0</v>
      </c>
      <c r="J329" s="134">
        <f t="shared" si="96"/>
        <v>0</v>
      </c>
      <c r="K329" s="134">
        <f t="shared" si="96"/>
        <v>0</v>
      </c>
      <c r="L329" s="134">
        <f t="shared" si="96"/>
        <v>0</v>
      </c>
      <c r="M329" s="134">
        <f t="shared" si="96"/>
        <v>0</v>
      </c>
      <c r="N329" s="134">
        <f t="shared" si="96"/>
        <v>0</v>
      </c>
      <c r="O329" s="134">
        <f t="shared" si="96"/>
        <v>0</v>
      </c>
      <c r="P329" s="134">
        <f t="shared" si="96"/>
        <v>-1.0954173480966978</v>
      </c>
      <c r="Q329" s="134">
        <f t="shared" si="96"/>
        <v>-4.3566074873384881</v>
      </c>
      <c r="R329" s="134">
        <f t="shared" si="96"/>
        <v>-9.5890904189961184</v>
      </c>
      <c r="S329" s="134">
        <f t="shared" si="96"/>
        <v>-16.651359042134384</v>
      </c>
      <c r="T329" s="134">
        <f t="shared" si="96"/>
        <v>-25.599235342245429</v>
      </c>
      <c r="U329" s="134">
        <f t="shared" si="96"/>
        <v>-36.488541304820899</v>
      </c>
      <c r="V329" s="134">
        <f t="shared" si="96"/>
        <v>-49.375098915352623</v>
      </c>
      <c r="W329" s="134">
        <f t="shared" si="96"/>
        <v>-64.314730159333394</v>
      </c>
      <c r="X329" s="134">
        <f t="shared" si="96"/>
        <v>-81.363257022254857</v>
      </c>
      <c r="Y329" s="134">
        <f t="shared" si="96"/>
        <v>-100.57650148960818</v>
      </c>
      <c r="Z329" s="134">
        <f t="shared" si="96"/>
        <v>-122.01028554688583</v>
      </c>
      <c r="AA329" s="134">
        <f t="shared" si="96"/>
        <v>-145.72043117958094</v>
      </c>
      <c r="AB329" s="134">
        <f t="shared" si="96"/>
        <v>-171.76276037318468</v>
      </c>
      <c r="AC329" s="134">
        <f t="shared" si="96"/>
        <v>-200.19309511318818</v>
      </c>
      <c r="AD329" s="134">
        <f t="shared" si="96"/>
        <v>-231.06725738508425</v>
      </c>
      <c r="AE329" s="134">
        <f t="shared" si="96"/>
        <v>-264.4410691743654</v>
      </c>
      <c r="AF329" s="134">
        <f t="shared" si="96"/>
        <v>-300.3703524665234</v>
      </c>
      <c r="AG329" s="134">
        <f t="shared" si="96"/>
        <v>-338.91092924704975</v>
      </c>
      <c r="AH329" s="134">
        <f t="shared" si="96"/>
        <v>-380.11862150143628</v>
      </c>
      <c r="AI329" s="134">
        <f t="shared" si="96"/>
        <v>-424.04925121517579</v>
      </c>
      <c r="AJ329" s="134">
        <f t="shared" si="96"/>
        <v>-470.75864037376004</v>
      </c>
      <c r="AK329" s="134">
        <f t="shared" si="96"/>
        <v>-520.30261096268055</v>
      </c>
      <c r="AL329" s="134">
        <f t="shared" si="96"/>
        <v>-572.73698496743009</v>
      </c>
      <c r="AM329" s="134">
        <f t="shared" si="96"/>
        <v>-626.63051617646738</v>
      </c>
      <c r="AN329" s="134">
        <f t="shared" si="96"/>
        <v>-680.52404738550467</v>
      </c>
      <c r="AO329" s="134">
        <f t="shared" si="96"/>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2"/>
      <c r="B330" s="112" t="s">
        <v>103</v>
      </c>
      <c r="C330" s="135"/>
      <c r="D330" s="134">
        <f t="shared" ref="D330:AO330" si="97">IF(D$320=$B330,0,IF(D$320&gt;$B330,-0.5*D$318-0.5*C$318+C330,0.5*HLOOKUP($B330,$D$317:$AO$318,2,FALSE)+0.5*HLOOKUP($B329,$D$317:$AO$318,2,FALSE)+D329))</f>
        <v>0</v>
      </c>
      <c r="E330" s="134">
        <f t="shared" si="97"/>
        <v>0</v>
      </c>
      <c r="F330" s="134">
        <f t="shared" si="97"/>
        <v>0</v>
      </c>
      <c r="G330" s="134">
        <f t="shared" si="97"/>
        <v>0</v>
      </c>
      <c r="H330" s="134">
        <f t="shared" si="97"/>
        <v>0</v>
      </c>
      <c r="I330" s="134">
        <f t="shared" si="97"/>
        <v>0</v>
      </c>
      <c r="J330" s="134">
        <f t="shared" si="97"/>
        <v>0</v>
      </c>
      <c r="K330" s="134">
        <f t="shared" si="97"/>
        <v>0</v>
      </c>
      <c r="L330" s="134">
        <f t="shared" si="97"/>
        <v>0</v>
      </c>
      <c r="M330" s="134">
        <f t="shared" si="97"/>
        <v>0</v>
      </c>
      <c r="N330" s="134">
        <f t="shared" si="97"/>
        <v>0</v>
      </c>
      <c r="O330" s="134">
        <f t="shared" si="97"/>
        <v>0</v>
      </c>
      <c r="P330" s="134">
        <f t="shared" si="97"/>
        <v>-1.0954173480966978</v>
      </c>
      <c r="Q330" s="134">
        <f t="shared" si="97"/>
        <v>-4.3566074873384881</v>
      </c>
      <c r="R330" s="134">
        <f t="shared" si="97"/>
        <v>-9.5890904189961184</v>
      </c>
      <c r="S330" s="134">
        <f t="shared" si="97"/>
        <v>-16.651359042134384</v>
      </c>
      <c r="T330" s="134">
        <f t="shared" si="97"/>
        <v>-25.599235342245429</v>
      </c>
      <c r="U330" s="134">
        <f t="shared" si="97"/>
        <v>-36.488541304820899</v>
      </c>
      <c r="V330" s="134">
        <f t="shared" si="97"/>
        <v>-49.375098915352623</v>
      </c>
      <c r="W330" s="134">
        <f t="shared" si="97"/>
        <v>-64.314730159333394</v>
      </c>
      <c r="X330" s="134">
        <f t="shared" si="97"/>
        <v>-81.363257022254857</v>
      </c>
      <c r="Y330" s="134">
        <f t="shared" si="97"/>
        <v>-100.57650148960818</v>
      </c>
      <c r="Z330" s="134">
        <f t="shared" si="97"/>
        <v>-122.01028554688583</v>
      </c>
      <c r="AA330" s="134">
        <f t="shared" si="97"/>
        <v>-145.72043117958094</v>
      </c>
      <c r="AB330" s="134">
        <f t="shared" si="97"/>
        <v>-171.76276037318468</v>
      </c>
      <c r="AC330" s="134">
        <f t="shared" si="97"/>
        <v>-200.19309511318818</v>
      </c>
      <c r="AD330" s="134">
        <f t="shared" si="97"/>
        <v>-231.06725738508425</v>
      </c>
      <c r="AE330" s="134">
        <f t="shared" si="97"/>
        <v>-264.4410691743654</v>
      </c>
      <c r="AF330" s="134">
        <f t="shared" si="97"/>
        <v>-300.3703524665234</v>
      </c>
      <c r="AG330" s="134">
        <f t="shared" si="97"/>
        <v>-338.91092924704975</v>
      </c>
      <c r="AH330" s="134">
        <f t="shared" si="97"/>
        <v>-380.11862150143628</v>
      </c>
      <c r="AI330" s="134">
        <f t="shared" si="97"/>
        <v>-424.04925121517579</v>
      </c>
      <c r="AJ330" s="134">
        <f t="shared" si="97"/>
        <v>-470.75864037376004</v>
      </c>
      <c r="AK330" s="134">
        <f t="shared" si="97"/>
        <v>-520.30261096268055</v>
      </c>
      <c r="AL330" s="134">
        <f t="shared" si="97"/>
        <v>-572.73698496743009</v>
      </c>
      <c r="AM330" s="134">
        <f t="shared" si="97"/>
        <v>-626.63051617646738</v>
      </c>
      <c r="AN330" s="134">
        <f t="shared" si="97"/>
        <v>-680.52404738550467</v>
      </c>
      <c r="AO330" s="134">
        <f t="shared" si="97"/>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5">
      <c r="A331" s="102"/>
      <c r="B331" s="112" t="s">
        <v>104</v>
      </c>
      <c r="C331" s="135"/>
      <c r="D331" s="134">
        <f t="shared" ref="D331:AO331" si="98">IF(D$320=$B331,0,IF(D$320&gt;$B331,-0.5*D$318-0.5*C$318+C331,0.5*HLOOKUP($B331,$D$317:$AO$318,2,FALSE)+0.5*HLOOKUP($B330,$D$317:$AO$318,2,FALSE)+D330))</f>
        <v>0</v>
      </c>
      <c r="E331" s="134">
        <f t="shared" si="98"/>
        <v>0</v>
      </c>
      <c r="F331" s="134">
        <f t="shared" si="98"/>
        <v>0</v>
      </c>
      <c r="G331" s="134">
        <f t="shared" si="98"/>
        <v>0</v>
      </c>
      <c r="H331" s="134">
        <f t="shared" si="98"/>
        <v>0</v>
      </c>
      <c r="I331" s="134">
        <f t="shared" si="98"/>
        <v>0</v>
      </c>
      <c r="J331" s="134">
        <f t="shared" si="98"/>
        <v>0</v>
      </c>
      <c r="K331" s="134">
        <f t="shared" si="98"/>
        <v>0</v>
      </c>
      <c r="L331" s="134">
        <f t="shared" si="98"/>
        <v>0</v>
      </c>
      <c r="M331" s="134">
        <f t="shared" si="98"/>
        <v>0</v>
      </c>
      <c r="N331" s="134">
        <f t="shared" si="98"/>
        <v>0</v>
      </c>
      <c r="O331" s="134">
        <f t="shared" si="98"/>
        <v>0</v>
      </c>
      <c r="P331" s="134">
        <f t="shared" si="98"/>
        <v>-1.0954173480966978</v>
      </c>
      <c r="Q331" s="134">
        <f t="shared" si="98"/>
        <v>-4.3566074873384881</v>
      </c>
      <c r="R331" s="134">
        <f t="shared" si="98"/>
        <v>-9.5890904189961184</v>
      </c>
      <c r="S331" s="134">
        <f t="shared" si="98"/>
        <v>-16.651359042134384</v>
      </c>
      <c r="T331" s="134">
        <f t="shared" si="98"/>
        <v>-25.599235342245429</v>
      </c>
      <c r="U331" s="134">
        <f t="shared" si="98"/>
        <v>-36.488541304820899</v>
      </c>
      <c r="V331" s="134">
        <f t="shared" si="98"/>
        <v>-49.375098915352623</v>
      </c>
      <c r="W331" s="134">
        <f t="shared" si="98"/>
        <v>-64.314730159333394</v>
      </c>
      <c r="X331" s="134">
        <f t="shared" si="98"/>
        <v>-81.363257022254857</v>
      </c>
      <c r="Y331" s="134">
        <f t="shared" si="98"/>
        <v>-100.57650148960818</v>
      </c>
      <c r="Z331" s="134">
        <f t="shared" si="98"/>
        <v>-122.01028554688583</v>
      </c>
      <c r="AA331" s="134">
        <f t="shared" si="98"/>
        <v>-145.72043117958094</v>
      </c>
      <c r="AB331" s="134">
        <f t="shared" si="98"/>
        <v>-171.76276037318468</v>
      </c>
      <c r="AC331" s="134">
        <f t="shared" si="98"/>
        <v>-200.19309511318818</v>
      </c>
      <c r="AD331" s="134">
        <f t="shared" si="98"/>
        <v>-231.06725738508425</v>
      </c>
      <c r="AE331" s="134">
        <f t="shared" si="98"/>
        <v>-264.4410691743654</v>
      </c>
      <c r="AF331" s="134">
        <f t="shared" si="98"/>
        <v>-300.3703524665234</v>
      </c>
      <c r="AG331" s="134">
        <f t="shared" si="98"/>
        <v>-338.91092924704975</v>
      </c>
      <c r="AH331" s="134">
        <f t="shared" si="98"/>
        <v>-380.11862150143628</v>
      </c>
      <c r="AI331" s="134">
        <f t="shared" si="98"/>
        <v>-424.04925121517579</v>
      </c>
      <c r="AJ331" s="134">
        <f t="shared" si="98"/>
        <v>-470.75864037376004</v>
      </c>
      <c r="AK331" s="134">
        <f t="shared" si="98"/>
        <v>-520.30261096268055</v>
      </c>
      <c r="AL331" s="134">
        <f t="shared" si="98"/>
        <v>-572.73698496743009</v>
      </c>
      <c r="AM331" s="134">
        <f t="shared" si="98"/>
        <v>-626.63051617646738</v>
      </c>
      <c r="AN331" s="134">
        <f t="shared" si="98"/>
        <v>-680.52404738550467</v>
      </c>
      <c r="AO331" s="134">
        <f t="shared" si="9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5">
      <c r="A332" s="102"/>
      <c r="B332" s="112" t="s">
        <v>105</v>
      </c>
      <c r="C332" s="135"/>
      <c r="D332" s="134">
        <f t="shared" ref="D332:AO332" si="99">IF(D$320=$B332,0,IF(D$320&gt;$B332,-0.5*D$318-0.5*C$318+C332,0.5*HLOOKUP($B332,$D$317:$AO$318,2,FALSE)+0.5*HLOOKUP($B331,$D$317:$AO$318,2,FALSE)+D331))</f>
        <v>0</v>
      </c>
      <c r="E332" s="134">
        <f t="shared" si="99"/>
        <v>0</v>
      </c>
      <c r="F332" s="134">
        <f t="shared" si="99"/>
        <v>0</v>
      </c>
      <c r="G332" s="134">
        <f t="shared" si="99"/>
        <v>0</v>
      </c>
      <c r="H332" s="134">
        <f t="shared" si="99"/>
        <v>0</v>
      </c>
      <c r="I332" s="134">
        <f t="shared" si="99"/>
        <v>0</v>
      </c>
      <c r="J332" s="134">
        <f t="shared" si="99"/>
        <v>0</v>
      </c>
      <c r="K332" s="134">
        <f t="shared" si="99"/>
        <v>0</v>
      </c>
      <c r="L332" s="134">
        <f t="shared" si="99"/>
        <v>0</v>
      </c>
      <c r="M332" s="134">
        <f t="shared" si="99"/>
        <v>0</v>
      </c>
      <c r="N332" s="134">
        <f t="shared" si="99"/>
        <v>0</v>
      </c>
      <c r="O332" s="134">
        <f t="shared" si="99"/>
        <v>0</v>
      </c>
      <c r="P332" s="134">
        <f t="shared" si="99"/>
        <v>-1.0954173480966978</v>
      </c>
      <c r="Q332" s="134">
        <f t="shared" si="99"/>
        <v>-4.3566074873384881</v>
      </c>
      <c r="R332" s="134">
        <f t="shared" si="99"/>
        <v>-9.5890904189961184</v>
      </c>
      <c r="S332" s="134">
        <f t="shared" si="99"/>
        <v>-16.651359042134384</v>
      </c>
      <c r="T332" s="134">
        <f t="shared" si="99"/>
        <v>-25.599235342245429</v>
      </c>
      <c r="U332" s="134">
        <f t="shared" si="99"/>
        <v>-36.488541304820899</v>
      </c>
      <c r="V332" s="134">
        <f t="shared" si="99"/>
        <v>-49.375098915352623</v>
      </c>
      <c r="W332" s="134">
        <f t="shared" si="99"/>
        <v>-64.314730159333394</v>
      </c>
      <c r="X332" s="134">
        <f t="shared" si="99"/>
        <v>-81.363257022254857</v>
      </c>
      <c r="Y332" s="134">
        <f t="shared" si="99"/>
        <v>-100.57650148960818</v>
      </c>
      <c r="Z332" s="134">
        <f t="shared" si="99"/>
        <v>-122.01028554688583</v>
      </c>
      <c r="AA332" s="134">
        <f t="shared" si="99"/>
        <v>-145.72043117958094</v>
      </c>
      <c r="AB332" s="134">
        <f t="shared" si="99"/>
        <v>-171.76276037318468</v>
      </c>
      <c r="AC332" s="134">
        <f t="shared" si="99"/>
        <v>-200.19309511318818</v>
      </c>
      <c r="AD332" s="134">
        <f t="shared" si="99"/>
        <v>-231.06725738508425</v>
      </c>
      <c r="AE332" s="134">
        <f t="shared" si="99"/>
        <v>-264.4410691743654</v>
      </c>
      <c r="AF332" s="134">
        <f t="shared" si="99"/>
        <v>-300.3703524665234</v>
      </c>
      <c r="AG332" s="134">
        <f t="shared" si="99"/>
        <v>-338.91092924704975</v>
      </c>
      <c r="AH332" s="134">
        <f t="shared" si="99"/>
        <v>-380.11862150143628</v>
      </c>
      <c r="AI332" s="134">
        <f t="shared" si="99"/>
        <v>-424.04925121517579</v>
      </c>
      <c r="AJ332" s="134">
        <f t="shared" si="99"/>
        <v>-470.75864037376004</v>
      </c>
      <c r="AK332" s="134">
        <f t="shared" si="99"/>
        <v>-520.30261096268055</v>
      </c>
      <c r="AL332" s="134">
        <f t="shared" si="99"/>
        <v>-572.73698496743009</v>
      </c>
      <c r="AM332" s="134">
        <f t="shared" si="99"/>
        <v>-626.63051617646738</v>
      </c>
      <c r="AN332" s="134">
        <f t="shared" si="99"/>
        <v>-680.52404738550467</v>
      </c>
      <c r="AO332" s="134">
        <f t="shared" si="99"/>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5">
      <c r="A333" s="102"/>
      <c r="B333" s="112" t="s">
        <v>106</v>
      </c>
      <c r="C333" s="135"/>
      <c r="D333" s="134">
        <f t="shared" ref="D333:AO333" si="100">IF(D$320=$B333,0,IF(D$320&gt;$B333,-0.5*D$318-0.5*C$318+C333,0.5*HLOOKUP($B333,$D$317:$AO$318,2,FALSE)+0.5*HLOOKUP($B332,$D$317:$AO$318,2,FALSE)+D332))</f>
        <v>0</v>
      </c>
      <c r="E333" s="134">
        <f t="shared" si="100"/>
        <v>0</v>
      </c>
      <c r="F333" s="134">
        <f t="shared" si="100"/>
        <v>0</v>
      </c>
      <c r="G333" s="134">
        <f t="shared" si="100"/>
        <v>0</v>
      </c>
      <c r="H333" s="134">
        <f t="shared" si="100"/>
        <v>0</v>
      </c>
      <c r="I333" s="134">
        <f t="shared" si="100"/>
        <v>0</v>
      </c>
      <c r="J333" s="134">
        <f t="shared" si="100"/>
        <v>0</v>
      </c>
      <c r="K333" s="134">
        <f t="shared" si="100"/>
        <v>0</v>
      </c>
      <c r="L333" s="134">
        <f t="shared" si="100"/>
        <v>0</v>
      </c>
      <c r="M333" s="134">
        <f t="shared" si="100"/>
        <v>0</v>
      </c>
      <c r="N333" s="134">
        <f t="shared" si="100"/>
        <v>0</v>
      </c>
      <c r="O333" s="134">
        <f t="shared" si="100"/>
        <v>0</v>
      </c>
      <c r="P333" s="134">
        <f t="shared" si="100"/>
        <v>-1.0954173480966978</v>
      </c>
      <c r="Q333" s="134">
        <f t="shared" si="100"/>
        <v>-4.3566074873384881</v>
      </c>
      <c r="R333" s="134">
        <f t="shared" si="100"/>
        <v>-9.5890904189961184</v>
      </c>
      <c r="S333" s="134">
        <f t="shared" si="100"/>
        <v>-16.651359042134384</v>
      </c>
      <c r="T333" s="134">
        <f t="shared" si="100"/>
        <v>-25.599235342245429</v>
      </c>
      <c r="U333" s="134">
        <f t="shared" si="100"/>
        <v>-36.488541304820899</v>
      </c>
      <c r="V333" s="134">
        <f t="shared" si="100"/>
        <v>-49.375098915352623</v>
      </c>
      <c r="W333" s="134">
        <f t="shared" si="100"/>
        <v>-64.314730159333394</v>
      </c>
      <c r="X333" s="134">
        <f t="shared" si="100"/>
        <v>-81.363257022254857</v>
      </c>
      <c r="Y333" s="134">
        <f t="shared" si="100"/>
        <v>-100.57650148960818</v>
      </c>
      <c r="Z333" s="134">
        <f t="shared" si="100"/>
        <v>-122.01028554688583</v>
      </c>
      <c r="AA333" s="134">
        <f t="shared" si="100"/>
        <v>-145.72043117958094</v>
      </c>
      <c r="AB333" s="134">
        <f t="shared" si="100"/>
        <v>-171.76276037318468</v>
      </c>
      <c r="AC333" s="134">
        <f t="shared" si="100"/>
        <v>-200.19309511318818</v>
      </c>
      <c r="AD333" s="134">
        <f t="shared" si="100"/>
        <v>-231.06725738508425</v>
      </c>
      <c r="AE333" s="134">
        <f t="shared" si="100"/>
        <v>-264.4410691743654</v>
      </c>
      <c r="AF333" s="134">
        <f t="shared" si="100"/>
        <v>-300.3703524665234</v>
      </c>
      <c r="AG333" s="134">
        <f t="shared" si="100"/>
        <v>-338.91092924704975</v>
      </c>
      <c r="AH333" s="134">
        <f t="shared" si="100"/>
        <v>-380.11862150143628</v>
      </c>
      <c r="AI333" s="134">
        <f t="shared" si="100"/>
        <v>-424.04925121517579</v>
      </c>
      <c r="AJ333" s="134">
        <f t="shared" si="100"/>
        <v>-470.75864037376004</v>
      </c>
      <c r="AK333" s="134">
        <f t="shared" si="100"/>
        <v>-520.30261096268055</v>
      </c>
      <c r="AL333" s="134">
        <f t="shared" si="100"/>
        <v>-572.73698496743009</v>
      </c>
      <c r="AM333" s="134">
        <f t="shared" si="100"/>
        <v>-626.63051617646738</v>
      </c>
      <c r="AN333" s="134">
        <f t="shared" si="100"/>
        <v>-680.52404738550467</v>
      </c>
      <c r="AO333" s="134">
        <f t="shared" si="100"/>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5">
      <c r="A334" s="102"/>
      <c r="B334" s="112" t="s">
        <v>107</v>
      </c>
      <c r="C334" s="135"/>
      <c r="D334" s="134">
        <f t="shared" ref="D334:AO334" si="101">IF(D$320=$B334,0,IF(D$320&gt;$B334,-0.5*D$318-0.5*C$318+C334,0.5*HLOOKUP($B334,$D$317:$AO$318,2,FALSE)+0.5*HLOOKUP($B333,$D$317:$AO$318,2,FALSE)+D333))</f>
        <v>1.0954173480966978</v>
      </c>
      <c r="E334" s="134">
        <f t="shared" si="101"/>
        <v>1.0954173480966978</v>
      </c>
      <c r="F334" s="134">
        <f t="shared" si="101"/>
        <v>1.0954173480966978</v>
      </c>
      <c r="G334" s="134">
        <f t="shared" si="101"/>
        <v>1.0954173480966978</v>
      </c>
      <c r="H334" s="134">
        <f t="shared" si="101"/>
        <v>1.0954173480966978</v>
      </c>
      <c r="I334" s="134">
        <f t="shared" si="101"/>
        <v>1.0954173480966978</v>
      </c>
      <c r="J334" s="134">
        <f t="shared" si="101"/>
        <v>1.0954173480966978</v>
      </c>
      <c r="K334" s="134">
        <f t="shared" si="101"/>
        <v>1.0954173480966978</v>
      </c>
      <c r="L334" s="134">
        <f t="shared" si="101"/>
        <v>1.0954173480966978</v>
      </c>
      <c r="M334" s="134">
        <f t="shared" si="101"/>
        <v>1.0954173480966978</v>
      </c>
      <c r="N334" s="134">
        <f t="shared" si="101"/>
        <v>1.0954173480966978</v>
      </c>
      <c r="O334" s="134">
        <f t="shared" si="101"/>
        <v>1.0954173480966978</v>
      </c>
      <c r="P334" s="134">
        <f t="shared" si="101"/>
        <v>0</v>
      </c>
      <c r="Q334" s="134">
        <f t="shared" si="101"/>
        <v>-3.2611901392417906</v>
      </c>
      <c r="R334" s="134">
        <f t="shared" si="101"/>
        <v>-8.4936730708994226</v>
      </c>
      <c r="S334" s="134">
        <f t="shared" si="101"/>
        <v>-15.555941694037688</v>
      </c>
      <c r="T334" s="134">
        <f t="shared" si="101"/>
        <v>-24.503817994148733</v>
      </c>
      <c r="U334" s="134">
        <f t="shared" si="101"/>
        <v>-35.39312395672421</v>
      </c>
      <c r="V334" s="134">
        <f t="shared" si="101"/>
        <v>-48.279681567255935</v>
      </c>
      <c r="W334" s="134">
        <f t="shared" si="101"/>
        <v>-63.219312811236698</v>
      </c>
      <c r="X334" s="134">
        <f t="shared" si="101"/>
        <v>-80.267839674158154</v>
      </c>
      <c r="Y334" s="134">
        <f t="shared" si="101"/>
        <v>-99.481084141511474</v>
      </c>
      <c r="Z334" s="134">
        <f t="shared" si="101"/>
        <v>-120.91486819878912</v>
      </c>
      <c r="AA334" s="134">
        <f t="shared" si="101"/>
        <v>-144.62501383148424</v>
      </c>
      <c r="AB334" s="134">
        <f t="shared" si="101"/>
        <v>-170.66734302508797</v>
      </c>
      <c r="AC334" s="134">
        <f t="shared" si="101"/>
        <v>-199.09767776509148</v>
      </c>
      <c r="AD334" s="134">
        <f t="shared" si="101"/>
        <v>-229.97184003698754</v>
      </c>
      <c r="AE334" s="134">
        <f t="shared" si="101"/>
        <v>-263.34565182626869</v>
      </c>
      <c r="AF334" s="134">
        <f t="shared" si="101"/>
        <v>-299.2749351184267</v>
      </c>
      <c r="AG334" s="134">
        <f t="shared" si="101"/>
        <v>-337.81551189895305</v>
      </c>
      <c r="AH334" s="134">
        <f t="shared" si="101"/>
        <v>-379.02320415333958</v>
      </c>
      <c r="AI334" s="134">
        <f t="shared" si="101"/>
        <v>-422.95383386707908</v>
      </c>
      <c r="AJ334" s="134">
        <f t="shared" si="101"/>
        <v>-469.66322302566334</v>
      </c>
      <c r="AK334" s="134">
        <f t="shared" si="101"/>
        <v>-519.20719361458384</v>
      </c>
      <c r="AL334" s="134">
        <f t="shared" si="101"/>
        <v>-571.6415676193335</v>
      </c>
      <c r="AM334" s="134">
        <f t="shared" si="101"/>
        <v>-625.53509882837079</v>
      </c>
      <c r="AN334" s="134">
        <f t="shared" si="101"/>
        <v>-679.42863003740808</v>
      </c>
      <c r="AO334" s="134">
        <f t="shared" si="101"/>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5">
      <c r="A335" s="102"/>
      <c r="B335" s="112" t="s">
        <v>108</v>
      </c>
      <c r="C335" s="135"/>
      <c r="D335" s="134">
        <f t="shared" ref="D335:AO335" si="102">IF(D$320=$B335,0,IF(D$320&gt;$B335,-0.5*D$318-0.5*C$318+C335,0.5*HLOOKUP($B335,$D$317:$AO$318,2,FALSE)+0.5*HLOOKUP($B334,$D$317:$AO$318,2,FALSE)+D334))</f>
        <v>4.3566074873384881</v>
      </c>
      <c r="E335" s="134">
        <f t="shared" si="102"/>
        <v>4.3566074873384881</v>
      </c>
      <c r="F335" s="134">
        <f t="shared" si="102"/>
        <v>4.3566074873384881</v>
      </c>
      <c r="G335" s="134">
        <f t="shared" si="102"/>
        <v>4.3566074873384881</v>
      </c>
      <c r="H335" s="134">
        <f t="shared" si="102"/>
        <v>4.3566074873384881</v>
      </c>
      <c r="I335" s="134">
        <f t="shared" si="102"/>
        <v>4.3566074873384881</v>
      </c>
      <c r="J335" s="134">
        <f t="shared" si="102"/>
        <v>4.3566074873384881</v>
      </c>
      <c r="K335" s="134">
        <f t="shared" si="102"/>
        <v>4.3566074873384881</v>
      </c>
      <c r="L335" s="134">
        <f t="shared" si="102"/>
        <v>4.3566074873384881</v>
      </c>
      <c r="M335" s="134">
        <f t="shared" si="102"/>
        <v>4.3566074873384881</v>
      </c>
      <c r="N335" s="134">
        <f t="shared" si="102"/>
        <v>4.3566074873384881</v>
      </c>
      <c r="O335" s="134">
        <f t="shared" si="102"/>
        <v>4.3566074873384881</v>
      </c>
      <c r="P335" s="134">
        <f t="shared" si="102"/>
        <v>3.2611901392417906</v>
      </c>
      <c r="Q335" s="134">
        <f t="shared" si="102"/>
        <v>0</v>
      </c>
      <c r="R335" s="134">
        <f t="shared" si="102"/>
        <v>-5.2324829316576311</v>
      </c>
      <c r="S335" s="134">
        <f t="shared" si="102"/>
        <v>-12.294751554795898</v>
      </c>
      <c r="T335" s="134">
        <f t="shared" si="102"/>
        <v>-21.242627854906942</v>
      </c>
      <c r="U335" s="134">
        <f t="shared" si="102"/>
        <v>-32.13193381748242</v>
      </c>
      <c r="V335" s="134">
        <f t="shared" si="102"/>
        <v>-45.018491428014144</v>
      </c>
      <c r="W335" s="134">
        <f t="shared" si="102"/>
        <v>-59.958122671994907</v>
      </c>
      <c r="X335" s="134">
        <f t="shared" si="102"/>
        <v>-77.006649534916363</v>
      </c>
      <c r="Y335" s="134">
        <f t="shared" si="102"/>
        <v>-96.219894002269683</v>
      </c>
      <c r="Z335" s="134">
        <f t="shared" si="102"/>
        <v>-117.65367805954733</v>
      </c>
      <c r="AA335" s="134">
        <f t="shared" si="102"/>
        <v>-141.36382369224245</v>
      </c>
      <c r="AB335" s="134">
        <f t="shared" si="102"/>
        <v>-167.40615288584618</v>
      </c>
      <c r="AC335" s="134">
        <f t="shared" si="102"/>
        <v>-195.83648762584968</v>
      </c>
      <c r="AD335" s="134">
        <f t="shared" si="102"/>
        <v>-226.71064989774575</v>
      </c>
      <c r="AE335" s="134">
        <f t="shared" si="102"/>
        <v>-260.08446168702687</v>
      </c>
      <c r="AF335" s="134">
        <f t="shared" si="102"/>
        <v>-296.01374497918488</v>
      </c>
      <c r="AG335" s="134">
        <f t="shared" si="102"/>
        <v>-334.55432175971123</v>
      </c>
      <c r="AH335" s="134">
        <f t="shared" si="102"/>
        <v>-375.76201401409776</v>
      </c>
      <c r="AI335" s="134">
        <f t="shared" si="102"/>
        <v>-419.69264372783721</v>
      </c>
      <c r="AJ335" s="134">
        <f t="shared" si="102"/>
        <v>-466.40203288642147</v>
      </c>
      <c r="AK335" s="134">
        <f t="shared" si="102"/>
        <v>-515.94600347534197</v>
      </c>
      <c r="AL335" s="134">
        <f t="shared" si="102"/>
        <v>-568.38037748009151</v>
      </c>
      <c r="AM335" s="134">
        <f t="shared" si="102"/>
        <v>-622.2739086891288</v>
      </c>
      <c r="AN335" s="134">
        <f t="shared" si="102"/>
        <v>-676.16743989816609</v>
      </c>
      <c r="AO335" s="134">
        <f t="shared" si="102"/>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5">
      <c r="A336" s="102"/>
      <c r="B336" s="112" t="s">
        <v>109</v>
      </c>
      <c r="C336" s="135"/>
      <c r="D336" s="134">
        <f t="shared" ref="D336:AO336" si="103">IF(D$320=$B336,0,IF(D$320&gt;$B336,-0.5*D$318-0.5*C$318+C336,0.5*HLOOKUP($B336,$D$317:$AO$318,2,FALSE)+0.5*HLOOKUP($B335,$D$317:$AO$318,2,FALSE)+D335))</f>
        <v>9.5890904189961184</v>
      </c>
      <c r="E336" s="134">
        <f t="shared" si="103"/>
        <v>9.5890904189961184</v>
      </c>
      <c r="F336" s="134">
        <f t="shared" si="103"/>
        <v>9.5890904189961184</v>
      </c>
      <c r="G336" s="134">
        <f t="shared" si="103"/>
        <v>9.5890904189961184</v>
      </c>
      <c r="H336" s="134">
        <f t="shared" si="103"/>
        <v>9.5890904189961184</v>
      </c>
      <c r="I336" s="134">
        <f t="shared" si="103"/>
        <v>9.5890904189961184</v>
      </c>
      <c r="J336" s="134">
        <f t="shared" si="103"/>
        <v>9.5890904189961184</v>
      </c>
      <c r="K336" s="134">
        <f t="shared" si="103"/>
        <v>9.5890904189961184</v>
      </c>
      <c r="L336" s="134">
        <f t="shared" si="103"/>
        <v>9.5890904189961184</v>
      </c>
      <c r="M336" s="134">
        <f t="shared" si="103"/>
        <v>9.5890904189961184</v>
      </c>
      <c r="N336" s="134">
        <f t="shared" si="103"/>
        <v>9.5890904189961184</v>
      </c>
      <c r="O336" s="134">
        <f t="shared" si="103"/>
        <v>9.5890904189961184</v>
      </c>
      <c r="P336" s="134">
        <f t="shared" si="103"/>
        <v>8.4936730708994226</v>
      </c>
      <c r="Q336" s="134">
        <f t="shared" si="103"/>
        <v>5.2324829316576311</v>
      </c>
      <c r="R336" s="134">
        <f t="shared" si="103"/>
        <v>0</v>
      </c>
      <c r="S336" s="134">
        <f t="shared" si="103"/>
        <v>-7.0622686231382659</v>
      </c>
      <c r="T336" s="134">
        <f t="shared" si="103"/>
        <v>-16.01014492324931</v>
      </c>
      <c r="U336" s="134">
        <f t="shared" si="103"/>
        <v>-26.899450885824784</v>
      </c>
      <c r="V336" s="134">
        <f t="shared" si="103"/>
        <v>-39.786008496356501</v>
      </c>
      <c r="W336" s="134">
        <f t="shared" si="103"/>
        <v>-54.725639740337265</v>
      </c>
      <c r="X336" s="134">
        <f t="shared" si="103"/>
        <v>-71.77416660325872</v>
      </c>
      <c r="Y336" s="134">
        <f t="shared" si="103"/>
        <v>-90.98741107061204</v>
      </c>
      <c r="Z336" s="134">
        <f t="shared" si="103"/>
        <v>-112.42119512788969</v>
      </c>
      <c r="AA336" s="134">
        <f t="shared" si="103"/>
        <v>-136.13134076058481</v>
      </c>
      <c r="AB336" s="134">
        <f t="shared" si="103"/>
        <v>-162.17366995418854</v>
      </c>
      <c r="AC336" s="134">
        <f t="shared" si="103"/>
        <v>-190.60400469419204</v>
      </c>
      <c r="AD336" s="134">
        <f t="shared" si="103"/>
        <v>-221.47816696608811</v>
      </c>
      <c r="AE336" s="134">
        <f t="shared" si="103"/>
        <v>-254.85197875536923</v>
      </c>
      <c r="AF336" s="134">
        <f t="shared" si="103"/>
        <v>-290.78126204752721</v>
      </c>
      <c r="AG336" s="134">
        <f t="shared" si="103"/>
        <v>-329.32183882805356</v>
      </c>
      <c r="AH336" s="134">
        <f t="shared" si="103"/>
        <v>-370.52953108244009</v>
      </c>
      <c r="AI336" s="134">
        <f t="shared" si="103"/>
        <v>-414.46016079617959</v>
      </c>
      <c r="AJ336" s="134">
        <f t="shared" si="103"/>
        <v>-461.16954995476385</v>
      </c>
      <c r="AK336" s="134">
        <f t="shared" si="103"/>
        <v>-510.71352054368435</v>
      </c>
      <c r="AL336" s="134">
        <f t="shared" si="103"/>
        <v>-563.1478945484339</v>
      </c>
      <c r="AM336" s="134">
        <f t="shared" si="103"/>
        <v>-617.04142575747119</v>
      </c>
      <c r="AN336" s="134">
        <f t="shared" si="103"/>
        <v>-670.93495696650848</v>
      </c>
      <c r="AO336" s="134">
        <f t="shared" si="103"/>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5">
      <c r="A337" s="102"/>
      <c r="B337" s="112" t="s">
        <v>110</v>
      </c>
      <c r="C337" s="135"/>
      <c r="D337" s="134">
        <f t="shared" ref="D337:AO337" si="104">IF(D$320=$B337,0,IF(D$320&gt;$B337,-0.5*D$318-0.5*C$318+C337,0.5*HLOOKUP($B337,$D$317:$AO$318,2,FALSE)+0.5*HLOOKUP($B336,$D$317:$AO$318,2,FALSE)+D336))</f>
        <v>16.651359042134384</v>
      </c>
      <c r="E337" s="134">
        <f t="shared" si="104"/>
        <v>16.651359042134384</v>
      </c>
      <c r="F337" s="134">
        <f t="shared" si="104"/>
        <v>16.651359042134384</v>
      </c>
      <c r="G337" s="134">
        <f t="shared" si="104"/>
        <v>16.651359042134384</v>
      </c>
      <c r="H337" s="134">
        <f t="shared" si="104"/>
        <v>16.651359042134384</v>
      </c>
      <c r="I337" s="134">
        <f t="shared" si="104"/>
        <v>16.651359042134384</v>
      </c>
      <c r="J337" s="134">
        <f t="shared" si="104"/>
        <v>16.651359042134384</v>
      </c>
      <c r="K337" s="134">
        <f t="shared" si="104"/>
        <v>16.651359042134384</v>
      </c>
      <c r="L337" s="134">
        <f t="shared" si="104"/>
        <v>16.651359042134384</v>
      </c>
      <c r="M337" s="134">
        <f t="shared" si="104"/>
        <v>16.651359042134384</v>
      </c>
      <c r="N337" s="134">
        <f t="shared" si="104"/>
        <v>16.651359042134384</v>
      </c>
      <c r="O337" s="134">
        <f t="shared" si="104"/>
        <v>16.651359042134384</v>
      </c>
      <c r="P337" s="134">
        <f t="shared" si="104"/>
        <v>15.555941694037688</v>
      </c>
      <c r="Q337" s="134">
        <f t="shared" si="104"/>
        <v>12.294751554795898</v>
      </c>
      <c r="R337" s="134">
        <f t="shared" si="104"/>
        <v>7.0622686231382659</v>
      </c>
      <c r="S337" s="134">
        <f t="shared" si="104"/>
        <v>0</v>
      </c>
      <c r="T337" s="134">
        <f t="shared" si="104"/>
        <v>-8.9478763001110444</v>
      </c>
      <c r="U337" s="134">
        <f t="shared" si="104"/>
        <v>-19.837182262686518</v>
      </c>
      <c r="V337" s="134">
        <f t="shared" si="104"/>
        <v>-32.723739873218236</v>
      </c>
      <c r="W337" s="134">
        <f t="shared" si="104"/>
        <v>-47.663371117198999</v>
      </c>
      <c r="X337" s="134">
        <f t="shared" si="104"/>
        <v>-64.711897980120455</v>
      </c>
      <c r="Y337" s="134">
        <f t="shared" si="104"/>
        <v>-83.925142447473775</v>
      </c>
      <c r="Z337" s="134">
        <f t="shared" si="104"/>
        <v>-105.35892650475142</v>
      </c>
      <c r="AA337" s="134">
        <f t="shared" si="104"/>
        <v>-129.06907213744654</v>
      </c>
      <c r="AB337" s="134">
        <f t="shared" si="104"/>
        <v>-155.11140133105027</v>
      </c>
      <c r="AC337" s="134">
        <f t="shared" si="104"/>
        <v>-183.54173607105378</v>
      </c>
      <c r="AD337" s="134">
        <f t="shared" si="104"/>
        <v>-214.41589834294984</v>
      </c>
      <c r="AE337" s="134">
        <f t="shared" si="104"/>
        <v>-247.78971013223097</v>
      </c>
      <c r="AF337" s="134">
        <f t="shared" si="104"/>
        <v>-283.71899342438894</v>
      </c>
      <c r="AG337" s="134">
        <f t="shared" si="104"/>
        <v>-322.25957020491529</v>
      </c>
      <c r="AH337" s="134">
        <f t="shared" si="104"/>
        <v>-363.46726245930182</v>
      </c>
      <c r="AI337" s="134">
        <f t="shared" si="104"/>
        <v>-407.39789217304133</v>
      </c>
      <c r="AJ337" s="134">
        <f t="shared" si="104"/>
        <v>-454.10728133162559</v>
      </c>
      <c r="AK337" s="134">
        <f t="shared" si="104"/>
        <v>-503.65125192054609</v>
      </c>
      <c r="AL337" s="134">
        <f t="shared" si="104"/>
        <v>-556.08562592529574</v>
      </c>
      <c r="AM337" s="134">
        <f t="shared" si="104"/>
        <v>-609.97915713433304</v>
      </c>
      <c r="AN337" s="134">
        <f t="shared" si="104"/>
        <v>-663.87268834337033</v>
      </c>
      <c r="AO337" s="134">
        <f t="shared" si="104"/>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5">
      <c r="A338" s="102"/>
      <c r="B338" s="112" t="s">
        <v>111</v>
      </c>
      <c r="C338" s="135"/>
      <c r="D338" s="134">
        <f t="shared" ref="D338:AO338" si="105">IF(D$320=$B338,0,IF(D$320&gt;$B338,-0.5*D$318-0.5*C$318+C338,0.5*HLOOKUP($B338,$D$317:$AO$318,2,FALSE)+0.5*HLOOKUP($B337,$D$317:$AO$318,2,FALSE)+D337))</f>
        <v>25.599235342245429</v>
      </c>
      <c r="E338" s="134">
        <f t="shared" si="105"/>
        <v>25.599235342245429</v>
      </c>
      <c r="F338" s="134">
        <f t="shared" si="105"/>
        <v>25.599235342245429</v>
      </c>
      <c r="G338" s="134">
        <f t="shared" si="105"/>
        <v>25.599235342245429</v>
      </c>
      <c r="H338" s="134">
        <f t="shared" si="105"/>
        <v>25.599235342245429</v>
      </c>
      <c r="I338" s="134">
        <f t="shared" si="105"/>
        <v>25.599235342245429</v>
      </c>
      <c r="J338" s="134">
        <f t="shared" si="105"/>
        <v>25.599235342245429</v>
      </c>
      <c r="K338" s="134">
        <f t="shared" si="105"/>
        <v>25.599235342245429</v>
      </c>
      <c r="L338" s="134">
        <f t="shared" si="105"/>
        <v>25.599235342245429</v>
      </c>
      <c r="M338" s="134">
        <f t="shared" si="105"/>
        <v>25.599235342245429</v>
      </c>
      <c r="N338" s="134">
        <f t="shared" si="105"/>
        <v>25.599235342245429</v>
      </c>
      <c r="O338" s="134">
        <f t="shared" si="105"/>
        <v>25.599235342245429</v>
      </c>
      <c r="P338" s="134">
        <f t="shared" si="105"/>
        <v>24.503817994148733</v>
      </c>
      <c r="Q338" s="134">
        <f t="shared" si="105"/>
        <v>21.242627854906942</v>
      </c>
      <c r="R338" s="134">
        <f t="shared" si="105"/>
        <v>16.01014492324931</v>
      </c>
      <c r="S338" s="134">
        <f t="shared" si="105"/>
        <v>8.9478763001110444</v>
      </c>
      <c r="T338" s="134">
        <f t="shared" si="105"/>
        <v>0</v>
      </c>
      <c r="U338" s="134">
        <f t="shared" si="105"/>
        <v>-10.889305962575474</v>
      </c>
      <c r="V338" s="134">
        <f t="shared" si="105"/>
        <v>-23.775863573107195</v>
      </c>
      <c r="W338" s="134">
        <f t="shared" si="105"/>
        <v>-38.715494817087958</v>
      </c>
      <c r="X338" s="134">
        <f t="shared" si="105"/>
        <v>-55.764021680009421</v>
      </c>
      <c r="Y338" s="134">
        <f t="shared" si="105"/>
        <v>-74.977266147362741</v>
      </c>
      <c r="Z338" s="134">
        <f t="shared" si="105"/>
        <v>-96.411050204640389</v>
      </c>
      <c r="AA338" s="134">
        <f t="shared" si="105"/>
        <v>-120.12119583733551</v>
      </c>
      <c r="AB338" s="134">
        <f t="shared" si="105"/>
        <v>-146.16352503093924</v>
      </c>
      <c r="AC338" s="134">
        <f t="shared" si="105"/>
        <v>-174.59385977094274</v>
      </c>
      <c r="AD338" s="134">
        <f t="shared" si="105"/>
        <v>-205.46802204283881</v>
      </c>
      <c r="AE338" s="134">
        <f t="shared" si="105"/>
        <v>-238.84183383211993</v>
      </c>
      <c r="AF338" s="134">
        <f t="shared" si="105"/>
        <v>-274.77111712427791</v>
      </c>
      <c r="AG338" s="134">
        <f t="shared" si="105"/>
        <v>-313.31169390480426</v>
      </c>
      <c r="AH338" s="134">
        <f t="shared" si="105"/>
        <v>-354.51938615919079</v>
      </c>
      <c r="AI338" s="134">
        <f t="shared" si="105"/>
        <v>-398.45001587293029</v>
      </c>
      <c r="AJ338" s="134">
        <f t="shared" si="105"/>
        <v>-445.15940503151455</v>
      </c>
      <c r="AK338" s="134">
        <f t="shared" si="105"/>
        <v>-494.70337562043505</v>
      </c>
      <c r="AL338" s="134">
        <f t="shared" si="105"/>
        <v>-547.1377496251846</v>
      </c>
      <c r="AM338" s="134">
        <f t="shared" si="105"/>
        <v>-601.03128083422189</v>
      </c>
      <c r="AN338" s="134">
        <f t="shared" si="105"/>
        <v>-654.92481204325918</v>
      </c>
      <c r="AO338" s="134">
        <f t="shared" si="105"/>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5">
      <c r="A339" s="102"/>
      <c r="B339" s="112" t="s">
        <v>112</v>
      </c>
      <c r="C339" s="135"/>
      <c r="D339" s="134">
        <f t="shared" ref="D339:AO339" si="106">IF(D$320=$B339,0,IF(D$320&gt;$B339,-0.5*D$318-0.5*C$318+C339,0.5*HLOOKUP($B339,$D$317:$AO$318,2,FALSE)+0.5*HLOOKUP($B338,$D$317:$AO$318,2,FALSE)+D338))</f>
        <v>36.488541304820899</v>
      </c>
      <c r="E339" s="134">
        <f t="shared" si="106"/>
        <v>36.488541304820899</v>
      </c>
      <c r="F339" s="134">
        <f t="shared" si="106"/>
        <v>36.488541304820899</v>
      </c>
      <c r="G339" s="134">
        <f t="shared" si="106"/>
        <v>36.488541304820899</v>
      </c>
      <c r="H339" s="134">
        <f t="shared" si="106"/>
        <v>36.488541304820899</v>
      </c>
      <c r="I339" s="134">
        <f t="shared" si="106"/>
        <v>36.488541304820899</v>
      </c>
      <c r="J339" s="134">
        <f t="shared" si="106"/>
        <v>36.488541304820899</v>
      </c>
      <c r="K339" s="134">
        <f t="shared" si="106"/>
        <v>36.488541304820899</v>
      </c>
      <c r="L339" s="134">
        <f t="shared" si="106"/>
        <v>36.488541304820899</v>
      </c>
      <c r="M339" s="134">
        <f t="shared" si="106"/>
        <v>36.488541304820899</v>
      </c>
      <c r="N339" s="134">
        <f t="shared" si="106"/>
        <v>36.488541304820899</v>
      </c>
      <c r="O339" s="134">
        <f t="shared" si="106"/>
        <v>36.488541304820899</v>
      </c>
      <c r="P339" s="134">
        <f t="shared" si="106"/>
        <v>35.39312395672421</v>
      </c>
      <c r="Q339" s="134">
        <f t="shared" si="106"/>
        <v>32.13193381748242</v>
      </c>
      <c r="R339" s="134">
        <f t="shared" si="106"/>
        <v>26.899450885824784</v>
      </c>
      <c r="S339" s="134">
        <f t="shared" si="106"/>
        <v>19.837182262686518</v>
      </c>
      <c r="T339" s="134">
        <f t="shared" si="106"/>
        <v>10.889305962575474</v>
      </c>
      <c r="U339" s="134">
        <f t="shared" si="106"/>
        <v>0</v>
      </c>
      <c r="V339" s="134">
        <f t="shared" si="106"/>
        <v>-12.886557610531721</v>
      </c>
      <c r="W339" s="134">
        <f t="shared" si="106"/>
        <v>-27.826188854512488</v>
      </c>
      <c r="X339" s="134">
        <f t="shared" si="106"/>
        <v>-44.874715717433951</v>
      </c>
      <c r="Y339" s="134">
        <f t="shared" si="106"/>
        <v>-64.087960184787278</v>
      </c>
      <c r="Z339" s="134">
        <f t="shared" si="106"/>
        <v>-85.521744242064926</v>
      </c>
      <c r="AA339" s="134">
        <f t="shared" si="106"/>
        <v>-109.23188987476004</v>
      </c>
      <c r="AB339" s="134">
        <f t="shared" si="106"/>
        <v>-135.27421906836378</v>
      </c>
      <c r="AC339" s="134">
        <f t="shared" si="106"/>
        <v>-163.70455380836728</v>
      </c>
      <c r="AD339" s="134">
        <f t="shared" si="106"/>
        <v>-194.57871608026335</v>
      </c>
      <c r="AE339" s="134">
        <f t="shared" si="106"/>
        <v>-227.95252786954447</v>
      </c>
      <c r="AF339" s="134">
        <f t="shared" si="106"/>
        <v>-263.88181116170244</v>
      </c>
      <c r="AG339" s="134">
        <f t="shared" si="106"/>
        <v>-302.4223879422288</v>
      </c>
      <c r="AH339" s="134">
        <f t="shared" si="106"/>
        <v>-343.63008019661532</v>
      </c>
      <c r="AI339" s="134">
        <f t="shared" si="106"/>
        <v>-387.56070991035483</v>
      </c>
      <c r="AJ339" s="134">
        <f t="shared" si="106"/>
        <v>-434.27009906893909</v>
      </c>
      <c r="AK339" s="134">
        <f t="shared" si="106"/>
        <v>-483.81406965785959</v>
      </c>
      <c r="AL339" s="134">
        <f t="shared" si="106"/>
        <v>-536.24844366260913</v>
      </c>
      <c r="AM339" s="134">
        <f t="shared" si="106"/>
        <v>-590.14197487164643</v>
      </c>
      <c r="AN339" s="134">
        <f t="shared" si="106"/>
        <v>-644.03550608068372</v>
      </c>
      <c r="AO339" s="134">
        <f t="shared" si="106"/>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5">
      <c r="A340" s="102"/>
      <c r="B340" s="112" t="s">
        <v>113</v>
      </c>
      <c r="C340" s="135"/>
      <c r="D340" s="134">
        <f t="shared" ref="D340:AO340" si="107">IF(D$320=$B340,0,IF(D$320&gt;$B340,-0.5*D$318-0.5*C$318+C340,0.5*HLOOKUP($B340,$D$317:$AO$318,2,FALSE)+0.5*HLOOKUP($B339,$D$317:$AO$318,2,FALSE)+D339))</f>
        <v>49.375098915352623</v>
      </c>
      <c r="E340" s="134">
        <f t="shared" si="107"/>
        <v>49.375098915352623</v>
      </c>
      <c r="F340" s="134">
        <f t="shared" si="107"/>
        <v>49.375098915352623</v>
      </c>
      <c r="G340" s="134">
        <f t="shared" si="107"/>
        <v>49.375098915352623</v>
      </c>
      <c r="H340" s="134">
        <f t="shared" si="107"/>
        <v>49.375098915352623</v>
      </c>
      <c r="I340" s="134">
        <f t="shared" si="107"/>
        <v>49.375098915352623</v>
      </c>
      <c r="J340" s="134">
        <f t="shared" si="107"/>
        <v>49.375098915352623</v>
      </c>
      <c r="K340" s="134">
        <f t="shared" si="107"/>
        <v>49.375098915352623</v>
      </c>
      <c r="L340" s="134">
        <f t="shared" si="107"/>
        <v>49.375098915352623</v>
      </c>
      <c r="M340" s="134">
        <f t="shared" si="107"/>
        <v>49.375098915352623</v>
      </c>
      <c r="N340" s="134">
        <f t="shared" si="107"/>
        <v>49.375098915352623</v>
      </c>
      <c r="O340" s="134">
        <f t="shared" si="107"/>
        <v>49.375098915352623</v>
      </c>
      <c r="P340" s="134">
        <f t="shared" si="107"/>
        <v>48.279681567255935</v>
      </c>
      <c r="Q340" s="134">
        <f t="shared" si="107"/>
        <v>45.018491428014144</v>
      </c>
      <c r="R340" s="134">
        <f t="shared" si="107"/>
        <v>39.786008496356501</v>
      </c>
      <c r="S340" s="134">
        <f t="shared" si="107"/>
        <v>32.723739873218236</v>
      </c>
      <c r="T340" s="134">
        <f t="shared" si="107"/>
        <v>23.775863573107195</v>
      </c>
      <c r="U340" s="134">
        <f t="shared" si="107"/>
        <v>12.886557610531721</v>
      </c>
      <c r="V340" s="134">
        <f t="shared" si="107"/>
        <v>0</v>
      </c>
      <c r="W340" s="134">
        <f t="shared" si="107"/>
        <v>-14.939631243980765</v>
      </c>
      <c r="X340" s="134">
        <f t="shared" si="107"/>
        <v>-31.988158106902226</v>
      </c>
      <c r="Y340" s="134">
        <f t="shared" si="107"/>
        <v>-51.201402574255546</v>
      </c>
      <c r="Z340" s="134">
        <f t="shared" si="107"/>
        <v>-72.635186631533202</v>
      </c>
      <c r="AA340" s="134">
        <f t="shared" si="107"/>
        <v>-96.345332264228318</v>
      </c>
      <c r="AB340" s="134">
        <f t="shared" si="107"/>
        <v>-122.38766145783204</v>
      </c>
      <c r="AC340" s="134">
        <f t="shared" si="107"/>
        <v>-150.81799619783555</v>
      </c>
      <c r="AD340" s="134">
        <f t="shared" si="107"/>
        <v>-181.69215846973162</v>
      </c>
      <c r="AE340" s="134">
        <f t="shared" si="107"/>
        <v>-215.06597025901274</v>
      </c>
      <c r="AF340" s="134">
        <f t="shared" si="107"/>
        <v>-250.99525355117072</v>
      </c>
      <c r="AG340" s="134">
        <f t="shared" si="107"/>
        <v>-289.53583033169707</v>
      </c>
      <c r="AH340" s="134">
        <f t="shared" si="107"/>
        <v>-330.7435225860836</v>
      </c>
      <c r="AI340" s="134">
        <f t="shared" si="107"/>
        <v>-374.67415229982305</v>
      </c>
      <c r="AJ340" s="134">
        <f t="shared" si="107"/>
        <v>-421.38354145840731</v>
      </c>
      <c r="AK340" s="134">
        <f t="shared" si="107"/>
        <v>-470.92751204732781</v>
      </c>
      <c r="AL340" s="134">
        <f t="shared" si="107"/>
        <v>-523.36188605207735</v>
      </c>
      <c r="AM340" s="134">
        <f t="shared" si="107"/>
        <v>-577.25541726111464</v>
      </c>
      <c r="AN340" s="134">
        <f t="shared" si="107"/>
        <v>-631.14894847015194</v>
      </c>
      <c r="AO340" s="134">
        <f t="shared" si="107"/>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5">
      <c r="A341" s="102"/>
      <c r="B341" s="112" t="s">
        <v>114</v>
      </c>
      <c r="C341" s="135"/>
      <c r="D341" s="134">
        <f t="shared" ref="D341:AO341" si="108">IF(D$320=$B341,0,IF(D$320&gt;$B341,-0.5*D$318-0.5*C$318+C341,0.5*HLOOKUP($B341,$D$317:$AO$318,2,FALSE)+0.5*HLOOKUP($B340,$D$317:$AO$318,2,FALSE)+D340))</f>
        <v>64.314730159333394</v>
      </c>
      <c r="E341" s="134">
        <f t="shared" si="108"/>
        <v>64.314730159333394</v>
      </c>
      <c r="F341" s="134">
        <f t="shared" si="108"/>
        <v>64.314730159333394</v>
      </c>
      <c r="G341" s="134">
        <f t="shared" si="108"/>
        <v>64.314730159333394</v>
      </c>
      <c r="H341" s="134">
        <f t="shared" si="108"/>
        <v>64.314730159333394</v>
      </c>
      <c r="I341" s="134">
        <f t="shared" si="108"/>
        <v>64.314730159333394</v>
      </c>
      <c r="J341" s="134">
        <f t="shared" si="108"/>
        <v>64.314730159333394</v>
      </c>
      <c r="K341" s="134">
        <f t="shared" si="108"/>
        <v>64.314730159333394</v>
      </c>
      <c r="L341" s="134">
        <f t="shared" si="108"/>
        <v>64.314730159333394</v>
      </c>
      <c r="M341" s="134">
        <f t="shared" si="108"/>
        <v>64.314730159333394</v>
      </c>
      <c r="N341" s="134">
        <f t="shared" si="108"/>
        <v>64.314730159333394</v>
      </c>
      <c r="O341" s="134">
        <f t="shared" si="108"/>
        <v>64.314730159333394</v>
      </c>
      <c r="P341" s="134">
        <f t="shared" si="108"/>
        <v>63.219312811236698</v>
      </c>
      <c r="Q341" s="134">
        <f t="shared" si="108"/>
        <v>59.958122671994907</v>
      </c>
      <c r="R341" s="134">
        <f t="shared" si="108"/>
        <v>54.725639740337265</v>
      </c>
      <c r="S341" s="134">
        <f t="shared" si="108"/>
        <v>47.663371117198999</v>
      </c>
      <c r="T341" s="134">
        <f t="shared" si="108"/>
        <v>38.715494817087958</v>
      </c>
      <c r="U341" s="134">
        <f t="shared" si="108"/>
        <v>27.826188854512488</v>
      </c>
      <c r="V341" s="134">
        <f t="shared" si="108"/>
        <v>14.939631243980765</v>
      </c>
      <c r="W341" s="134">
        <f t="shared" si="108"/>
        <v>0</v>
      </c>
      <c r="X341" s="134">
        <f t="shared" si="108"/>
        <v>-17.048526862921463</v>
      </c>
      <c r="Y341" s="134">
        <f t="shared" si="108"/>
        <v>-36.261771330274783</v>
      </c>
      <c r="Z341" s="134">
        <f t="shared" si="108"/>
        <v>-57.695555387552432</v>
      </c>
      <c r="AA341" s="134">
        <f t="shared" si="108"/>
        <v>-81.405701020247534</v>
      </c>
      <c r="AB341" s="134">
        <f t="shared" si="108"/>
        <v>-107.44803021385125</v>
      </c>
      <c r="AC341" s="134">
        <f t="shared" si="108"/>
        <v>-135.87836495385477</v>
      </c>
      <c r="AD341" s="134">
        <f t="shared" si="108"/>
        <v>-166.75252722575084</v>
      </c>
      <c r="AE341" s="134">
        <f t="shared" si="108"/>
        <v>-200.12633901503196</v>
      </c>
      <c r="AF341" s="134">
        <f t="shared" si="108"/>
        <v>-236.05562230718994</v>
      </c>
      <c r="AG341" s="134">
        <f t="shared" si="108"/>
        <v>-274.59619908771629</v>
      </c>
      <c r="AH341" s="134">
        <f t="shared" si="108"/>
        <v>-315.80389134210282</v>
      </c>
      <c r="AI341" s="134">
        <f t="shared" si="108"/>
        <v>-359.73452105584227</v>
      </c>
      <c r="AJ341" s="134">
        <f t="shared" si="108"/>
        <v>-406.44391021442652</v>
      </c>
      <c r="AK341" s="134">
        <f t="shared" si="108"/>
        <v>-455.98788080334702</v>
      </c>
      <c r="AL341" s="134">
        <f t="shared" si="108"/>
        <v>-508.42225480809662</v>
      </c>
      <c r="AM341" s="134">
        <f t="shared" si="108"/>
        <v>-562.31578601713397</v>
      </c>
      <c r="AN341" s="134">
        <f t="shared" si="108"/>
        <v>-616.20931722617127</v>
      </c>
      <c r="AO341" s="134">
        <f t="shared" si="108"/>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5">
      <c r="A342" s="102"/>
      <c r="B342" s="112" t="s">
        <v>115</v>
      </c>
      <c r="C342" s="135"/>
      <c r="D342" s="134">
        <f t="shared" ref="D342:AO342" si="109">IF(D$320=$B342,0,IF(D$320&gt;$B342,-0.5*D$318-0.5*C$318+C342,0.5*HLOOKUP($B342,$D$317:$AO$318,2,FALSE)+0.5*HLOOKUP($B341,$D$317:$AO$318,2,FALSE)+D341))</f>
        <v>81.363257022254857</v>
      </c>
      <c r="E342" s="134">
        <f t="shared" si="109"/>
        <v>81.363257022254857</v>
      </c>
      <c r="F342" s="134">
        <f t="shared" si="109"/>
        <v>81.363257022254857</v>
      </c>
      <c r="G342" s="134">
        <f t="shared" si="109"/>
        <v>81.363257022254857</v>
      </c>
      <c r="H342" s="134">
        <f t="shared" si="109"/>
        <v>81.363257022254857</v>
      </c>
      <c r="I342" s="134">
        <f t="shared" si="109"/>
        <v>81.363257022254857</v>
      </c>
      <c r="J342" s="134">
        <f t="shared" si="109"/>
        <v>81.363257022254857</v>
      </c>
      <c r="K342" s="134">
        <f t="shared" si="109"/>
        <v>81.363257022254857</v>
      </c>
      <c r="L342" s="134">
        <f t="shared" si="109"/>
        <v>81.363257022254857</v>
      </c>
      <c r="M342" s="134">
        <f t="shared" si="109"/>
        <v>81.363257022254857</v>
      </c>
      <c r="N342" s="134">
        <f t="shared" si="109"/>
        <v>81.363257022254857</v>
      </c>
      <c r="O342" s="134">
        <f t="shared" si="109"/>
        <v>81.363257022254857</v>
      </c>
      <c r="P342" s="134">
        <f t="shared" si="109"/>
        <v>80.267839674158154</v>
      </c>
      <c r="Q342" s="134">
        <f t="shared" si="109"/>
        <v>77.006649534916363</v>
      </c>
      <c r="R342" s="134">
        <f t="shared" si="109"/>
        <v>71.77416660325872</v>
      </c>
      <c r="S342" s="134">
        <f t="shared" si="109"/>
        <v>64.711897980120455</v>
      </c>
      <c r="T342" s="134">
        <f t="shared" si="109"/>
        <v>55.764021680009421</v>
      </c>
      <c r="U342" s="134">
        <f t="shared" si="109"/>
        <v>44.874715717433951</v>
      </c>
      <c r="V342" s="134">
        <f t="shared" si="109"/>
        <v>31.988158106902226</v>
      </c>
      <c r="W342" s="134">
        <f t="shared" si="109"/>
        <v>17.048526862921463</v>
      </c>
      <c r="X342" s="134">
        <f t="shared" si="109"/>
        <v>0</v>
      </c>
      <c r="Y342" s="134">
        <f t="shared" si="109"/>
        <v>-19.21324446735332</v>
      </c>
      <c r="Z342" s="134">
        <f t="shared" si="109"/>
        <v>-40.647028524630969</v>
      </c>
      <c r="AA342" s="134">
        <f t="shared" si="109"/>
        <v>-64.357174157326085</v>
      </c>
      <c r="AB342" s="134">
        <f t="shared" si="109"/>
        <v>-90.399503350929805</v>
      </c>
      <c r="AC342" s="134">
        <f t="shared" si="109"/>
        <v>-118.82983809093331</v>
      </c>
      <c r="AD342" s="134">
        <f t="shared" si="109"/>
        <v>-149.70400036282939</v>
      </c>
      <c r="AE342" s="134">
        <f t="shared" si="109"/>
        <v>-183.07781215211051</v>
      </c>
      <c r="AF342" s="134">
        <f t="shared" si="109"/>
        <v>-219.00709544426849</v>
      </c>
      <c r="AG342" s="134">
        <f t="shared" si="109"/>
        <v>-257.54767222479484</v>
      </c>
      <c r="AH342" s="134">
        <f t="shared" si="109"/>
        <v>-298.75536447918137</v>
      </c>
      <c r="AI342" s="134">
        <f t="shared" si="109"/>
        <v>-342.68599419292082</v>
      </c>
      <c r="AJ342" s="134">
        <f t="shared" si="109"/>
        <v>-389.39538335150507</v>
      </c>
      <c r="AK342" s="134">
        <f t="shared" si="109"/>
        <v>-438.93935394042558</v>
      </c>
      <c r="AL342" s="134">
        <f t="shared" si="109"/>
        <v>-491.37372794517518</v>
      </c>
      <c r="AM342" s="134">
        <f t="shared" si="109"/>
        <v>-545.26725915421252</v>
      </c>
      <c r="AN342" s="134">
        <f t="shared" si="109"/>
        <v>-599.16079036324982</v>
      </c>
      <c r="AO342" s="134">
        <f t="shared" si="109"/>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5">
      <c r="A343" s="102"/>
      <c r="B343" s="112" t="s">
        <v>116</v>
      </c>
      <c r="C343" s="135"/>
      <c r="D343" s="134">
        <f t="shared" ref="D343:AO343" si="110">IF(D$320=$B343,0,IF(D$320&gt;$B343,-0.5*D$318-0.5*C$318+C343,0.5*HLOOKUP($B343,$D$317:$AO$318,2,FALSE)+0.5*HLOOKUP($B342,$D$317:$AO$318,2,FALSE)+D342))</f>
        <v>100.57650148960818</v>
      </c>
      <c r="E343" s="134">
        <f t="shared" si="110"/>
        <v>100.57650148960818</v>
      </c>
      <c r="F343" s="134">
        <f t="shared" si="110"/>
        <v>100.57650148960818</v>
      </c>
      <c r="G343" s="134">
        <f t="shared" si="110"/>
        <v>100.57650148960818</v>
      </c>
      <c r="H343" s="134">
        <f t="shared" si="110"/>
        <v>100.57650148960818</v>
      </c>
      <c r="I343" s="134">
        <f t="shared" si="110"/>
        <v>100.57650148960818</v>
      </c>
      <c r="J343" s="134">
        <f t="shared" si="110"/>
        <v>100.57650148960818</v>
      </c>
      <c r="K343" s="134">
        <f t="shared" si="110"/>
        <v>100.57650148960818</v>
      </c>
      <c r="L343" s="134">
        <f t="shared" si="110"/>
        <v>100.57650148960818</v>
      </c>
      <c r="M343" s="134">
        <f t="shared" si="110"/>
        <v>100.57650148960818</v>
      </c>
      <c r="N343" s="134">
        <f t="shared" si="110"/>
        <v>100.57650148960818</v>
      </c>
      <c r="O343" s="134">
        <f t="shared" si="110"/>
        <v>100.57650148960818</v>
      </c>
      <c r="P343" s="134">
        <f t="shared" si="110"/>
        <v>99.481084141511474</v>
      </c>
      <c r="Q343" s="134">
        <f t="shared" si="110"/>
        <v>96.219894002269683</v>
      </c>
      <c r="R343" s="134">
        <f t="shared" si="110"/>
        <v>90.98741107061204</v>
      </c>
      <c r="S343" s="134">
        <f t="shared" si="110"/>
        <v>83.925142447473775</v>
      </c>
      <c r="T343" s="134">
        <f t="shared" si="110"/>
        <v>74.977266147362741</v>
      </c>
      <c r="U343" s="134">
        <f t="shared" si="110"/>
        <v>64.087960184787278</v>
      </c>
      <c r="V343" s="134">
        <f t="shared" si="110"/>
        <v>51.201402574255546</v>
      </c>
      <c r="W343" s="134">
        <f t="shared" si="110"/>
        <v>36.261771330274783</v>
      </c>
      <c r="X343" s="134">
        <f t="shared" si="110"/>
        <v>19.21324446735332</v>
      </c>
      <c r="Y343" s="134">
        <f t="shared" si="110"/>
        <v>0</v>
      </c>
      <c r="Z343" s="134">
        <f t="shared" si="110"/>
        <v>-21.433784057277649</v>
      </c>
      <c r="AA343" s="134">
        <f t="shared" si="110"/>
        <v>-45.143929689972758</v>
      </c>
      <c r="AB343" s="134">
        <f t="shared" si="110"/>
        <v>-71.186258883576485</v>
      </c>
      <c r="AC343" s="134">
        <f t="shared" si="110"/>
        <v>-99.616593623579988</v>
      </c>
      <c r="AD343" s="134">
        <f t="shared" si="110"/>
        <v>-130.49075589547607</v>
      </c>
      <c r="AE343" s="134">
        <f t="shared" si="110"/>
        <v>-163.86456768475719</v>
      </c>
      <c r="AF343" s="134">
        <f t="shared" si="110"/>
        <v>-199.79385097691517</v>
      </c>
      <c r="AG343" s="134">
        <f t="shared" si="110"/>
        <v>-238.33442775744152</v>
      </c>
      <c r="AH343" s="134">
        <f t="shared" si="110"/>
        <v>-279.54212001182805</v>
      </c>
      <c r="AI343" s="134">
        <f t="shared" si="110"/>
        <v>-323.4727497255675</v>
      </c>
      <c r="AJ343" s="134">
        <f t="shared" si="110"/>
        <v>-370.18213888415175</v>
      </c>
      <c r="AK343" s="134">
        <f t="shared" si="110"/>
        <v>-419.72610947307226</v>
      </c>
      <c r="AL343" s="134">
        <f t="shared" si="110"/>
        <v>-472.16048347782186</v>
      </c>
      <c r="AM343" s="134">
        <f t="shared" si="110"/>
        <v>-526.0540146868592</v>
      </c>
      <c r="AN343" s="134">
        <f t="shared" si="110"/>
        <v>-579.9475458958965</v>
      </c>
      <c r="AO343" s="134">
        <f t="shared" si="110"/>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5">
      <c r="A344" s="102"/>
      <c r="B344" s="112" t="s">
        <v>117</v>
      </c>
      <c r="C344" s="135"/>
      <c r="D344" s="134">
        <f t="shared" ref="D344:AO344" si="111">IF(D$320=$B344,0,IF(D$320&gt;$B344,-0.5*D$318-0.5*C$318+C344,0.5*HLOOKUP($B344,$D$317:$AO$318,2,FALSE)+0.5*HLOOKUP($B343,$D$317:$AO$318,2,FALSE)+D343))</f>
        <v>122.01028554688583</v>
      </c>
      <c r="E344" s="134">
        <f t="shared" si="111"/>
        <v>122.01028554688583</v>
      </c>
      <c r="F344" s="134">
        <f t="shared" si="111"/>
        <v>122.01028554688583</v>
      </c>
      <c r="G344" s="134">
        <f t="shared" si="111"/>
        <v>122.01028554688583</v>
      </c>
      <c r="H344" s="134">
        <f t="shared" si="111"/>
        <v>122.01028554688583</v>
      </c>
      <c r="I344" s="134">
        <f t="shared" si="111"/>
        <v>122.01028554688583</v>
      </c>
      <c r="J344" s="134">
        <f t="shared" si="111"/>
        <v>122.01028554688583</v>
      </c>
      <c r="K344" s="134">
        <f t="shared" si="111"/>
        <v>122.01028554688583</v>
      </c>
      <c r="L344" s="134">
        <f t="shared" si="111"/>
        <v>122.01028554688583</v>
      </c>
      <c r="M344" s="134">
        <f t="shared" si="111"/>
        <v>122.01028554688583</v>
      </c>
      <c r="N344" s="134">
        <f t="shared" si="111"/>
        <v>122.01028554688583</v>
      </c>
      <c r="O344" s="134">
        <f t="shared" si="111"/>
        <v>122.01028554688583</v>
      </c>
      <c r="P344" s="134">
        <f t="shared" si="111"/>
        <v>120.91486819878912</v>
      </c>
      <c r="Q344" s="134">
        <f t="shared" si="111"/>
        <v>117.65367805954733</v>
      </c>
      <c r="R344" s="134">
        <f t="shared" si="111"/>
        <v>112.42119512788969</v>
      </c>
      <c r="S344" s="134">
        <f t="shared" si="111"/>
        <v>105.35892650475142</v>
      </c>
      <c r="T344" s="134">
        <f t="shared" si="111"/>
        <v>96.411050204640389</v>
      </c>
      <c r="U344" s="134">
        <f t="shared" si="111"/>
        <v>85.521744242064926</v>
      </c>
      <c r="V344" s="134">
        <f t="shared" si="111"/>
        <v>72.635186631533202</v>
      </c>
      <c r="W344" s="134">
        <f t="shared" si="111"/>
        <v>57.695555387552432</v>
      </c>
      <c r="X344" s="134">
        <f t="shared" si="111"/>
        <v>40.647028524630969</v>
      </c>
      <c r="Y344" s="134">
        <f t="shared" si="111"/>
        <v>21.433784057277649</v>
      </c>
      <c r="Z344" s="134">
        <f t="shared" si="111"/>
        <v>0</v>
      </c>
      <c r="AA344" s="134">
        <f t="shared" si="111"/>
        <v>-23.710145632695109</v>
      </c>
      <c r="AB344" s="134">
        <f t="shared" si="111"/>
        <v>-49.752474826298837</v>
      </c>
      <c r="AC344" s="134">
        <f t="shared" si="111"/>
        <v>-78.182809566302339</v>
      </c>
      <c r="AD344" s="134">
        <f t="shared" si="111"/>
        <v>-109.05697183819842</v>
      </c>
      <c r="AE344" s="134">
        <f t="shared" si="111"/>
        <v>-142.43078362747954</v>
      </c>
      <c r="AF344" s="134">
        <f t="shared" si="111"/>
        <v>-178.36006691963752</v>
      </c>
      <c r="AG344" s="134">
        <f t="shared" si="111"/>
        <v>-216.90064370016387</v>
      </c>
      <c r="AH344" s="134">
        <f t="shared" si="111"/>
        <v>-258.1083359545504</v>
      </c>
      <c r="AI344" s="134">
        <f t="shared" si="111"/>
        <v>-302.03896566828985</v>
      </c>
      <c r="AJ344" s="134">
        <f t="shared" si="111"/>
        <v>-348.74835482687411</v>
      </c>
      <c r="AK344" s="134">
        <f t="shared" si="111"/>
        <v>-398.29232541579461</v>
      </c>
      <c r="AL344" s="134">
        <f t="shared" si="111"/>
        <v>-450.72669942054421</v>
      </c>
      <c r="AM344" s="134">
        <f t="shared" si="111"/>
        <v>-504.62023062958156</v>
      </c>
      <c r="AN344" s="134">
        <f t="shared" si="111"/>
        <v>-558.51376183861885</v>
      </c>
      <c r="AO344" s="134">
        <f t="shared" si="111"/>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5">
      <c r="A345" s="102"/>
      <c r="B345" s="112" t="s">
        <v>118</v>
      </c>
      <c r="C345" s="135"/>
      <c r="D345" s="134">
        <f t="shared" ref="D345:AO345" si="112">IF(D$320=$B345,0,IF(D$320&gt;$B345,-0.5*D$318-0.5*C$318+C345,0.5*HLOOKUP($B345,$D$317:$AO$318,2,FALSE)+0.5*HLOOKUP($B344,$D$317:$AO$318,2,FALSE)+D344))</f>
        <v>145.72043117958094</v>
      </c>
      <c r="E345" s="134">
        <f t="shared" si="112"/>
        <v>145.72043117958094</v>
      </c>
      <c r="F345" s="134">
        <f t="shared" si="112"/>
        <v>145.72043117958094</v>
      </c>
      <c r="G345" s="134">
        <f t="shared" si="112"/>
        <v>145.72043117958094</v>
      </c>
      <c r="H345" s="134">
        <f t="shared" si="112"/>
        <v>145.72043117958094</v>
      </c>
      <c r="I345" s="134">
        <f t="shared" si="112"/>
        <v>145.72043117958094</v>
      </c>
      <c r="J345" s="134">
        <f t="shared" si="112"/>
        <v>145.72043117958094</v>
      </c>
      <c r="K345" s="134">
        <f t="shared" si="112"/>
        <v>145.72043117958094</v>
      </c>
      <c r="L345" s="134">
        <f t="shared" si="112"/>
        <v>145.72043117958094</v>
      </c>
      <c r="M345" s="134">
        <f t="shared" si="112"/>
        <v>145.72043117958094</v>
      </c>
      <c r="N345" s="134">
        <f t="shared" si="112"/>
        <v>145.72043117958094</v>
      </c>
      <c r="O345" s="134">
        <f t="shared" si="112"/>
        <v>145.72043117958094</v>
      </c>
      <c r="P345" s="134">
        <f t="shared" si="112"/>
        <v>144.62501383148424</v>
      </c>
      <c r="Q345" s="134">
        <f t="shared" si="112"/>
        <v>141.36382369224245</v>
      </c>
      <c r="R345" s="134">
        <f t="shared" si="112"/>
        <v>136.13134076058481</v>
      </c>
      <c r="S345" s="134">
        <f t="shared" si="112"/>
        <v>129.06907213744654</v>
      </c>
      <c r="T345" s="134">
        <f t="shared" si="112"/>
        <v>120.12119583733551</v>
      </c>
      <c r="U345" s="134">
        <f t="shared" si="112"/>
        <v>109.23188987476004</v>
      </c>
      <c r="V345" s="134">
        <f t="shared" si="112"/>
        <v>96.345332264228318</v>
      </c>
      <c r="W345" s="134">
        <f t="shared" si="112"/>
        <v>81.405701020247534</v>
      </c>
      <c r="X345" s="134">
        <f t="shared" si="112"/>
        <v>64.357174157326085</v>
      </c>
      <c r="Y345" s="134">
        <f t="shared" si="112"/>
        <v>45.143929689972758</v>
      </c>
      <c r="Z345" s="134">
        <f t="shared" si="112"/>
        <v>23.710145632695109</v>
      </c>
      <c r="AA345" s="134">
        <f t="shared" si="112"/>
        <v>0</v>
      </c>
      <c r="AB345" s="134">
        <f t="shared" si="112"/>
        <v>-26.042329193603724</v>
      </c>
      <c r="AC345" s="134">
        <f t="shared" si="112"/>
        <v>-54.472663933607222</v>
      </c>
      <c r="AD345" s="134">
        <f t="shared" si="112"/>
        <v>-85.346826205503305</v>
      </c>
      <c r="AE345" s="134">
        <f t="shared" si="112"/>
        <v>-118.72063799478443</v>
      </c>
      <c r="AF345" s="134">
        <f t="shared" si="112"/>
        <v>-154.6499212869424</v>
      </c>
      <c r="AG345" s="134">
        <f t="shared" si="112"/>
        <v>-193.19049806746875</v>
      </c>
      <c r="AH345" s="134">
        <f t="shared" si="112"/>
        <v>-234.39819032185525</v>
      </c>
      <c r="AI345" s="134">
        <f t="shared" si="112"/>
        <v>-278.32882003559473</v>
      </c>
      <c r="AJ345" s="134">
        <f t="shared" si="112"/>
        <v>-325.03820919417899</v>
      </c>
      <c r="AK345" s="134">
        <f t="shared" si="112"/>
        <v>-374.58217978309949</v>
      </c>
      <c r="AL345" s="134">
        <f t="shared" si="112"/>
        <v>-427.01655378784909</v>
      </c>
      <c r="AM345" s="134">
        <f t="shared" si="112"/>
        <v>-480.91008499688644</v>
      </c>
      <c r="AN345" s="134">
        <f t="shared" si="112"/>
        <v>-534.80361620592373</v>
      </c>
      <c r="AO345" s="134">
        <f t="shared" si="11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5">
      <c r="A346" s="102"/>
      <c r="B346" s="112" t="s">
        <v>119</v>
      </c>
      <c r="C346" s="135"/>
      <c r="D346" s="134">
        <f t="shared" ref="D346:AO346" si="113">IF(D$320=$B346,0,IF(D$320&gt;$B346,-0.5*D$318-0.5*C$318+C346,0.5*HLOOKUP($B346,$D$317:$AO$318,2,FALSE)+0.5*HLOOKUP($B345,$D$317:$AO$318,2,FALSE)+D345))</f>
        <v>171.76276037318468</v>
      </c>
      <c r="E346" s="134">
        <f t="shared" si="113"/>
        <v>171.76276037318468</v>
      </c>
      <c r="F346" s="134">
        <f t="shared" si="113"/>
        <v>171.76276037318468</v>
      </c>
      <c r="G346" s="134">
        <f t="shared" si="113"/>
        <v>171.76276037318468</v>
      </c>
      <c r="H346" s="134">
        <f t="shared" si="113"/>
        <v>171.76276037318468</v>
      </c>
      <c r="I346" s="134">
        <f t="shared" si="113"/>
        <v>171.76276037318468</v>
      </c>
      <c r="J346" s="134">
        <f t="shared" si="113"/>
        <v>171.76276037318468</v>
      </c>
      <c r="K346" s="134">
        <f t="shared" si="113"/>
        <v>171.76276037318468</v>
      </c>
      <c r="L346" s="134">
        <f t="shared" si="113"/>
        <v>171.76276037318468</v>
      </c>
      <c r="M346" s="134">
        <f t="shared" si="113"/>
        <v>171.76276037318468</v>
      </c>
      <c r="N346" s="134">
        <f t="shared" si="113"/>
        <v>171.76276037318468</v>
      </c>
      <c r="O346" s="134">
        <f t="shared" si="113"/>
        <v>171.76276037318468</v>
      </c>
      <c r="P346" s="134">
        <f t="shared" si="113"/>
        <v>170.66734302508797</v>
      </c>
      <c r="Q346" s="134">
        <f t="shared" si="113"/>
        <v>167.40615288584618</v>
      </c>
      <c r="R346" s="134">
        <f t="shared" si="113"/>
        <v>162.17366995418854</v>
      </c>
      <c r="S346" s="134">
        <f t="shared" si="113"/>
        <v>155.11140133105027</v>
      </c>
      <c r="T346" s="134">
        <f t="shared" si="113"/>
        <v>146.16352503093924</v>
      </c>
      <c r="U346" s="134">
        <f t="shared" si="113"/>
        <v>135.27421906836378</v>
      </c>
      <c r="V346" s="134">
        <f t="shared" si="113"/>
        <v>122.38766145783204</v>
      </c>
      <c r="W346" s="134">
        <f t="shared" si="113"/>
        <v>107.44803021385125</v>
      </c>
      <c r="X346" s="134">
        <f t="shared" si="113"/>
        <v>90.399503350929805</v>
      </c>
      <c r="Y346" s="134">
        <f t="shared" si="113"/>
        <v>71.186258883576485</v>
      </c>
      <c r="Z346" s="134">
        <f t="shared" si="113"/>
        <v>49.752474826298837</v>
      </c>
      <c r="AA346" s="134">
        <f t="shared" si="113"/>
        <v>26.042329193603724</v>
      </c>
      <c r="AB346" s="134">
        <f t="shared" si="113"/>
        <v>0</v>
      </c>
      <c r="AC346" s="134">
        <f t="shared" si="113"/>
        <v>-28.430334740003502</v>
      </c>
      <c r="AD346" s="134">
        <f t="shared" si="113"/>
        <v>-59.304497011899578</v>
      </c>
      <c r="AE346" s="134">
        <f t="shared" si="113"/>
        <v>-92.678308801180705</v>
      </c>
      <c r="AF346" s="134">
        <f t="shared" si="113"/>
        <v>-128.6075920933387</v>
      </c>
      <c r="AG346" s="134">
        <f t="shared" si="113"/>
        <v>-167.14816887386502</v>
      </c>
      <c r="AH346" s="134">
        <f t="shared" si="113"/>
        <v>-208.35586112825152</v>
      </c>
      <c r="AI346" s="134">
        <f t="shared" si="113"/>
        <v>-252.286490841991</v>
      </c>
      <c r="AJ346" s="134">
        <f t="shared" si="113"/>
        <v>-298.99588000057526</v>
      </c>
      <c r="AK346" s="134">
        <f t="shared" si="113"/>
        <v>-348.53985058949581</v>
      </c>
      <c r="AL346" s="134">
        <f t="shared" si="113"/>
        <v>-400.97422459424541</v>
      </c>
      <c r="AM346" s="134">
        <f t="shared" si="113"/>
        <v>-454.86775580328276</v>
      </c>
      <c r="AN346" s="134">
        <f t="shared" si="113"/>
        <v>-508.76128701232005</v>
      </c>
      <c r="AO346" s="134">
        <f t="shared" si="113"/>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5">
      <c r="A347" s="102"/>
      <c r="B347" s="112" t="s">
        <v>120</v>
      </c>
      <c r="C347" s="135"/>
      <c r="D347" s="134">
        <f t="shared" ref="D347:AO347" si="114">IF(D$320=$B347,0,IF(D$320&gt;$B347,-0.5*D$318-0.5*C$318+C347,0.5*HLOOKUP($B347,$D$317:$AO$318,2,FALSE)+0.5*HLOOKUP($B346,$D$317:$AO$318,2,FALSE)+D346))</f>
        <v>200.19309511318818</v>
      </c>
      <c r="E347" s="134">
        <f t="shared" si="114"/>
        <v>200.19309511318818</v>
      </c>
      <c r="F347" s="134">
        <f t="shared" si="114"/>
        <v>200.19309511318818</v>
      </c>
      <c r="G347" s="134">
        <f t="shared" si="114"/>
        <v>200.19309511318818</v>
      </c>
      <c r="H347" s="134">
        <f t="shared" si="114"/>
        <v>200.19309511318818</v>
      </c>
      <c r="I347" s="134">
        <f t="shared" si="114"/>
        <v>200.19309511318818</v>
      </c>
      <c r="J347" s="134">
        <f t="shared" si="114"/>
        <v>200.19309511318818</v>
      </c>
      <c r="K347" s="134">
        <f t="shared" si="114"/>
        <v>200.19309511318818</v>
      </c>
      <c r="L347" s="134">
        <f t="shared" si="114"/>
        <v>200.19309511318818</v>
      </c>
      <c r="M347" s="134">
        <f t="shared" si="114"/>
        <v>200.19309511318818</v>
      </c>
      <c r="N347" s="134">
        <f t="shared" si="114"/>
        <v>200.19309511318818</v>
      </c>
      <c r="O347" s="134">
        <f t="shared" si="114"/>
        <v>200.19309511318818</v>
      </c>
      <c r="P347" s="134">
        <f t="shared" si="114"/>
        <v>199.09767776509148</v>
      </c>
      <c r="Q347" s="134">
        <f t="shared" si="114"/>
        <v>195.83648762584968</v>
      </c>
      <c r="R347" s="134">
        <f t="shared" si="114"/>
        <v>190.60400469419204</v>
      </c>
      <c r="S347" s="134">
        <f t="shared" si="114"/>
        <v>183.54173607105378</v>
      </c>
      <c r="T347" s="134">
        <f t="shared" si="114"/>
        <v>174.59385977094274</v>
      </c>
      <c r="U347" s="134">
        <f t="shared" si="114"/>
        <v>163.70455380836728</v>
      </c>
      <c r="V347" s="134">
        <f t="shared" si="114"/>
        <v>150.81799619783555</v>
      </c>
      <c r="W347" s="134">
        <f t="shared" si="114"/>
        <v>135.87836495385477</v>
      </c>
      <c r="X347" s="134">
        <f t="shared" si="114"/>
        <v>118.82983809093331</v>
      </c>
      <c r="Y347" s="134">
        <f t="shared" si="114"/>
        <v>99.616593623579988</v>
      </c>
      <c r="Z347" s="134">
        <f t="shared" si="114"/>
        <v>78.182809566302339</v>
      </c>
      <c r="AA347" s="134">
        <f t="shared" si="114"/>
        <v>54.472663933607222</v>
      </c>
      <c r="AB347" s="134">
        <f t="shared" si="114"/>
        <v>28.430334740003502</v>
      </c>
      <c r="AC347" s="134">
        <f t="shared" si="114"/>
        <v>0</v>
      </c>
      <c r="AD347" s="134">
        <f t="shared" si="114"/>
        <v>-30.874162271896076</v>
      </c>
      <c r="AE347" s="134">
        <f t="shared" si="114"/>
        <v>-64.247974061177203</v>
      </c>
      <c r="AF347" s="134">
        <f t="shared" si="114"/>
        <v>-100.17725735333519</v>
      </c>
      <c r="AG347" s="134">
        <f t="shared" si="114"/>
        <v>-138.71783413386152</v>
      </c>
      <c r="AH347" s="134">
        <f t="shared" si="114"/>
        <v>-179.92552638824802</v>
      </c>
      <c r="AI347" s="134">
        <f t="shared" si="114"/>
        <v>-223.85615610198749</v>
      </c>
      <c r="AJ347" s="134">
        <f t="shared" si="114"/>
        <v>-270.56554526057175</v>
      </c>
      <c r="AK347" s="134">
        <f t="shared" si="114"/>
        <v>-320.10951584949225</v>
      </c>
      <c r="AL347" s="134">
        <f t="shared" si="114"/>
        <v>-372.54388985424185</v>
      </c>
      <c r="AM347" s="134">
        <f t="shared" si="114"/>
        <v>-426.4374210632792</v>
      </c>
      <c r="AN347" s="134">
        <f t="shared" si="114"/>
        <v>-480.33095227231649</v>
      </c>
      <c r="AO347" s="134">
        <f t="shared" si="114"/>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5">
      <c r="A348" s="102"/>
      <c r="B348" s="112" t="s">
        <v>121</v>
      </c>
      <c r="C348" s="135"/>
      <c r="D348" s="134">
        <f t="shared" ref="D348:AO348" si="115">IF(D$320=$B348,0,IF(D$320&gt;$B348,-0.5*D$318-0.5*C$318+C348,0.5*HLOOKUP($B348,$D$317:$AO$318,2,FALSE)+0.5*HLOOKUP($B347,$D$317:$AO$318,2,FALSE)+D347))</f>
        <v>231.06725738508425</v>
      </c>
      <c r="E348" s="134">
        <f t="shared" si="115"/>
        <v>231.06725738508425</v>
      </c>
      <c r="F348" s="134">
        <f t="shared" si="115"/>
        <v>231.06725738508425</v>
      </c>
      <c r="G348" s="134">
        <f t="shared" si="115"/>
        <v>231.06725738508425</v>
      </c>
      <c r="H348" s="134">
        <f t="shared" si="115"/>
        <v>231.06725738508425</v>
      </c>
      <c r="I348" s="134">
        <f t="shared" si="115"/>
        <v>231.06725738508425</v>
      </c>
      <c r="J348" s="134">
        <f t="shared" si="115"/>
        <v>231.06725738508425</v>
      </c>
      <c r="K348" s="134">
        <f t="shared" si="115"/>
        <v>231.06725738508425</v>
      </c>
      <c r="L348" s="134">
        <f t="shared" si="115"/>
        <v>231.06725738508425</v>
      </c>
      <c r="M348" s="134">
        <f t="shared" si="115"/>
        <v>231.06725738508425</v>
      </c>
      <c r="N348" s="134">
        <f t="shared" si="115"/>
        <v>231.06725738508425</v>
      </c>
      <c r="O348" s="134">
        <f t="shared" si="115"/>
        <v>231.06725738508425</v>
      </c>
      <c r="P348" s="134">
        <f t="shared" si="115"/>
        <v>229.97184003698754</v>
      </c>
      <c r="Q348" s="134">
        <f t="shared" si="115"/>
        <v>226.71064989774575</v>
      </c>
      <c r="R348" s="134">
        <f t="shared" si="115"/>
        <v>221.47816696608811</v>
      </c>
      <c r="S348" s="134">
        <f t="shared" si="115"/>
        <v>214.41589834294984</v>
      </c>
      <c r="T348" s="134">
        <f t="shared" si="115"/>
        <v>205.46802204283881</v>
      </c>
      <c r="U348" s="134">
        <f t="shared" si="115"/>
        <v>194.57871608026335</v>
      </c>
      <c r="V348" s="134">
        <f t="shared" si="115"/>
        <v>181.69215846973162</v>
      </c>
      <c r="W348" s="134">
        <f t="shared" si="115"/>
        <v>166.75252722575084</v>
      </c>
      <c r="X348" s="134">
        <f t="shared" si="115"/>
        <v>149.70400036282939</v>
      </c>
      <c r="Y348" s="134">
        <f t="shared" si="115"/>
        <v>130.49075589547607</v>
      </c>
      <c r="Z348" s="134">
        <f t="shared" si="115"/>
        <v>109.05697183819842</v>
      </c>
      <c r="AA348" s="134">
        <f t="shared" si="115"/>
        <v>85.346826205503305</v>
      </c>
      <c r="AB348" s="134">
        <f t="shared" si="115"/>
        <v>59.304497011899578</v>
      </c>
      <c r="AC348" s="134">
        <f t="shared" si="115"/>
        <v>30.874162271896076</v>
      </c>
      <c r="AD348" s="134">
        <f t="shared" si="115"/>
        <v>0</v>
      </c>
      <c r="AE348" s="134">
        <f t="shared" si="115"/>
        <v>-33.373811789281127</v>
      </c>
      <c r="AF348" s="134">
        <f t="shared" si="115"/>
        <v>-69.303095081439125</v>
      </c>
      <c r="AG348" s="134">
        <f t="shared" si="115"/>
        <v>-107.84367186196546</v>
      </c>
      <c r="AH348" s="134">
        <f t="shared" si="115"/>
        <v>-149.05136411635198</v>
      </c>
      <c r="AI348" s="134">
        <f t="shared" si="115"/>
        <v>-192.98199383009145</v>
      </c>
      <c r="AJ348" s="134">
        <f t="shared" si="115"/>
        <v>-239.69138298867571</v>
      </c>
      <c r="AK348" s="134">
        <f t="shared" si="115"/>
        <v>-289.23535357759624</v>
      </c>
      <c r="AL348" s="134">
        <f t="shared" si="115"/>
        <v>-341.66972758234584</v>
      </c>
      <c r="AM348" s="134">
        <f t="shared" si="115"/>
        <v>-395.56325879138319</v>
      </c>
      <c r="AN348" s="134">
        <f t="shared" si="115"/>
        <v>-449.45679000042048</v>
      </c>
      <c r="AO348" s="134">
        <f t="shared" si="115"/>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5">
      <c r="A349" s="102"/>
      <c r="B349" s="112" t="s">
        <v>122</v>
      </c>
      <c r="C349" s="135"/>
      <c r="D349" s="134">
        <f t="shared" ref="D349:AO349" si="116">IF(D$320=$B349,0,IF(D$320&gt;$B349,-0.5*D$318-0.5*C$318+C349,0.5*HLOOKUP($B349,$D$317:$AO$318,2,FALSE)+0.5*HLOOKUP($B348,$D$317:$AO$318,2,FALSE)+D348))</f>
        <v>264.4410691743654</v>
      </c>
      <c r="E349" s="134">
        <f t="shared" si="116"/>
        <v>264.4410691743654</v>
      </c>
      <c r="F349" s="134">
        <f t="shared" si="116"/>
        <v>264.4410691743654</v>
      </c>
      <c r="G349" s="134">
        <f t="shared" si="116"/>
        <v>264.4410691743654</v>
      </c>
      <c r="H349" s="134">
        <f t="shared" si="116"/>
        <v>264.4410691743654</v>
      </c>
      <c r="I349" s="134">
        <f t="shared" si="116"/>
        <v>264.4410691743654</v>
      </c>
      <c r="J349" s="134">
        <f t="shared" si="116"/>
        <v>264.4410691743654</v>
      </c>
      <c r="K349" s="134">
        <f t="shared" si="116"/>
        <v>264.4410691743654</v>
      </c>
      <c r="L349" s="134">
        <f t="shared" si="116"/>
        <v>264.4410691743654</v>
      </c>
      <c r="M349" s="134">
        <f t="shared" si="116"/>
        <v>264.4410691743654</v>
      </c>
      <c r="N349" s="134">
        <f t="shared" si="116"/>
        <v>264.4410691743654</v>
      </c>
      <c r="O349" s="134">
        <f t="shared" si="116"/>
        <v>264.4410691743654</v>
      </c>
      <c r="P349" s="134">
        <f t="shared" si="116"/>
        <v>263.34565182626869</v>
      </c>
      <c r="Q349" s="134">
        <f t="shared" si="116"/>
        <v>260.08446168702687</v>
      </c>
      <c r="R349" s="134">
        <f t="shared" si="116"/>
        <v>254.85197875536923</v>
      </c>
      <c r="S349" s="134">
        <f t="shared" si="116"/>
        <v>247.78971013223097</v>
      </c>
      <c r="T349" s="134">
        <f t="shared" si="116"/>
        <v>238.84183383211993</v>
      </c>
      <c r="U349" s="134">
        <f t="shared" si="116"/>
        <v>227.95252786954447</v>
      </c>
      <c r="V349" s="134">
        <f t="shared" si="116"/>
        <v>215.06597025901274</v>
      </c>
      <c r="W349" s="134">
        <f t="shared" si="116"/>
        <v>200.12633901503196</v>
      </c>
      <c r="X349" s="134">
        <f t="shared" si="116"/>
        <v>183.07781215211051</v>
      </c>
      <c r="Y349" s="134">
        <f t="shared" si="116"/>
        <v>163.86456768475719</v>
      </c>
      <c r="Z349" s="134">
        <f t="shared" si="116"/>
        <v>142.43078362747954</v>
      </c>
      <c r="AA349" s="134">
        <f t="shared" si="116"/>
        <v>118.72063799478443</v>
      </c>
      <c r="AB349" s="134">
        <f t="shared" si="116"/>
        <v>92.678308801180705</v>
      </c>
      <c r="AC349" s="134">
        <f t="shared" si="116"/>
        <v>64.247974061177203</v>
      </c>
      <c r="AD349" s="134">
        <f t="shared" si="116"/>
        <v>33.373811789281127</v>
      </c>
      <c r="AE349" s="134">
        <f t="shared" si="116"/>
        <v>0</v>
      </c>
      <c r="AF349" s="134">
        <f t="shared" si="116"/>
        <v>-35.92928329215799</v>
      </c>
      <c r="AG349" s="134">
        <f t="shared" si="116"/>
        <v>-74.469860072684327</v>
      </c>
      <c r="AH349" s="134">
        <f t="shared" si="116"/>
        <v>-115.67755232707083</v>
      </c>
      <c r="AI349" s="134">
        <f t="shared" si="116"/>
        <v>-159.60818204081031</v>
      </c>
      <c r="AJ349" s="134">
        <f t="shared" si="116"/>
        <v>-206.31757119939456</v>
      </c>
      <c r="AK349" s="134">
        <f t="shared" si="116"/>
        <v>-255.86154178831509</v>
      </c>
      <c r="AL349" s="134">
        <f t="shared" si="116"/>
        <v>-308.29591579306469</v>
      </c>
      <c r="AM349" s="134">
        <f t="shared" si="116"/>
        <v>-362.18944700210204</v>
      </c>
      <c r="AN349" s="134">
        <f t="shared" si="116"/>
        <v>-416.08297821113933</v>
      </c>
      <c r="AO349" s="134">
        <f t="shared" si="116"/>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5">
      <c r="A350" s="102"/>
      <c r="B350" s="112" t="s">
        <v>123</v>
      </c>
      <c r="C350" s="135"/>
      <c r="D350" s="134">
        <f t="shared" ref="D350:AO350" si="117">IF(D$320=$B350,0,IF(D$320&gt;$B350,-0.5*D$318-0.5*C$318+C350,0.5*HLOOKUP($B350,$D$317:$AO$318,2,FALSE)+0.5*HLOOKUP($B349,$D$317:$AO$318,2,FALSE)+D349))</f>
        <v>300.3703524665234</v>
      </c>
      <c r="E350" s="134">
        <f t="shared" si="117"/>
        <v>300.3703524665234</v>
      </c>
      <c r="F350" s="134">
        <f t="shared" si="117"/>
        <v>300.3703524665234</v>
      </c>
      <c r="G350" s="134">
        <f t="shared" si="117"/>
        <v>300.3703524665234</v>
      </c>
      <c r="H350" s="134">
        <f t="shared" si="117"/>
        <v>300.3703524665234</v>
      </c>
      <c r="I350" s="134">
        <f t="shared" si="117"/>
        <v>300.3703524665234</v>
      </c>
      <c r="J350" s="134">
        <f t="shared" si="117"/>
        <v>300.3703524665234</v>
      </c>
      <c r="K350" s="134">
        <f t="shared" si="117"/>
        <v>300.3703524665234</v>
      </c>
      <c r="L350" s="134">
        <f t="shared" si="117"/>
        <v>300.3703524665234</v>
      </c>
      <c r="M350" s="134">
        <f t="shared" si="117"/>
        <v>300.3703524665234</v>
      </c>
      <c r="N350" s="134">
        <f t="shared" si="117"/>
        <v>300.3703524665234</v>
      </c>
      <c r="O350" s="134">
        <f t="shared" si="117"/>
        <v>300.3703524665234</v>
      </c>
      <c r="P350" s="134">
        <f t="shared" si="117"/>
        <v>299.2749351184267</v>
      </c>
      <c r="Q350" s="134">
        <f t="shared" si="117"/>
        <v>296.01374497918488</v>
      </c>
      <c r="R350" s="134">
        <f t="shared" si="117"/>
        <v>290.78126204752721</v>
      </c>
      <c r="S350" s="134">
        <f t="shared" si="117"/>
        <v>283.71899342438894</v>
      </c>
      <c r="T350" s="134">
        <f t="shared" si="117"/>
        <v>274.77111712427791</v>
      </c>
      <c r="U350" s="134">
        <f t="shared" si="117"/>
        <v>263.88181116170244</v>
      </c>
      <c r="V350" s="134">
        <f t="shared" si="117"/>
        <v>250.99525355117072</v>
      </c>
      <c r="W350" s="134">
        <f t="shared" si="117"/>
        <v>236.05562230718994</v>
      </c>
      <c r="X350" s="134">
        <f t="shared" si="117"/>
        <v>219.00709544426849</v>
      </c>
      <c r="Y350" s="134">
        <f t="shared" si="117"/>
        <v>199.79385097691517</v>
      </c>
      <c r="Z350" s="134">
        <f t="shared" si="117"/>
        <v>178.36006691963752</v>
      </c>
      <c r="AA350" s="134">
        <f t="shared" si="117"/>
        <v>154.6499212869424</v>
      </c>
      <c r="AB350" s="134">
        <f t="shared" si="117"/>
        <v>128.6075920933387</v>
      </c>
      <c r="AC350" s="134">
        <f t="shared" si="117"/>
        <v>100.17725735333519</v>
      </c>
      <c r="AD350" s="134">
        <f t="shared" si="117"/>
        <v>69.303095081439125</v>
      </c>
      <c r="AE350" s="134">
        <f t="shared" si="117"/>
        <v>35.92928329215799</v>
      </c>
      <c r="AF350" s="134">
        <f t="shared" si="117"/>
        <v>0</v>
      </c>
      <c r="AG350" s="134">
        <f t="shared" si="117"/>
        <v>-38.540576780526337</v>
      </c>
      <c r="AH350" s="134">
        <f t="shared" si="117"/>
        <v>-79.748269034912852</v>
      </c>
      <c r="AI350" s="134">
        <f t="shared" si="117"/>
        <v>-123.67889874865233</v>
      </c>
      <c r="AJ350" s="134">
        <f t="shared" si="117"/>
        <v>-170.38828790723659</v>
      </c>
      <c r="AK350" s="134">
        <f t="shared" si="117"/>
        <v>-219.93225849615712</v>
      </c>
      <c r="AL350" s="134">
        <f t="shared" si="117"/>
        <v>-272.36663250090669</v>
      </c>
      <c r="AM350" s="134">
        <f t="shared" si="117"/>
        <v>-326.26016370994398</v>
      </c>
      <c r="AN350" s="134">
        <f t="shared" si="117"/>
        <v>-380.15369491898127</v>
      </c>
      <c r="AO350" s="134">
        <f t="shared" si="117"/>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5">
      <c r="A351" s="102"/>
      <c r="B351" s="112" t="s">
        <v>124</v>
      </c>
      <c r="C351" s="135"/>
      <c r="D351" s="134">
        <f t="shared" ref="D351:AO351" si="118">IF(D$320=$B351,0,IF(D$320&gt;$B351,-0.5*D$318-0.5*C$318+C351,0.5*HLOOKUP($B351,$D$317:$AO$318,2,FALSE)+0.5*HLOOKUP($B350,$D$317:$AO$318,2,FALSE)+D350))</f>
        <v>338.91092924704975</v>
      </c>
      <c r="E351" s="134">
        <f t="shared" si="118"/>
        <v>338.91092924704975</v>
      </c>
      <c r="F351" s="134">
        <f t="shared" si="118"/>
        <v>338.91092924704975</v>
      </c>
      <c r="G351" s="134">
        <f t="shared" si="118"/>
        <v>338.91092924704975</v>
      </c>
      <c r="H351" s="134">
        <f t="shared" si="118"/>
        <v>338.91092924704975</v>
      </c>
      <c r="I351" s="134">
        <f t="shared" si="118"/>
        <v>338.91092924704975</v>
      </c>
      <c r="J351" s="134">
        <f t="shared" si="118"/>
        <v>338.91092924704975</v>
      </c>
      <c r="K351" s="134">
        <f t="shared" si="118"/>
        <v>338.91092924704975</v>
      </c>
      <c r="L351" s="134">
        <f t="shared" si="118"/>
        <v>338.91092924704975</v>
      </c>
      <c r="M351" s="134">
        <f t="shared" si="118"/>
        <v>338.91092924704975</v>
      </c>
      <c r="N351" s="134">
        <f t="shared" si="118"/>
        <v>338.91092924704975</v>
      </c>
      <c r="O351" s="134">
        <f t="shared" si="118"/>
        <v>338.91092924704975</v>
      </c>
      <c r="P351" s="134">
        <f t="shared" si="118"/>
        <v>337.81551189895305</v>
      </c>
      <c r="Q351" s="134">
        <f t="shared" si="118"/>
        <v>334.55432175971123</v>
      </c>
      <c r="R351" s="134">
        <f t="shared" si="118"/>
        <v>329.32183882805356</v>
      </c>
      <c r="S351" s="134">
        <f t="shared" si="118"/>
        <v>322.25957020491529</v>
      </c>
      <c r="T351" s="134">
        <f t="shared" si="118"/>
        <v>313.31169390480426</v>
      </c>
      <c r="U351" s="134">
        <f t="shared" si="118"/>
        <v>302.4223879422288</v>
      </c>
      <c r="V351" s="134">
        <f t="shared" si="118"/>
        <v>289.53583033169707</v>
      </c>
      <c r="W351" s="134">
        <f t="shared" si="118"/>
        <v>274.59619908771629</v>
      </c>
      <c r="X351" s="134">
        <f t="shared" si="118"/>
        <v>257.54767222479484</v>
      </c>
      <c r="Y351" s="134">
        <f t="shared" si="118"/>
        <v>238.33442775744152</v>
      </c>
      <c r="Z351" s="134">
        <f t="shared" si="118"/>
        <v>216.90064370016387</v>
      </c>
      <c r="AA351" s="134">
        <f t="shared" si="118"/>
        <v>193.19049806746875</v>
      </c>
      <c r="AB351" s="134">
        <f t="shared" si="118"/>
        <v>167.14816887386502</v>
      </c>
      <c r="AC351" s="134">
        <f t="shared" si="118"/>
        <v>138.71783413386152</v>
      </c>
      <c r="AD351" s="134">
        <f t="shared" si="118"/>
        <v>107.84367186196546</v>
      </c>
      <c r="AE351" s="134">
        <f t="shared" si="118"/>
        <v>74.469860072684327</v>
      </c>
      <c r="AF351" s="134">
        <f t="shared" si="118"/>
        <v>38.540576780526337</v>
      </c>
      <c r="AG351" s="134">
        <f t="shared" si="118"/>
        <v>0</v>
      </c>
      <c r="AH351" s="134">
        <f t="shared" si="118"/>
        <v>-41.207692254386508</v>
      </c>
      <c r="AI351" s="134">
        <f t="shared" si="118"/>
        <v>-85.138321968125979</v>
      </c>
      <c r="AJ351" s="134">
        <f t="shared" si="118"/>
        <v>-131.84771112671024</v>
      </c>
      <c r="AK351" s="134">
        <f t="shared" si="118"/>
        <v>-181.39168171563077</v>
      </c>
      <c r="AL351" s="134">
        <f t="shared" si="118"/>
        <v>-233.82605572038037</v>
      </c>
      <c r="AM351" s="134">
        <f t="shared" si="118"/>
        <v>-287.71958692941769</v>
      </c>
      <c r="AN351" s="134">
        <f t="shared" si="118"/>
        <v>-341.61311813845498</v>
      </c>
      <c r="AO351" s="134">
        <f t="shared" si="118"/>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5">
      <c r="A352" s="102"/>
      <c r="B352" s="112" t="s">
        <v>125</v>
      </c>
      <c r="C352" s="135"/>
      <c r="D352" s="134">
        <f t="shared" ref="D352:AO352" si="119">IF(D$320=$B352,0,IF(D$320&gt;$B352,-0.5*D$318-0.5*C$318+C352,0.5*HLOOKUP($B352,$D$317:$AO$318,2,FALSE)+0.5*HLOOKUP($B351,$D$317:$AO$318,2,FALSE)+D351))</f>
        <v>380.11862150143628</v>
      </c>
      <c r="E352" s="134">
        <f t="shared" si="119"/>
        <v>380.11862150143628</v>
      </c>
      <c r="F352" s="134">
        <f t="shared" si="119"/>
        <v>380.11862150143628</v>
      </c>
      <c r="G352" s="134">
        <f t="shared" si="119"/>
        <v>380.11862150143628</v>
      </c>
      <c r="H352" s="134">
        <f t="shared" si="119"/>
        <v>380.11862150143628</v>
      </c>
      <c r="I352" s="134">
        <f t="shared" si="119"/>
        <v>380.11862150143628</v>
      </c>
      <c r="J352" s="134">
        <f t="shared" si="119"/>
        <v>380.11862150143628</v>
      </c>
      <c r="K352" s="134">
        <f t="shared" si="119"/>
        <v>380.11862150143628</v>
      </c>
      <c r="L352" s="134">
        <f t="shared" si="119"/>
        <v>380.11862150143628</v>
      </c>
      <c r="M352" s="134">
        <f t="shared" si="119"/>
        <v>380.11862150143628</v>
      </c>
      <c r="N352" s="134">
        <f t="shared" si="119"/>
        <v>380.11862150143628</v>
      </c>
      <c r="O352" s="134">
        <f t="shared" si="119"/>
        <v>380.11862150143628</v>
      </c>
      <c r="P352" s="134">
        <f t="shared" si="119"/>
        <v>379.02320415333958</v>
      </c>
      <c r="Q352" s="134">
        <f t="shared" si="119"/>
        <v>375.76201401409776</v>
      </c>
      <c r="R352" s="134">
        <f t="shared" si="119"/>
        <v>370.52953108244009</v>
      </c>
      <c r="S352" s="134">
        <f t="shared" si="119"/>
        <v>363.46726245930182</v>
      </c>
      <c r="T352" s="134">
        <f t="shared" si="119"/>
        <v>354.51938615919079</v>
      </c>
      <c r="U352" s="134">
        <f t="shared" si="119"/>
        <v>343.63008019661532</v>
      </c>
      <c r="V352" s="134">
        <f t="shared" si="119"/>
        <v>330.7435225860836</v>
      </c>
      <c r="W352" s="134">
        <f t="shared" si="119"/>
        <v>315.80389134210282</v>
      </c>
      <c r="X352" s="134">
        <f t="shared" si="119"/>
        <v>298.75536447918137</v>
      </c>
      <c r="Y352" s="134">
        <f t="shared" si="119"/>
        <v>279.54212001182805</v>
      </c>
      <c r="Z352" s="134">
        <f t="shared" si="119"/>
        <v>258.1083359545504</v>
      </c>
      <c r="AA352" s="134">
        <f t="shared" si="119"/>
        <v>234.39819032185525</v>
      </c>
      <c r="AB352" s="134">
        <f t="shared" si="119"/>
        <v>208.35586112825152</v>
      </c>
      <c r="AC352" s="134">
        <f t="shared" si="119"/>
        <v>179.92552638824802</v>
      </c>
      <c r="AD352" s="134">
        <f t="shared" si="119"/>
        <v>149.05136411635198</v>
      </c>
      <c r="AE352" s="134">
        <f t="shared" si="119"/>
        <v>115.67755232707083</v>
      </c>
      <c r="AF352" s="134">
        <f t="shared" si="119"/>
        <v>79.748269034912852</v>
      </c>
      <c r="AG352" s="134">
        <f t="shared" si="119"/>
        <v>41.207692254386508</v>
      </c>
      <c r="AH352" s="134">
        <f t="shared" si="119"/>
        <v>0</v>
      </c>
      <c r="AI352" s="134">
        <f t="shared" si="119"/>
        <v>-43.930629713739478</v>
      </c>
      <c r="AJ352" s="134">
        <f t="shared" si="119"/>
        <v>-90.640018872323736</v>
      </c>
      <c r="AK352" s="134">
        <f t="shared" si="119"/>
        <v>-140.18398946124427</v>
      </c>
      <c r="AL352" s="134">
        <f t="shared" si="119"/>
        <v>-192.61836346599387</v>
      </c>
      <c r="AM352" s="134">
        <f t="shared" si="119"/>
        <v>-246.51189467503119</v>
      </c>
      <c r="AN352" s="134">
        <f t="shared" si="119"/>
        <v>-300.40542588406851</v>
      </c>
      <c r="AO352" s="134">
        <f t="shared" si="119"/>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5">
      <c r="A353" s="102"/>
      <c r="B353" s="112" t="s">
        <v>126</v>
      </c>
      <c r="C353" s="135"/>
      <c r="D353" s="134">
        <f t="shared" ref="D353:AO353" si="120">IF(D$320=$B353,0,IF(D$320&gt;$B353,-0.5*D$318-0.5*C$318+C353,0.5*HLOOKUP($B353,$D$317:$AO$318,2,FALSE)+0.5*HLOOKUP($B352,$D$317:$AO$318,2,FALSE)+D352))</f>
        <v>424.04925121517579</v>
      </c>
      <c r="E353" s="134">
        <f t="shared" si="120"/>
        <v>424.04925121517579</v>
      </c>
      <c r="F353" s="134">
        <f t="shared" si="120"/>
        <v>424.04925121517579</v>
      </c>
      <c r="G353" s="134">
        <f t="shared" si="120"/>
        <v>424.04925121517579</v>
      </c>
      <c r="H353" s="134">
        <f t="shared" si="120"/>
        <v>424.04925121517579</v>
      </c>
      <c r="I353" s="134">
        <f t="shared" si="120"/>
        <v>424.04925121517579</v>
      </c>
      <c r="J353" s="134">
        <f t="shared" si="120"/>
        <v>424.04925121517579</v>
      </c>
      <c r="K353" s="134">
        <f t="shared" si="120"/>
        <v>424.04925121517579</v>
      </c>
      <c r="L353" s="134">
        <f t="shared" si="120"/>
        <v>424.04925121517579</v>
      </c>
      <c r="M353" s="134">
        <f t="shared" si="120"/>
        <v>424.04925121517579</v>
      </c>
      <c r="N353" s="134">
        <f t="shared" si="120"/>
        <v>424.04925121517579</v>
      </c>
      <c r="O353" s="134">
        <f t="shared" si="120"/>
        <v>424.04925121517579</v>
      </c>
      <c r="P353" s="134">
        <f t="shared" si="120"/>
        <v>422.95383386707908</v>
      </c>
      <c r="Q353" s="134">
        <f t="shared" si="120"/>
        <v>419.69264372783721</v>
      </c>
      <c r="R353" s="134">
        <f t="shared" si="120"/>
        <v>414.46016079617959</v>
      </c>
      <c r="S353" s="134">
        <f t="shared" si="120"/>
        <v>407.39789217304133</v>
      </c>
      <c r="T353" s="134">
        <f t="shared" si="120"/>
        <v>398.45001587293029</v>
      </c>
      <c r="U353" s="134">
        <f t="shared" si="120"/>
        <v>387.56070991035483</v>
      </c>
      <c r="V353" s="134">
        <f t="shared" si="120"/>
        <v>374.67415229982305</v>
      </c>
      <c r="W353" s="134">
        <f t="shared" si="120"/>
        <v>359.73452105584227</v>
      </c>
      <c r="X353" s="134">
        <f t="shared" si="120"/>
        <v>342.68599419292082</v>
      </c>
      <c r="Y353" s="134">
        <f t="shared" si="120"/>
        <v>323.4727497255675</v>
      </c>
      <c r="Z353" s="134">
        <f t="shared" si="120"/>
        <v>302.03896566828985</v>
      </c>
      <c r="AA353" s="134">
        <f t="shared" si="120"/>
        <v>278.32882003559473</v>
      </c>
      <c r="AB353" s="134">
        <f t="shared" si="120"/>
        <v>252.286490841991</v>
      </c>
      <c r="AC353" s="134">
        <f t="shared" si="120"/>
        <v>223.85615610198749</v>
      </c>
      <c r="AD353" s="134">
        <f t="shared" si="120"/>
        <v>192.98199383009145</v>
      </c>
      <c r="AE353" s="134">
        <f t="shared" si="120"/>
        <v>159.60818204081031</v>
      </c>
      <c r="AF353" s="134">
        <f t="shared" si="120"/>
        <v>123.67889874865233</v>
      </c>
      <c r="AG353" s="134">
        <f t="shared" si="120"/>
        <v>85.138321968125979</v>
      </c>
      <c r="AH353" s="134">
        <f t="shared" si="120"/>
        <v>43.930629713739478</v>
      </c>
      <c r="AI353" s="134">
        <f t="shared" si="120"/>
        <v>0</v>
      </c>
      <c r="AJ353" s="134">
        <f t="shared" si="120"/>
        <v>-46.709389158584258</v>
      </c>
      <c r="AK353" s="134">
        <f t="shared" si="120"/>
        <v>-96.253359747504788</v>
      </c>
      <c r="AL353" s="134">
        <f t="shared" si="120"/>
        <v>-148.68773375225439</v>
      </c>
      <c r="AM353" s="134">
        <f t="shared" si="120"/>
        <v>-202.58126496129171</v>
      </c>
      <c r="AN353" s="134">
        <f t="shared" si="120"/>
        <v>-256.474796170329</v>
      </c>
      <c r="AO353" s="134">
        <f t="shared" si="120"/>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5">
      <c r="A354" s="102"/>
      <c r="B354" s="112" t="s">
        <v>127</v>
      </c>
      <c r="C354" s="135"/>
      <c r="D354" s="134">
        <f t="shared" ref="D354:AO354" si="121">IF(D$320=$B354,0,IF(D$320&gt;$B354,-0.5*D$318-0.5*C$318+C354,0.5*HLOOKUP($B354,$D$317:$AO$318,2,FALSE)+0.5*HLOOKUP($B353,$D$317:$AO$318,2,FALSE)+D353))</f>
        <v>470.75864037376004</v>
      </c>
      <c r="E354" s="134">
        <f t="shared" si="121"/>
        <v>470.75864037376004</v>
      </c>
      <c r="F354" s="134">
        <f t="shared" si="121"/>
        <v>470.75864037376004</v>
      </c>
      <c r="G354" s="134">
        <f t="shared" si="121"/>
        <v>470.75864037376004</v>
      </c>
      <c r="H354" s="134">
        <f t="shared" si="121"/>
        <v>470.75864037376004</v>
      </c>
      <c r="I354" s="134">
        <f t="shared" si="121"/>
        <v>470.75864037376004</v>
      </c>
      <c r="J354" s="134">
        <f t="shared" si="121"/>
        <v>470.75864037376004</v>
      </c>
      <c r="K354" s="134">
        <f t="shared" si="121"/>
        <v>470.75864037376004</v>
      </c>
      <c r="L354" s="134">
        <f t="shared" si="121"/>
        <v>470.75864037376004</v>
      </c>
      <c r="M354" s="134">
        <f t="shared" si="121"/>
        <v>470.75864037376004</v>
      </c>
      <c r="N354" s="134">
        <f t="shared" si="121"/>
        <v>470.75864037376004</v>
      </c>
      <c r="O354" s="134">
        <f t="shared" si="121"/>
        <v>470.75864037376004</v>
      </c>
      <c r="P354" s="134">
        <f t="shared" si="121"/>
        <v>469.66322302566334</v>
      </c>
      <c r="Q354" s="134">
        <f t="shared" si="121"/>
        <v>466.40203288642147</v>
      </c>
      <c r="R354" s="134">
        <f t="shared" si="121"/>
        <v>461.16954995476385</v>
      </c>
      <c r="S354" s="134">
        <f t="shared" si="121"/>
        <v>454.10728133162559</v>
      </c>
      <c r="T354" s="134">
        <f t="shared" si="121"/>
        <v>445.15940503151455</v>
      </c>
      <c r="U354" s="134">
        <f t="shared" si="121"/>
        <v>434.27009906893909</v>
      </c>
      <c r="V354" s="134">
        <f t="shared" si="121"/>
        <v>421.38354145840731</v>
      </c>
      <c r="W354" s="134">
        <f t="shared" si="121"/>
        <v>406.44391021442652</v>
      </c>
      <c r="X354" s="134">
        <f t="shared" si="121"/>
        <v>389.39538335150507</v>
      </c>
      <c r="Y354" s="134">
        <f t="shared" si="121"/>
        <v>370.18213888415175</v>
      </c>
      <c r="Z354" s="134">
        <f t="shared" si="121"/>
        <v>348.74835482687411</v>
      </c>
      <c r="AA354" s="134">
        <f t="shared" si="121"/>
        <v>325.03820919417899</v>
      </c>
      <c r="AB354" s="134">
        <f t="shared" si="121"/>
        <v>298.99588000057526</v>
      </c>
      <c r="AC354" s="134">
        <f t="shared" si="121"/>
        <v>270.56554526057175</v>
      </c>
      <c r="AD354" s="134">
        <f t="shared" si="121"/>
        <v>239.69138298867571</v>
      </c>
      <c r="AE354" s="134">
        <f t="shared" si="121"/>
        <v>206.31757119939456</v>
      </c>
      <c r="AF354" s="134">
        <f t="shared" si="121"/>
        <v>170.38828790723659</v>
      </c>
      <c r="AG354" s="134">
        <f t="shared" si="121"/>
        <v>131.84771112671024</v>
      </c>
      <c r="AH354" s="134">
        <f t="shared" si="121"/>
        <v>90.640018872323736</v>
      </c>
      <c r="AI354" s="134">
        <f t="shared" si="121"/>
        <v>46.709389158584258</v>
      </c>
      <c r="AJ354" s="134">
        <f t="shared" si="121"/>
        <v>0</v>
      </c>
      <c r="AK354" s="134">
        <f t="shared" si="121"/>
        <v>-49.54397058892053</v>
      </c>
      <c r="AL354" s="134">
        <f t="shared" si="121"/>
        <v>-101.97834459367013</v>
      </c>
      <c r="AM354" s="134">
        <f t="shared" si="121"/>
        <v>-155.87187580270745</v>
      </c>
      <c r="AN354" s="134">
        <f t="shared" si="121"/>
        <v>-209.76540701174477</v>
      </c>
      <c r="AO354" s="134">
        <f t="shared" si="121"/>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5">
      <c r="A355" s="102"/>
      <c r="B355" s="112" t="s">
        <v>128</v>
      </c>
      <c r="C355" s="135"/>
      <c r="D355" s="134">
        <f t="shared" ref="D355:AO355" si="122">IF(D$320=$B355,0,IF(D$320&gt;$B355,-0.5*D$318-0.5*C$318+C355,0.5*HLOOKUP($B355,$D$317:$AO$318,2,FALSE)+0.5*HLOOKUP($B354,$D$317:$AO$318,2,FALSE)+D354))</f>
        <v>520.30261096268055</v>
      </c>
      <c r="E355" s="134">
        <f t="shared" si="122"/>
        <v>520.30261096268055</v>
      </c>
      <c r="F355" s="134">
        <f t="shared" si="122"/>
        <v>520.30261096268055</v>
      </c>
      <c r="G355" s="134">
        <f t="shared" si="122"/>
        <v>520.30261096268055</v>
      </c>
      <c r="H355" s="134">
        <f t="shared" si="122"/>
        <v>520.30261096268055</v>
      </c>
      <c r="I355" s="134">
        <f t="shared" si="122"/>
        <v>520.30261096268055</v>
      </c>
      <c r="J355" s="134">
        <f t="shared" si="122"/>
        <v>520.30261096268055</v>
      </c>
      <c r="K355" s="134">
        <f t="shared" si="122"/>
        <v>520.30261096268055</v>
      </c>
      <c r="L355" s="134">
        <f t="shared" si="122"/>
        <v>520.30261096268055</v>
      </c>
      <c r="M355" s="134">
        <f t="shared" si="122"/>
        <v>520.30261096268055</v>
      </c>
      <c r="N355" s="134">
        <f t="shared" si="122"/>
        <v>520.30261096268055</v>
      </c>
      <c r="O355" s="134">
        <f t="shared" si="122"/>
        <v>520.30261096268055</v>
      </c>
      <c r="P355" s="134">
        <f t="shared" si="122"/>
        <v>519.20719361458384</v>
      </c>
      <c r="Q355" s="134">
        <f t="shared" si="122"/>
        <v>515.94600347534197</v>
      </c>
      <c r="R355" s="134">
        <f t="shared" si="122"/>
        <v>510.71352054368435</v>
      </c>
      <c r="S355" s="134">
        <f t="shared" si="122"/>
        <v>503.65125192054609</v>
      </c>
      <c r="T355" s="134">
        <f t="shared" si="122"/>
        <v>494.70337562043505</v>
      </c>
      <c r="U355" s="134">
        <f t="shared" si="122"/>
        <v>483.81406965785959</v>
      </c>
      <c r="V355" s="134">
        <f t="shared" si="122"/>
        <v>470.92751204732781</v>
      </c>
      <c r="W355" s="134">
        <f t="shared" si="122"/>
        <v>455.98788080334702</v>
      </c>
      <c r="X355" s="134">
        <f t="shared" si="122"/>
        <v>438.93935394042558</v>
      </c>
      <c r="Y355" s="134">
        <f t="shared" si="122"/>
        <v>419.72610947307226</v>
      </c>
      <c r="Z355" s="134">
        <f t="shared" si="122"/>
        <v>398.29232541579461</v>
      </c>
      <c r="AA355" s="134">
        <f t="shared" si="122"/>
        <v>374.58217978309949</v>
      </c>
      <c r="AB355" s="134">
        <f t="shared" si="122"/>
        <v>348.53985058949581</v>
      </c>
      <c r="AC355" s="134">
        <f t="shared" si="122"/>
        <v>320.10951584949225</v>
      </c>
      <c r="AD355" s="134">
        <f t="shared" si="122"/>
        <v>289.23535357759624</v>
      </c>
      <c r="AE355" s="134">
        <f t="shared" si="122"/>
        <v>255.86154178831509</v>
      </c>
      <c r="AF355" s="134">
        <f t="shared" si="122"/>
        <v>219.93225849615712</v>
      </c>
      <c r="AG355" s="134">
        <f t="shared" si="122"/>
        <v>181.39168171563077</v>
      </c>
      <c r="AH355" s="134">
        <f t="shared" si="122"/>
        <v>140.18398946124427</v>
      </c>
      <c r="AI355" s="134">
        <f t="shared" si="122"/>
        <v>96.253359747504788</v>
      </c>
      <c r="AJ355" s="134">
        <f t="shared" si="122"/>
        <v>49.54397058892053</v>
      </c>
      <c r="AK355" s="134">
        <f t="shared" si="122"/>
        <v>0</v>
      </c>
      <c r="AL355" s="134">
        <f t="shared" si="122"/>
        <v>-52.4343740047496</v>
      </c>
      <c r="AM355" s="134">
        <f t="shared" si="122"/>
        <v>-106.32790521378692</v>
      </c>
      <c r="AN355" s="134">
        <f t="shared" si="122"/>
        <v>-160.22143642282424</v>
      </c>
      <c r="AO355" s="134">
        <f t="shared" si="122"/>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5">
      <c r="A356" s="102"/>
      <c r="B356" s="112" t="s">
        <v>129</v>
      </c>
      <c r="C356" s="135"/>
      <c r="D356" s="134">
        <f t="shared" ref="D356:AO356" si="123">IF(D$320=$B356,0,IF(D$320&gt;$B356,-0.5*D$318-0.5*C$318+C356,0.5*HLOOKUP($B356,$D$317:$AO$318,2,FALSE)+0.5*HLOOKUP($B355,$D$317:$AO$318,2,FALSE)+D355))</f>
        <v>572.73698496743009</v>
      </c>
      <c r="E356" s="134">
        <f t="shared" si="123"/>
        <v>572.73698496743009</v>
      </c>
      <c r="F356" s="134">
        <f t="shared" si="123"/>
        <v>572.73698496743009</v>
      </c>
      <c r="G356" s="134">
        <f t="shared" si="123"/>
        <v>572.73698496743009</v>
      </c>
      <c r="H356" s="134">
        <f t="shared" si="123"/>
        <v>572.73698496743009</v>
      </c>
      <c r="I356" s="134">
        <f t="shared" si="123"/>
        <v>572.73698496743009</v>
      </c>
      <c r="J356" s="134">
        <f t="shared" si="123"/>
        <v>572.73698496743009</v>
      </c>
      <c r="K356" s="134">
        <f t="shared" si="123"/>
        <v>572.73698496743009</v>
      </c>
      <c r="L356" s="134">
        <f t="shared" si="123"/>
        <v>572.73698496743009</v>
      </c>
      <c r="M356" s="134">
        <f t="shared" si="123"/>
        <v>572.73698496743009</v>
      </c>
      <c r="N356" s="134">
        <f t="shared" si="123"/>
        <v>572.73698496743009</v>
      </c>
      <c r="O356" s="134">
        <f t="shared" si="123"/>
        <v>572.73698496743009</v>
      </c>
      <c r="P356" s="134">
        <f t="shared" si="123"/>
        <v>571.6415676193335</v>
      </c>
      <c r="Q356" s="134">
        <f t="shared" si="123"/>
        <v>568.38037748009151</v>
      </c>
      <c r="R356" s="134">
        <f t="shared" si="123"/>
        <v>563.1478945484339</v>
      </c>
      <c r="S356" s="134">
        <f t="shared" si="123"/>
        <v>556.08562592529574</v>
      </c>
      <c r="T356" s="134">
        <f t="shared" si="123"/>
        <v>547.1377496251846</v>
      </c>
      <c r="U356" s="134">
        <f t="shared" si="123"/>
        <v>536.24844366260913</v>
      </c>
      <c r="V356" s="134">
        <f t="shared" si="123"/>
        <v>523.36188605207735</v>
      </c>
      <c r="W356" s="134">
        <f t="shared" si="123"/>
        <v>508.42225480809662</v>
      </c>
      <c r="X356" s="134">
        <f t="shared" si="123"/>
        <v>491.37372794517518</v>
      </c>
      <c r="Y356" s="134">
        <f t="shared" si="123"/>
        <v>472.16048347782186</v>
      </c>
      <c r="Z356" s="134">
        <f t="shared" si="123"/>
        <v>450.72669942054421</v>
      </c>
      <c r="AA356" s="134">
        <f t="shared" si="123"/>
        <v>427.01655378784909</v>
      </c>
      <c r="AB356" s="134">
        <f t="shared" si="123"/>
        <v>400.97422459424541</v>
      </c>
      <c r="AC356" s="134">
        <f t="shared" si="123"/>
        <v>372.54388985424185</v>
      </c>
      <c r="AD356" s="134">
        <f t="shared" si="123"/>
        <v>341.66972758234584</v>
      </c>
      <c r="AE356" s="134">
        <f t="shared" si="123"/>
        <v>308.29591579306469</v>
      </c>
      <c r="AF356" s="134">
        <f t="shared" si="123"/>
        <v>272.36663250090669</v>
      </c>
      <c r="AG356" s="134">
        <f t="shared" si="123"/>
        <v>233.82605572038037</v>
      </c>
      <c r="AH356" s="134">
        <f t="shared" si="123"/>
        <v>192.61836346599387</v>
      </c>
      <c r="AI356" s="134">
        <f t="shared" si="123"/>
        <v>148.68773375225439</v>
      </c>
      <c r="AJ356" s="134">
        <f t="shared" si="123"/>
        <v>101.97834459367013</v>
      </c>
      <c r="AK356" s="134">
        <f t="shared" si="123"/>
        <v>52.4343740047496</v>
      </c>
      <c r="AL356" s="134">
        <f t="shared" si="123"/>
        <v>0</v>
      </c>
      <c r="AM356" s="134">
        <f t="shared" si="123"/>
        <v>-53.89353120903732</v>
      </c>
      <c r="AN356" s="134">
        <f t="shared" si="123"/>
        <v>-107.78706241807464</v>
      </c>
      <c r="AO356" s="134">
        <f t="shared" si="123"/>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5">
      <c r="A357" s="102"/>
      <c r="B357" s="112" t="s">
        <v>130</v>
      </c>
      <c r="C357" s="135"/>
      <c r="D357" s="134">
        <f t="shared" ref="D357:AO357" si="124">IF(D$320=$B357,0,IF(D$320&gt;$B357,-0.5*D$318-0.5*C$318+C357,0.5*HLOOKUP($B357,$D$317:$AO$318,2,FALSE)+0.5*HLOOKUP($B356,$D$317:$AO$318,2,FALSE)+D356))</f>
        <v>626.63051617646738</v>
      </c>
      <c r="E357" s="134">
        <f t="shared" si="124"/>
        <v>626.63051617646738</v>
      </c>
      <c r="F357" s="134">
        <f t="shared" si="124"/>
        <v>626.63051617646738</v>
      </c>
      <c r="G357" s="134">
        <f t="shared" si="124"/>
        <v>626.63051617646738</v>
      </c>
      <c r="H357" s="134">
        <f t="shared" si="124"/>
        <v>626.63051617646738</v>
      </c>
      <c r="I357" s="134">
        <f t="shared" si="124"/>
        <v>626.63051617646738</v>
      </c>
      <c r="J357" s="134">
        <f t="shared" si="124"/>
        <v>626.63051617646738</v>
      </c>
      <c r="K357" s="134">
        <f t="shared" si="124"/>
        <v>626.63051617646738</v>
      </c>
      <c r="L357" s="134">
        <f t="shared" si="124"/>
        <v>626.63051617646738</v>
      </c>
      <c r="M357" s="134">
        <f t="shared" si="124"/>
        <v>626.63051617646738</v>
      </c>
      <c r="N357" s="134">
        <f t="shared" si="124"/>
        <v>626.63051617646738</v>
      </c>
      <c r="O357" s="134">
        <f t="shared" si="124"/>
        <v>626.63051617646738</v>
      </c>
      <c r="P357" s="134">
        <f t="shared" si="124"/>
        <v>625.53509882837079</v>
      </c>
      <c r="Q357" s="134">
        <f t="shared" si="124"/>
        <v>622.2739086891288</v>
      </c>
      <c r="R357" s="134">
        <f t="shared" si="124"/>
        <v>617.04142575747119</v>
      </c>
      <c r="S357" s="134">
        <f t="shared" si="124"/>
        <v>609.97915713433304</v>
      </c>
      <c r="T357" s="134">
        <f t="shared" si="124"/>
        <v>601.03128083422189</v>
      </c>
      <c r="U357" s="134">
        <f t="shared" si="124"/>
        <v>590.14197487164643</v>
      </c>
      <c r="V357" s="134">
        <f t="shared" si="124"/>
        <v>577.25541726111464</v>
      </c>
      <c r="W357" s="134">
        <f t="shared" si="124"/>
        <v>562.31578601713397</v>
      </c>
      <c r="X357" s="134">
        <f t="shared" si="124"/>
        <v>545.26725915421252</v>
      </c>
      <c r="Y357" s="134">
        <f t="shared" si="124"/>
        <v>526.0540146868592</v>
      </c>
      <c r="Z357" s="134">
        <f t="shared" si="124"/>
        <v>504.62023062958156</v>
      </c>
      <c r="AA357" s="134">
        <f t="shared" si="124"/>
        <v>480.91008499688644</v>
      </c>
      <c r="AB357" s="134">
        <f t="shared" si="124"/>
        <v>454.86775580328276</v>
      </c>
      <c r="AC357" s="134">
        <f t="shared" si="124"/>
        <v>426.4374210632792</v>
      </c>
      <c r="AD357" s="134">
        <f t="shared" si="124"/>
        <v>395.56325879138319</v>
      </c>
      <c r="AE357" s="134">
        <f t="shared" si="124"/>
        <v>362.18944700210204</v>
      </c>
      <c r="AF357" s="134">
        <f t="shared" si="124"/>
        <v>326.26016370994398</v>
      </c>
      <c r="AG357" s="134">
        <f t="shared" si="124"/>
        <v>287.71958692941769</v>
      </c>
      <c r="AH357" s="134">
        <f t="shared" si="124"/>
        <v>246.51189467503119</v>
      </c>
      <c r="AI357" s="134">
        <f t="shared" si="124"/>
        <v>202.58126496129171</v>
      </c>
      <c r="AJ357" s="134">
        <f t="shared" si="124"/>
        <v>155.87187580270745</v>
      </c>
      <c r="AK357" s="134">
        <f t="shared" si="124"/>
        <v>106.32790521378692</v>
      </c>
      <c r="AL357" s="134">
        <f t="shared" si="124"/>
        <v>53.89353120903732</v>
      </c>
      <c r="AM357" s="134">
        <f t="shared" si="124"/>
        <v>0</v>
      </c>
      <c r="AN357" s="134">
        <f t="shared" si="124"/>
        <v>-53.89353120903732</v>
      </c>
      <c r="AO357" s="134">
        <f t="shared" si="124"/>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5">
      <c r="A358" s="102"/>
      <c r="B358" s="112" t="s">
        <v>131</v>
      </c>
      <c r="C358" s="135"/>
      <c r="D358" s="134">
        <f t="shared" ref="D358:AO358" si="125">IF(D$320=$B358,0,IF(D$320&gt;$B358,-0.5*D$318-0.5*C$318+C358,0.5*HLOOKUP($B358,$D$317:$AO$318,2,FALSE)+0.5*HLOOKUP($B357,$D$317:$AO$318,2,FALSE)+D357))</f>
        <v>680.52404738550467</v>
      </c>
      <c r="E358" s="134">
        <f t="shared" si="125"/>
        <v>680.52404738550467</v>
      </c>
      <c r="F358" s="134">
        <f t="shared" si="125"/>
        <v>680.52404738550467</v>
      </c>
      <c r="G358" s="134">
        <f t="shared" si="125"/>
        <v>680.52404738550467</v>
      </c>
      <c r="H358" s="134">
        <f t="shared" si="125"/>
        <v>680.52404738550467</v>
      </c>
      <c r="I358" s="134">
        <f t="shared" si="125"/>
        <v>680.52404738550467</v>
      </c>
      <c r="J358" s="134">
        <f t="shared" si="125"/>
        <v>680.52404738550467</v>
      </c>
      <c r="K358" s="134">
        <f t="shared" si="125"/>
        <v>680.52404738550467</v>
      </c>
      <c r="L358" s="134">
        <f t="shared" si="125"/>
        <v>680.52404738550467</v>
      </c>
      <c r="M358" s="134">
        <f t="shared" si="125"/>
        <v>680.52404738550467</v>
      </c>
      <c r="N358" s="134">
        <f t="shared" si="125"/>
        <v>680.52404738550467</v>
      </c>
      <c r="O358" s="134">
        <f t="shared" si="125"/>
        <v>680.52404738550467</v>
      </c>
      <c r="P358" s="134">
        <f t="shared" si="125"/>
        <v>679.42863003740808</v>
      </c>
      <c r="Q358" s="134">
        <f t="shared" si="125"/>
        <v>676.16743989816609</v>
      </c>
      <c r="R358" s="134">
        <f t="shared" si="125"/>
        <v>670.93495696650848</v>
      </c>
      <c r="S358" s="134">
        <f t="shared" si="125"/>
        <v>663.87268834337033</v>
      </c>
      <c r="T358" s="134">
        <f t="shared" si="125"/>
        <v>654.92481204325918</v>
      </c>
      <c r="U358" s="134">
        <f t="shared" si="125"/>
        <v>644.03550608068372</v>
      </c>
      <c r="V358" s="134">
        <f t="shared" si="125"/>
        <v>631.14894847015194</v>
      </c>
      <c r="W358" s="134">
        <f t="shared" si="125"/>
        <v>616.20931722617127</v>
      </c>
      <c r="X358" s="134">
        <f t="shared" si="125"/>
        <v>599.16079036324982</v>
      </c>
      <c r="Y358" s="134">
        <f t="shared" si="125"/>
        <v>579.9475458958965</v>
      </c>
      <c r="Z358" s="134">
        <f t="shared" si="125"/>
        <v>558.51376183861885</v>
      </c>
      <c r="AA358" s="134">
        <f t="shared" si="125"/>
        <v>534.80361620592373</v>
      </c>
      <c r="AB358" s="134">
        <f t="shared" si="125"/>
        <v>508.76128701232005</v>
      </c>
      <c r="AC358" s="134">
        <f t="shared" si="125"/>
        <v>480.33095227231649</v>
      </c>
      <c r="AD358" s="134">
        <f t="shared" si="125"/>
        <v>449.45679000042048</v>
      </c>
      <c r="AE358" s="134">
        <f t="shared" si="125"/>
        <v>416.08297821113933</v>
      </c>
      <c r="AF358" s="134">
        <f t="shared" si="125"/>
        <v>380.15369491898127</v>
      </c>
      <c r="AG358" s="134">
        <f t="shared" si="125"/>
        <v>341.61311813845498</v>
      </c>
      <c r="AH358" s="134">
        <f t="shared" si="125"/>
        <v>300.40542588406851</v>
      </c>
      <c r="AI358" s="134">
        <f t="shared" si="125"/>
        <v>256.474796170329</v>
      </c>
      <c r="AJ358" s="134">
        <f t="shared" si="125"/>
        <v>209.76540701174477</v>
      </c>
      <c r="AK358" s="134">
        <f t="shared" si="125"/>
        <v>160.22143642282424</v>
      </c>
      <c r="AL358" s="134">
        <f t="shared" si="125"/>
        <v>107.78706241807464</v>
      </c>
      <c r="AM358" s="134">
        <f t="shared" si="125"/>
        <v>53.89353120903732</v>
      </c>
      <c r="AN358" s="134">
        <f t="shared" si="125"/>
        <v>0</v>
      </c>
      <c r="AO358" s="134">
        <f t="shared" si="125"/>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5">
      <c r="A359" s="102"/>
      <c r="B359" s="112" t="s">
        <v>132</v>
      </c>
      <c r="C359" s="135"/>
      <c r="D359" s="134">
        <f t="shared" ref="D359:AO359" si="126">IF(D$320=$B359,0,IF(D$320&gt;$B359,-0.5*D$318-0.5*C$318+C359,0.5*HLOOKUP($B359,$D$317:$AO$318,2,FALSE)+0.5*HLOOKUP($B358,$D$317:$AO$318,2,FALSE)+D358))</f>
        <v>734.41757859454196</v>
      </c>
      <c r="E359" s="134">
        <f t="shared" si="126"/>
        <v>734.41757859454196</v>
      </c>
      <c r="F359" s="134">
        <f t="shared" si="126"/>
        <v>734.41757859454196</v>
      </c>
      <c r="G359" s="134">
        <f t="shared" si="126"/>
        <v>734.41757859454196</v>
      </c>
      <c r="H359" s="134">
        <f t="shared" si="126"/>
        <v>734.41757859454196</v>
      </c>
      <c r="I359" s="134">
        <f t="shared" si="126"/>
        <v>734.41757859454196</v>
      </c>
      <c r="J359" s="134">
        <f t="shared" si="126"/>
        <v>734.41757859454196</v>
      </c>
      <c r="K359" s="134">
        <f t="shared" si="126"/>
        <v>734.41757859454196</v>
      </c>
      <c r="L359" s="134">
        <f t="shared" si="126"/>
        <v>734.41757859454196</v>
      </c>
      <c r="M359" s="134">
        <f t="shared" si="126"/>
        <v>734.41757859454196</v>
      </c>
      <c r="N359" s="134">
        <f t="shared" si="126"/>
        <v>734.41757859454196</v>
      </c>
      <c r="O359" s="134">
        <f t="shared" si="126"/>
        <v>734.41757859454196</v>
      </c>
      <c r="P359" s="134">
        <f t="shared" si="126"/>
        <v>733.32216124644538</v>
      </c>
      <c r="Q359" s="134">
        <f t="shared" si="126"/>
        <v>730.06097110720339</v>
      </c>
      <c r="R359" s="134">
        <f t="shared" si="126"/>
        <v>724.82848817554577</v>
      </c>
      <c r="S359" s="134">
        <f t="shared" si="126"/>
        <v>717.76621955240762</v>
      </c>
      <c r="T359" s="134">
        <f t="shared" si="126"/>
        <v>708.81834325229647</v>
      </c>
      <c r="U359" s="134">
        <f t="shared" si="126"/>
        <v>697.92903728972101</v>
      </c>
      <c r="V359" s="134">
        <f t="shared" si="126"/>
        <v>685.04247967918923</v>
      </c>
      <c r="W359" s="134">
        <f t="shared" si="126"/>
        <v>670.10284843520856</v>
      </c>
      <c r="X359" s="134">
        <f t="shared" si="126"/>
        <v>653.05432157228711</v>
      </c>
      <c r="Y359" s="134">
        <f t="shared" si="126"/>
        <v>633.84107710493379</v>
      </c>
      <c r="Z359" s="134">
        <f t="shared" si="126"/>
        <v>612.40729304765614</v>
      </c>
      <c r="AA359" s="134">
        <f t="shared" si="126"/>
        <v>588.69714741496102</v>
      </c>
      <c r="AB359" s="134">
        <f t="shared" si="126"/>
        <v>562.65481822135735</v>
      </c>
      <c r="AC359" s="134">
        <f t="shared" si="126"/>
        <v>534.22448348135379</v>
      </c>
      <c r="AD359" s="134">
        <f t="shared" si="126"/>
        <v>503.35032120945777</v>
      </c>
      <c r="AE359" s="134">
        <f t="shared" si="126"/>
        <v>469.97650942017663</v>
      </c>
      <c r="AF359" s="134">
        <f t="shared" si="126"/>
        <v>434.04722612801856</v>
      </c>
      <c r="AG359" s="134">
        <f t="shared" si="126"/>
        <v>395.50664934749227</v>
      </c>
      <c r="AH359" s="134">
        <f t="shared" si="126"/>
        <v>354.29895709310586</v>
      </c>
      <c r="AI359" s="134">
        <f t="shared" si="126"/>
        <v>310.36832737936629</v>
      </c>
      <c r="AJ359" s="134">
        <f t="shared" si="126"/>
        <v>263.65893822078209</v>
      </c>
      <c r="AK359" s="134">
        <f t="shared" si="126"/>
        <v>214.11496763186156</v>
      </c>
      <c r="AL359" s="134">
        <f t="shared" si="126"/>
        <v>161.68059362711196</v>
      </c>
      <c r="AM359" s="134">
        <f t="shared" si="126"/>
        <v>107.78706241807464</v>
      </c>
      <c r="AN359" s="134">
        <f t="shared" si="126"/>
        <v>53.89353120903732</v>
      </c>
      <c r="AO359" s="134">
        <f t="shared" si="12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5" x14ac:dyDescent="0.3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5" x14ac:dyDescent="0.35">
      <c r="B361" s="5" t="s">
        <v>149</v>
      </c>
    </row>
    <row r="362" spans="1:95" ht="15" customHeight="1" x14ac:dyDescent="0.35">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5">
      <c r="A363" s="102"/>
      <c r="B363" s="151" t="s">
        <v>141</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5">
      <c r="A364" s="102"/>
      <c r="B364" s="151"/>
      <c r="C364" s="64" t="s">
        <v>223</v>
      </c>
      <c r="D364" s="12" t="s">
        <v>95</v>
      </c>
      <c r="E364" s="13" t="s">
        <v>96</v>
      </c>
      <c r="F364" s="97" t="s">
        <v>97</v>
      </c>
      <c r="G364" s="97" t="s">
        <v>98</v>
      </c>
      <c r="H364" s="97" t="s">
        <v>99</v>
      </c>
      <c r="I364" s="97" t="s">
        <v>100</v>
      </c>
      <c r="J364" s="97" t="s">
        <v>101</v>
      </c>
      <c r="K364" s="97" t="s">
        <v>102</v>
      </c>
      <c r="L364" s="97" t="s">
        <v>103</v>
      </c>
      <c r="M364" s="97" t="s">
        <v>104</v>
      </c>
      <c r="N364" s="97" t="s">
        <v>105</v>
      </c>
      <c r="O364" s="97" t="s">
        <v>106</v>
      </c>
      <c r="P364" s="97" t="s">
        <v>107</v>
      </c>
      <c r="Q364" s="97" t="s">
        <v>108</v>
      </c>
      <c r="R364" s="97" t="s">
        <v>109</v>
      </c>
      <c r="S364" s="97" t="s">
        <v>110</v>
      </c>
      <c r="T364" s="97" t="s">
        <v>111</v>
      </c>
      <c r="U364" s="97" t="s">
        <v>112</v>
      </c>
      <c r="V364" s="97" t="s">
        <v>113</v>
      </c>
      <c r="W364" s="97" t="s">
        <v>114</v>
      </c>
      <c r="X364" s="97" t="s">
        <v>115</v>
      </c>
      <c r="Y364" s="97" t="s">
        <v>116</v>
      </c>
      <c r="Z364" s="97" t="s">
        <v>117</v>
      </c>
      <c r="AA364" s="97" t="s">
        <v>118</v>
      </c>
      <c r="AB364" s="97" t="s">
        <v>119</v>
      </c>
      <c r="AC364" s="97" t="s">
        <v>120</v>
      </c>
      <c r="AD364" s="97" t="s">
        <v>121</v>
      </c>
      <c r="AE364" s="97" t="s">
        <v>122</v>
      </c>
      <c r="AF364" s="97" t="s">
        <v>123</v>
      </c>
      <c r="AG364" s="97" t="s">
        <v>124</v>
      </c>
      <c r="AH364" s="97" t="s">
        <v>125</v>
      </c>
      <c r="AI364" s="97" t="s">
        <v>126</v>
      </c>
      <c r="AJ364" s="97" t="s">
        <v>127</v>
      </c>
      <c r="AK364" s="97" t="s">
        <v>128</v>
      </c>
      <c r="AL364" s="97" t="s">
        <v>129</v>
      </c>
      <c r="AM364" s="97" t="s">
        <v>130</v>
      </c>
      <c r="AN364" s="97" t="s">
        <v>131</v>
      </c>
      <c r="AO364" s="97" t="s">
        <v>132</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5">
      <c r="A365" s="102"/>
      <c r="B365" s="102" t="s">
        <v>229</v>
      </c>
      <c r="C365" s="102">
        <f>Road_mask</f>
        <v>1</v>
      </c>
      <c r="D365" s="118">
        <f t="shared" ref="D365:AO365" si="127">Stroke_values_road_1dB_in</f>
        <v>0</v>
      </c>
      <c r="E365" s="118">
        <f t="shared" si="127"/>
        <v>0</v>
      </c>
      <c r="F365" s="118">
        <f t="shared" si="127"/>
        <v>0</v>
      </c>
      <c r="G365" s="118">
        <f t="shared" si="127"/>
        <v>3.6689250678372041</v>
      </c>
      <c r="H365" s="118">
        <f t="shared" si="127"/>
        <v>3.678131659123125</v>
      </c>
      <c r="I365" s="118">
        <f t="shared" si="127"/>
        <v>3.6873643709039428</v>
      </c>
      <c r="J365" s="118">
        <f t="shared" si="127"/>
        <v>3.6966232872828853</v>
      </c>
      <c r="K365" s="118">
        <f t="shared" si="127"/>
        <v>3.7059084926663091</v>
      </c>
      <c r="L365" s="118">
        <f t="shared" si="127"/>
        <v>3.7152200717650747</v>
      </c>
      <c r="M365" s="118">
        <f t="shared" si="127"/>
        <v>3.7245581095958702</v>
      </c>
      <c r="N365" s="118">
        <f t="shared" si="127"/>
        <v>3.7339226914821468</v>
      </c>
      <c r="O365" s="118">
        <f t="shared" si="127"/>
        <v>3.7433139030555496</v>
      </c>
      <c r="P365" s="118">
        <f t="shared" si="127"/>
        <v>3.7527318302572561</v>
      </c>
      <c r="Q365" s="118">
        <f t="shared" si="127"/>
        <v>3.7621765593386578</v>
      </c>
      <c r="R365" s="118">
        <f t="shared" si="127"/>
        <v>3.7716481768632457</v>
      </c>
      <c r="S365" s="118">
        <f t="shared" si="127"/>
        <v>3.7811467697074548</v>
      </c>
      <c r="T365" s="118">
        <f t="shared" si="127"/>
        <v>3.790672425061917</v>
      </c>
      <c r="U365" s="118">
        <f t="shared" si="127"/>
        <v>3.8002252304329378</v>
      </c>
      <c r="V365" s="118">
        <f t="shared" si="127"/>
        <v>3.8098052736433208</v>
      </c>
      <c r="W365" s="118">
        <f t="shared" si="127"/>
        <v>3.8194126428341</v>
      </c>
      <c r="X365" s="118">
        <f t="shared" si="127"/>
        <v>3.8290474264657495</v>
      </c>
      <c r="Y365" s="118">
        <f t="shared" si="127"/>
        <v>3.8387097133186954</v>
      </c>
      <c r="Z365" s="118">
        <f t="shared" si="127"/>
        <v>3.8483995924958747</v>
      </c>
      <c r="AA365" s="118">
        <f t="shared" si="127"/>
        <v>3.8581171534224881</v>
      </c>
      <c r="AB365" s="118">
        <f t="shared" si="127"/>
        <v>3.8678624858490669</v>
      </c>
      <c r="AC365" s="118">
        <f t="shared" si="127"/>
        <v>3.8776356798510596</v>
      </c>
      <c r="AD365" s="118">
        <f t="shared" si="127"/>
        <v>3.8874368258309455</v>
      </c>
      <c r="AE365" s="118">
        <f t="shared" si="127"/>
        <v>3.8972660145196683</v>
      </c>
      <c r="AF365" s="118">
        <f t="shared" si="127"/>
        <v>3.9071233369776239</v>
      </c>
      <c r="AG365" s="118">
        <f t="shared" si="127"/>
        <v>3.9170088845959476</v>
      </c>
      <c r="AH365" s="118">
        <f t="shared" si="127"/>
        <v>3.9269227490981304</v>
      </c>
      <c r="AI365" s="118">
        <f t="shared" si="127"/>
        <v>3.9368650225405579</v>
      </c>
      <c r="AJ365" s="118">
        <f t="shared" si="127"/>
        <v>3.9368650225405579</v>
      </c>
      <c r="AK365" s="118">
        <f t="shared" si="127"/>
        <v>3.9368650225405579</v>
      </c>
      <c r="AL365" s="118">
        <f t="shared" si="127"/>
        <v>3.9368650225405579</v>
      </c>
      <c r="AM365" s="118">
        <f t="shared" si="127"/>
        <v>3.9368650225405579</v>
      </c>
      <c r="AN365" s="118">
        <f t="shared" si="127"/>
        <v>3.9368650225405579</v>
      </c>
      <c r="AO365" s="118">
        <f t="shared" si="12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5">
      <c r="A366" s="102"/>
      <c r="B366" s="102" t="s">
        <v>230</v>
      </c>
      <c r="C366" s="101">
        <f>Rail_mask</f>
        <v>0</v>
      </c>
      <c r="D366" s="118">
        <f t="shared" ref="D366:AO366" si="128">Stroke_values_rail_1dB_in</f>
        <v>0</v>
      </c>
      <c r="E366" s="118">
        <f t="shared" si="128"/>
        <v>0</v>
      </c>
      <c r="F366" s="118">
        <f t="shared" si="128"/>
        <v>0</v>
      </c>
      <c r="G366" s="118">
        <f t="shared" si="128"/>
        <v>0</v>
      </c>
      <c r="H366" s="118">
        <f t="shared" si="128"/>
        <v>0</v>
      </c>
      <c r="I366" s="118">
        <f t="shared" si="128"/>
        <v>0</v>
      </c>
      <c r="J366" s="118">
        <f t="shared" si="128"/>
        <v>3.9970980953356117</v>
      </c>
      <c r="K366" s="118">
        <f t="shared" si="128"/>
        <v>4.0080049663566149</v>
      </c>
      <c r="L366" s="118">
        <f t="shared" si="128"/>
        <v>4.0189454896299175</v>
      </c>
      <c r="M366" s="118">
        <f t="shared" si="128"/>
        <v>4.029919782995167</v>
      </c>
      <c r="N366" s="118">
        <f t="shared" si="128"/>
        <v>4.0409279647545508</v>
      </c>
      <c r="O366" s="118">
        <f t="shared" si="128"/>
        <v>4.0519701536741657</v>
      </c>
      <c r="P366" s="118">
        <f t="shared" si="128"/>
        <v>4.0630464689866317</v>
      </c>
      <c r="Q366" s="118">
        <f t="shared" si="128"/>
        <v>4.0741570303918246</v>
      </c>
      <c r="R366" s="118">
        <f t="shared" si="128"/>
        <v>4.0853019580611916</v>
      </c>
      <c r="S366" s="118">
        <f t="shared" si="128"/>
        <v>4.0964813726371219</v>
      </c>
      <c r="T366" s="118">
        <f t="shared" si="128"/>
        <v>4.1076953952370259</v>
      </c>
      <c r="U366" s="118">
        <f t="shared" si="128"/>
        <v>4.1189441474539352</v>
      </c>
      <c r="V366" s="118">
        <f t="shared" si="128"/>
        <v>4.1302277513598247</v>
      </c>
      <c r="W366" s="118">
        <f t="shared" si="128"/>
        <v>4.1415463295064443</v>
      </c>
      <c r="X366" s="118">
        <f t="shared" si="128"/>
        <v>4.1529000049284921</v>
      </c>
      <c r="Y366" s="118">
        <f t="shared" si="128"/>
        <v>4.1642889011448281</v>
      </c>
      <c r="Z366" s="118">
        <f t="shared" si="128"/>
        <v>4.1757131421609657</v>
      </c>
      <c r="AA366" s="118">
        <f t="shared" si="128"/>
        <v>4.1871728524709928</v>
      </c>
      <c r="AB366" s="118">
        <f t="shared" si="128"/>
        <v>4.198668157060351</v>
      </c>
      <c r="AC366" s="118">
        <f t="shared" si="128"/>
        <v>4.2101991814064759</v>
      </c>
      <c r="AD366" s="118">
        <f t="shared" si="128"/>
        <v>4.2217660514824855</v>
      </c>
      <c r="AE366" s="118">
        <f t="shared" si="128"/>
        <v>4.2333688937585121</v>
      </c>
      <c r="AF366" s="118">
        <f t="shared" si="128"/>
        <v>4.2450078352037686</v>
      </c>
      <c r="AG366" s="118">
        <f t="shared" si="128"/>
        <v>4.2566830032893082</v>
      </c>
      <c r="AH366" s="118">
        <f t="shared" si="128"/>
        <v>4.2683945259892786</v>
      </c>
      <c r="AI366" s="118">
        <f t="shared" si="128"/>
        <v>4.280142531784267</v>
      </c>
      <c r="AJ366" s="118">
        <f t="shared" si="128"/>
        <v>4.280142531784267</v>
      </c>
      <c r="AK366" s="118">
        <f t="shared" si="128"/>
        <v>4.280142531784267</v>
      </c>
      <c r="AL366" s="118">
        <f t="shared" si="128"/>
        <v>4.280142531784267</v>
      </c>
      <c r="AM366" s="118">
        <f t="shared" si="128"/>
        <v>4.280142531784267</v>
      </c>
      <c r="AN366" s="118">
        <f t="shared" si="128"/>
        <v>4.280142531784267</v>
      </c>
      <c r="AO366" s="118">
        <f t="shared" si="12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5">
      <c r="A367" s="102"/>
      <c r="B367" s="102" t="s">
        <v>231</v>
      </c>
      <c r="C367" s="101">
        <f>Aviation_mask</f>
        <v>0</v>
      </c>
      <c r="D367" s="118">
        <f t="shared" ref="D367:AO367" si="129">Stroke_values_aviation_1dB_in</f>
        <v>0</v>
      </c>
      <c r="E367" s="118">
        <f t="shared" si="129"/>
        <v>0</v>
      </c>
      <c r="F367" s="118">
        <f t="shared" si="129"/>
        <v>0</v>
      </c>
      <c r="G367" s="118">
        <f t="shared" si="129"/>
        <v>0</v>
      </c>
      <c r="H367" s="118">
        <f t="shared" si="129"/>
        <v>0</v>
      </c>
      <c r="I367" s="118">
        <f t="shared" si="129"/>
        <v>0</v>
      </c>
      <c r="J367" s="118">
        <f t="shared" si="129"/>
        <v>7.1263148664203326</v>
      </c>
      <c r="K367" s="118">
        <f t="shared" si="129"/>
        <v>7.1610288989719528</v>
      </c>
      <c r="L367" s="118">
        <f t="shared" si="129"/>
        <v>7.195934901559851</v>
      </c>
      <c r="M367" s="118">
        <f t="shared" si="129"/>
        <v>7.2310340835267581</v>
      </c>
      <c r="N367" s="118">
        <f t="shared" si="129"/>
        <v>7.2663276627694664</v>
      </c>
      <c r="O367" s="118">
        <f t="shared" si="129"/>
        <v>7.3018168658058276</v>
      </c>
      <c r="P367" s="118">
        <f t="shared" si="129"/>
        <v>7.337502927840263</v>
      </c>
      <c r="Q367" s="118">
        <f t="shared" si="129"/>
        <v>7.3733870928321545</v>
      </c>
      <c r="R367" s="118">
        <f t="shared" si="129"/>
        <v>7.4094706135634203</v>
      </c>
      <c r="S367" s="118">
        <f t="shared" si="129"/>
        <v>7.445754751707093</v>
      </c>
      <c r="T367" s="118">
        <f t="shared" si="129"/>
        <v>7.4822407778957594</v>
      </c>
      <c r="U367" s="118">
        <f t="shared" si="129"/>
        <v>7.5189299717920806</v>
      </c>
      <c r="V367" s="118">
        <f t="shared" si="129"/>
        <v>7.555823622158071</v>
      </c>
      <c r="W367" s="118">
        <f t="shared" si="129"/>
        <v>7.5929230269267256</v>
      </c>
      <c r="X367" s="118">
        <f t="shared" si="129"/>
        <v>7.6302294932722488</v>
      </c>
      <c r="Y367" s="118">
        <f t="shared" si="129"/>
        <v>7.6677443376833079</v>
      </c>
      <c r="Z367" s="118">
        <f t="shared" si="129"/>
        <v>7.7054688860343816</v>
      </c>
      <c r="AA367" s="118">
        <f t="shared" si="129"/>
        <v>7.7434044736596332</v>
      </c>
      <c r="AB367" s="118">
        <f t="shared" si="129"/>
        <v>7.7815524454260858</v>
      </c>
      <c r="AC367" s="118">
        <f t="shared" si="129"/>
        <v>7.8199141558089842</v>
      </c>
      <c r="AD367" s="118">
        <f t="shared" si="129"/>
        <v>7.8584909689648912</v>
      </c>
      <c r="AE367" s="118">
        <f t="shared" si="129"/>
        <v>7.8972842588094281</v>
      </c>
      <c r="AF367" s="118">
        <f t="shared" si="129"/>
        <v>7.9362954090921827</v>
      </c>
      <c r="AG367" s="118">
        <f t="shared" si="129"/>
        <v>7.975525813473495</v>
      </c>
      <c r="AH367" s="118">
        <f t="shared" si="129"/>
        <v>8.0149768756030237</v>
      </c>
      <c r="AI367" s="118">
        <f t="shared" si="129"/>
        <v>8.0546500091962017</v>
      </c>
      <c r="AJ367" s="118">
        <f t="shared" si="129"/>
        <v>8.0546500091962017</v>
      </c>
      <c r="AK367" s="118">
        <f t="shared" si="129"/>
        <v>8.0546500091962017</v>
      </c>
      <c r="AL367" s="118">
        <f t="shared" si="129"/>
        <v>8.0546500091962017</v>
      </c>
      <c r="AM367" s="118">
        <f t="shared" si="129"/>
        <v>8.0546500091962017</v>
      </c>
      <c r="AN367" s="118">
        <f t="shared" si="129"/>
        <v>8.0546500091962017</v>
      </c>
      <c r="AO367" s="118">
        <f t="shared" si="12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5">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5">
      <c r="A369" s="102"/>
      <c r="B369" s="151" t="s">
        <v>141</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5">
      <c r="A370" s="102"/>
      <c r="B370" s="151"/>
      <c r="C370" s="102"/>
      <c r="D370" s="12" t="s">
        <v>95</v>
      </c>
      <c r="E370" s="13" t="s">
        <v>96</v>
      </c>
      <c r="F370" s="97" t="s">
        <v>97</v>
      </c>
      <c r="G370" s="97" t="s">
        <v>98</v>
      </c>
      <c r="H370" s="97" t="s">
        <v>99</v>
      </c>
      <c r="I370" s="97" t="s">
        <v>100</v>
      </c>
      <c r="J370" s="97" t="s">
        <v>101</v>
      </c>
      <c r="K370" s="97" t="s">
        <v>102</v>
      </c>
      <c r="L370" s="97" t="s">
        <v>103</v>
      </c>
      <c r="M370" s="97" t="s">
        <v>104</v>
      </c>
      <c r="N370" s="97" t="s">
        <v>105</v>
      </c>
      <c r="O370" s="97" t="s">
        <v>106</v>
      </c>
      <c r="P370" s="97" t="s">
        <v>107</v>
      </c>
      <c r="Q370" s="97" t="s">
        <v>108</v>
      </c>
      <c r="R370" s="97" t="s">
        <v>109</v>
      </c>
      <c r="S370" s="97" t="s">
        <v>110</v>
      </c>
      <c r="T370" s="97" t="s">
        <v>111</v>
      </c>
      <c r="U370" s="97" t="s">
        <v>112</v>
      </c>
      <c r="V370" s="97" t="s">
        <v>113</v>
      </c>
      <c r="W370" s="97" t="s">
        <v>114</v>
      </c>
      <c r="X370" s="97" t="s">
        <v>115</v>
      </c>
      <c r="Y370" s="97" t="s">
        <v>116</v>
      </c>
      <c r="Z370" s="97" t="s">
        <v>117</v>
      </c>
      <c r="AA370" s="97" t="s">
        <v>118</v>
      </c>
      <c r="AB370" s="97" t="s">
        <v>119</v>
      </c>
      <c r="AC370" s="97" t="s">
        <v>120</v>
      </c>
      <c r="AD370" s="97" t="s">
        <v>121</v>
      </c>
      <c r="AE370" s="97" t="s">
        <v>122</v>
      </c>
      <c r="AF370" s="97" t="s">
        <v>123</v>
      </c>
      <c r="AG370" s="97" t="s">
        <v>124</v>
      </c>
      <c r="AH370" s="97" t="s">
        <v>125</v>
      </c>
      <c r="AI370" s="97" t="s">
        <v>126</v>
      </c>
      <c r="AJ370" s="97" t="s">
        <v>127</v>
      </c>
      <c r="AK370" s="97" t="s">
        <v>128</v>
      </c>
      <c r="AL370" s="97" t="s">
        <v>129</v>
      </c>
      <c r="AM370" s="97" t="s">
        <v>130</v>
      </c>
      <c r="AN370" s="97" t="s">
        <v>131</v>
      </c>
      <c r="AO370" s="97" t="s">
        <v>132</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5">
      <c r="A371" s="102"/>
      <c r="B371" s="102" t="s">
        <v>228</v>
      </c>
      <c r="C371" s="102"/>
      <c r="D371" s="118">
        <f t="shared" ref="D371:AO371" si="130">Stroke_values_road_1dB*Road_mask +Stroke_values_rail_1dB*Rail_mask +Stroke_values_aviation_1dB*Aviation_mask</f>
        <v>0</v>
      </c>
      <c r="E371" s="118">
        <f t="shared" si="130"/>
        <v>0</v>
      </c>
      <c r="F371" s="118">
        <f t="shared" si="130"/>
        <v>0</v>
      </c>
      <c r="G371" s="118">
        <f>Stroke_values_road_1dB*Road_mask +Stroke_values_rail_1dB*Rail_mask +Stroke_values_aviation_1dB*Aviation_mask</f>
        <v>3.6689250678372041</v>
      </c>
      <c r="H371" s="118">
        <f t="shared" si="130"/>
        <v>3.678131659123125</v>
      </c>
      <c r="I371" s="118">
        <f t="shared" si="130"/>
        <v>3.6873643709039428</v>
      </c>
      <c r="J371" s="118">
        <f t="shared" si="130"/>
        <v>3.6966232872828853</v>
      </c>
      <c r="K371" s="118">
        <f t="shared" si="130"/>
        <v>3.7059084926663091</v>
      </c>
      <c r="L371" s="118">
        <f t="shared" si="130"/>
        <v>3.7152200717650747</v>
      </c>
      <c r="M371" s="118">
        <f t="shared" si="130"/>
        <v>3.7245581095958702</v>
      </c>
      <c r="N371" s="118">
        <f t="shared" si="130"/>
        <v>3.7339226914821468</v>
      </c>
      <c r="O371" s="118">
        <f t="shared" si="130"/>
        <v>3.7433139030555496</v>
      </c>
      <c r="P371" s="118">
        <f t="shared" si="130"/>
        <v>3.7527318302572561</v>
      </c>
      <c r="Q371" s="118">
        <f t="shared" si="130"/>
        <v>3.7621765593386578</v>
      </c>
      <c r="R371" s="118">
        <f t="shared" si="130"/>
        <v>3.7716481768632457</v>
      </c>
      <c r="S371" s="118">
        <f t="shared" si="130"/>
        <v>3.7811467697074548</v>
      </c>
      <c r="T371" s="118">
        <f t="shared" si="130"/>
        <v>3.790672425061917</v>
      </c>
      <c r="U371" s="118">
        <f t="shared" si="130"/>
        <v>3.8002252304329378</v>
      </c>
      <c r="V371" s="118">
        <f t="shared" si="130"/>
        <v>3.8098052736433208</v>
      </c>
      <c r="W371" s="118">
        <f t="shared" si="130"/>
        <v>3.8194126428341</v>
      </c>
      <c r="X371" s="118">
        <f t="shared" si="130"/>
        <v>3.8290474264657495</v>
      </c>
      <c r="Y371" s="118">
        <f t="shared" si="130"/>
        <v>3.8387097133186954</v>
      </c>
      <c r="Z371" s="118">
        <f t="shared" si="130"/>
        <v>3.8483995924958747</v>
      </c>
      <c r="AA371" s="118">
        <f t="shared" si="130"/>
        <v>3.8581171534224881</v>
      </c>
      <c r="AB371" s="118">
        <f t="shared" si="130"/>
        <v>3.8678624858490669</v>
      </c>
      <c r="AC371" s="118">
        <f t="shared" si="130"/>
        <v>3.8776356798510596</v>
      </c>
      <c r="AD371" s="118">
        <f t="shared" si="130"/>
        <v>3.8874368258309455</v>
      </c>
      <c r="AE371" s="118">
        <f t="shared" si="130"/>
        <v>3.8972660145196683</v>
      </c>
      <c r="AF371" s="118">
        <f t="shared" si="130"/>
        <v>3.9071233369776239</v>
      </c>
      <c r="AG371" s="118">
        <f t="shared" si="130"/>
        <v>3.9170088845959476</v>
      </c>
      <c r="AH371" s="118">
        <f t="shared" si="130"/>
        <v>3.9269227490981304</v>
      </c>
      <c r="AI371" s="118">
        <f t="shared" si="130"/>
        <v>3.9368650225405579</v>
      </c>
      <c r="AJ371" s="118">
        <f t="shared" si="130"/>
        <v>3.9368650225405579</v>
      </c>
      <c r="AK371" s="118">
        <f t="shared" si="130"/>
        <v>3.9368650225405579</v>
      </c>
      <c r="AL371" s="118">
        <f t="shared" si="130"/>
        <v>3.9368650225405579</v>
      </c>
      <c r="AM371" s="118">
        <f t="shared" si="130"/>
        <v>3.9368650225405579</v>
      </c>
      <c r="AN371" s="118">
        <f t="shared" si="130"/>
        <v>3.9368650225405579</v>
      </c>
      <c r="AO371" s="118">
        <f t="shared" si="13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5">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5">
      <c r="A373" s="17"/>
      <c r="B373" s="114"/>
      <c r="C373" s="49" t="s">
        <v>94</v>
      </c>
      <c r="D373" s="70" t="s">
        <v>95</v>
      </c>
      <c r="E373" s="108" t="s">
        <v>96</v>
      </c>
      <c r="F373" s="108" t="s">
        <v>97</v>
      </c>
      <c r="G373" s="108" t="s">
        <v>98</v>
      </c>
      <c r="H373" s="108" t="s">
        <v>99</v>
      </c>
      <c r="I373" s="108" t="s">
        <v>100</v>
      </c>
      <c r="J373" s="108" t="s">
        <v>101</v>
      </c>
      <c r="K373" s="108" t="s">
        <v>102</v>
      </c>
      <c r="L373" s="108" t="s">
        <v>103</v>
      </c>
      <c r="M373" s="108" t="s">
        <v>104</v>
      </c>
      <c r="N373" s="108" t="s">
        <v>105</v>
      </c>
      <c r="O373" s="108" t="s">
        <v>106</v>
      </c>
      <c r="P373" s="108" t="s">
        <v>107</v>
      </c>
      <c r="Q373" s="108" t="s">
        <v>108</v>
      </c>
      <c r="R373" s="108" t="s">
        <v>109</v>
      </c>
      <c r="S373" s="108" t="s">
        <v>110</v>
      </c>
      <c r="T373" s="108" t="s">
        <v>111</v>
      </c>
      <c r="U373" s="108" t="s">
        <v>112</v>
      </c>
      <c r="V373" s="108" t="s">
        <v>113</v>
      </c>
      <c r="W373" s="108" t="s">
        <v>114</v>
      </c>
      <c r="X373" s="108" t="s">
        <v>115</v>
      </c>
      <c r="Y373" s="108" t="s">
        <v>116</v>
      </c>
      <c r="Z373" s="108" t="s">
        <v>117</v>
      </c>
      <c r="AA373" s="108" t="s">
        <v>118</v>
      </c>
      <c r="AB373" s="108" t="s">
        <v>119</v>
      </c>
      <c r="AC373" s="108" t="s">
        <v>120</v>
      </c>
      <c r="AD373" s="108" t="s">
        <v>121</v>
      </c>
      <c r="AE373" s="108" t="s">
        <v>122</v>
      </c>
      <c r="AF373" s="108" t="s">
        <v>123</v>
      </c>
      <c r="AG373" s="108" t="s">
        <v>124</v>
      </c>
      <c r="AH373" s="108" t="s">
        <v>125</v>
      </c>
      <c r="AI373" s="108" t="s">
        <v>126</v>
      </c>
      <c r="AJ373" s="108" t="s">
        <v>127</v>
      </c>
      <c r="AK373" s="108" t="s">
        <v>128</v>
      </c>
      <c r="AL373" s="108" t="s">
        <v>129</v>
      </c>
      <c r="AM373" s="108" t="s">
        <v>130</v>
      </c>
      <c r="AN373" s="108" t="s">
        <v>131</v>
      </c>
      <c r="AO373" s="108" t="s">
        <v>132</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133</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8" t="s">
        <v>95</v>
      </c>
      <c r="C375" s="125"/>
      <c r="D375" s="134">
        <f>IF(D$373=$B375,0,IF(D$373&gt;$B375,-0.5*D$371-0.5*C$371+C375,0.5*HLOOKUP($B375,$D$370:$AO$371,2,FALSE)+0.5*HLOOKUP($B374,$D$370:$AO$371,2,FALSE)+D374))</f>
        <v>0</v>
      </c>
      <c r="E375" s="134">
        <f t="shared" ref="E375:AO375" si="131">IF(E$373=$B375,0,IF(E$373&gt;$B375,-0.5*E$371-0.5*D$371+D375,0.5*HLOOKUP($B375,$D$370:$AO$371,2,FALSE)+0.5*HLOOKUP($B374,$D$370:$AO$371,2,FALSE)+E374))</f>
        <v>0</v>
      </c>
      <c r="F375" s="134">
        <f t="shared" si="131"/>
        <v>0</v>
      </c>
      <c r="G375" s="134">
        <f t="shared" si="131"/>
        <v>-1.834462533918602</v>
      </c>
      <c r="H375" s="134">
        <f t="shared" si="131"/>
        <v>-5.5079908973987664</v>
      </c>
      <c r="I375" s="134">
        <f t="shared" si="131"/>
        <v>-9.1907389124123</v>
      </c>
      <c r="J375" s="134">
        <f t="shared" si="131"/>
        <v>-12.882732741505714</v>
      </c>
      <c r="K375" s="134">
        <f t="shared" si="131"/>
        <v>-16.583998631480313</v>
      </c>
      <c r="L375" s="134">
        <f t="shared" si="131"/>
        <v>-20.294562913696005</v>
      </c>
      <c r="M375" s="134">
        <f t="shared" si="131"/>
        <v>-24.014452004376476</v>
      </c>
      <c r="N375" s="134">
        <f t="shared" si="131"/>
        <v>-27.743692404915485</v>
      </c>
      <c r="O375" s="134">
        <f t="shared" si="131"/>
        <v>-31.482310702184336</v>
      </c>
      <c r="P375" s="134">
        <f t="shared" si="131"/>
        <v>-35.230333568840742</v>
      </c>
      <c r="Q375" s="134">
        <f t="shared" si="131"/>
        <v>-38.9877877636387</v>
      </c>
      <c r="R375" s="134">
        <f t="shared" si="131"/>
        <v>-42.754700131739654</v>
      </c>
      <c r="S375" s="134">
        <f t="shared" si="131"/>
        <v>-46.531097605025003</v>
      </c>
      <c r="T375" s="134">
        <f t="shared" si="131"/>
        <v>-50.317007202409691</v>
      </c>
      <c r="U375" s="134">
        <f t="shared" si="131"/>
        <v>-54.112456030157119</v>
      </c>
      <c r="V375" s="134">
        <f t="shared" si="131"/>
        <v>-57.917471282195251</v>
      </c>
      <c r="W375" s="134">
        <f t="shared" si="131"/>
        <v>-61.732080240433959</v>
      </c>
      <c r="X375" s="134">
        <f t="shared" si="131"/>
        <v>-65.556310275083888</v>
      </c>
      <c r="Y375" s="134">
        <f t="shared" si="131"/>
        <v>-69.390188844976109</v>
      </c>
      <c r="Z375" s="134">
        <f t="shared" si="131"/>
        <v>-73.233743497883395</v>
      </c>
      <c r="AA375" s="134">
        <f t="shared" si="131"/>
        <v>-77.08700187084257</v>
      </c>
      <c r="AB375" s="134">
        <f t="shared" si="131"/>
        <v>-80.949991690478342</v>
      </c>
      <c r="AC375" s="134">
        <f t="shared" si="131"/>
        <v>-84.822740773328405</v>
      </c>
      <c r="AD375" s="134">
        <f t="shared" si="131"/>
        <v>-88.705277026169412</v>
      </c>
      <c r="AE375" s="134">
        <f t="shared" si="131"/>
        <v>-92.597628446344714</v>
      </c>
      <c r="AF375" s="134">
        <f t="shared" si="131"/>
        <v>-96.49982312209336</v>
      </c>
      <c r="AG375" s="134">
        <f t="shared" si="131"/>
        <v>-100.41188923288014</v>
      </c>
      <c r="AH375" s="134">
        <f t="shared" si="131"/>
        <v>-104.33385504972718</v>
      </c>
      <c r="AI375" s="134">
        <f t="shared" si="131"/>
        <v>-108.26574893554653</v>
      </c>
      <c r="AJ375" s="134">
        <f t="shared" si="131"/>
        <v>-112.20261395808708</v>
      </c>
      <c r="AK375" s="134">
        <f t="shared" si="131"/>
        <v>-116.13947898062764</v>
      </c>
      <c r="AL375" s="134">
        <f t="shared" si="131"/>
        <v>-120.0763440031682</v>
      </c>
      <c r="AM375" s="134">
        <f t="shared" si="131"/>
        <v>-124.01320902570876</v>
      </c>
      <c r="AN375" s="134">
        <f t="shared" si="131"/>
        <v>-127.95007404824932</v>
      </c>
      <c r="AO375" s="134">
        <f t="shared" si="131"/>
        <v>-131.88693907078988</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2" t="s">
        <v>96</v>
      </c>
      <c r="C376" s="135"/>
      <c r="D376" s="134">
        <f t="shared" ref="D376:AO376" si="132">IF(D$373=$B376,0,IF(D$373&gt;$B376,-0.5*D$371-0.5*C$371+C376,0.5*HLOOKUP($B376,$D$370:$AO$371,2,FALSE)+0.5*HLOOKUP($B375,$D$370:$AO$371,2,FALSE)+D375))</f>
        <v>0</v>
      </c>
      <c r="E376" s="134">
        <f t="shared" si="132"/>
        <v>0</v>
      </c>
      <c r="F376" s="134">
        <f t="shared" si="132"/>
        <v>0</v>
      </c>
      <c r="G376" s="134">
        <f t="shared" si="132"/>
        <v>-1.834462533918602</v>
      </c>
      <c r="H376" s="134">
        <f t="shared" si="132"/>
        <v>-5.5079908973987664</v>
      </c>
      <c r="I376" s="134">
        <f t="shared" si="132"/>
        <v>-9.1907389124123</v>
      </c>
      <c r="J376" s="134">
        <f t="shared" si="132"/>
        <v>-12.882732741505714</v>
      </c>
      <c r="K376" s="134">
        <f t="shared" si="132"/>
        <v>-16.583998631480313</v>
      </c>
      <c r="L376" s="134">
        <f t="shared" si="132"/>
        <v>-20.294562913696005</v>
      </c>
      <c r="M376" s="134">
        <f t="shared" si="132"/>
        <v>-24.014452004376476</v>
      </c>
      <c r="N376" s="134">
        <f t="shared" si="132"/>
        <v>-27.743692404915485</v>
      </c>
      <c r="O376" s="134">
        <f t="shared" si="132"/>
        <v>-31.482310702184336</v>
      </c>
      <c r="P376" s="134">
        <f t="shared" si="132"/>
        <v>-35.230333568840742</v>
      </c>
      <c r="Q376" s="134">
        <f t="shared" si="132"/>
        <v>-38.9877877636387</v>
      </c>
      <c r="R376" s="134">
        <f t="shared" si="132"/>
        <v>-42.754700131739654</v>
      </c>
      <c r="S376" s="134">
        <f t="shared" si="132"/>
        <v>-46.531097605025003</v>
      </c>
      <c r="T376" s="134">
        <f t="shared" si="132"/>
        <v>-50.317007202409691</v>
      </c>
      <c r="U376" s="134">
        <f t="shared" si="132"/>
        <v>-54.112456030157119</v>
      </c>
      <c r="V376" s="134">
        <f t="shared" si="132"/>
        <v>-57.917471282195251</v>
      </c>
      <c r="W376" s="134">
        <f t="shared" si="132"/>
        <v>-61.732080240433959</v>
      </c>
      <c r="X376" s="134">
        <f t="shared" si="132"/>
        <v>-65.556310275083888</v>
      </c>
      <c r="Y376" s="134">
        <f t="shared" si="132"/>
        <v>-69.390188844976109</v>
      </c>
      <c r="Z376" s="134">
        <f t="shared" si="132"/>
        <v>-73.233743497883395</v>
      </c>
      <c r="AA376" s="134">
        <f t="shared" si="132"/>
        <v>-77.08700187084257</v>
      </c>
      <c r="AB376" s="134">
        <f t="shared" si="132"/>
        <v>-80.949991690478342</v>
      </c>
      <c r="AC376" s="134">
        <f t="shared" si="132"/>
        <v>-84.822740773328405</v>
      </c>
      <c r="AD376" s="134">
        <f t="shared" si="132"/>
        <v>-88.705277026169412</v>
      </c>
      <c r="AE376" s="134">
        <f t="shared" si="132"/>
        <v>-92.597628446344714</v>
      </c>
      <c r="AF376" s="134">
        <f t="shared" si="132"/>
        <v>-96.49982312209336</v>
      </c>
      <c r="AG376" s="134">
        <f t="shared" si="132"/>
        <v>-100.41188923288014</v>
      </c>
      <c r="AH376" s="134">
        <f t="shared" si="132"/>
        <v>-104.33385504972718</v>
      </c>
      <c r="AI376" s="134">
        <f t="shared" si="132"/>
        <v>-108.26574893554653</v>
      </c>
      <c r="AJ376" s="134">
        <f t="shared" si="132"/>
        <v>-112.20261395808708</v>
      </c>
      <c r="AK376" s="134">
        <f t="shared" si="132"/>
        <v>-116.13947898062764</v>
      </c>
      <c r="AL376" s="134">
        <f t="shared" si="132"/>
        <v>-120.0763440031682</v>
      </c>
      <c r="AM376" s="134">
        <f t="shared" si="132"/>
        <v>-124.01320902570876</v>
      </c>
      <c r="AN376" s="134">
        <f t="shared" si="132"/>
        <v>-127.95007404824932</v>
      </c>
      <c r="AO376" s="134">
        <f t="shared" si="132"/>
        <v>-131.88693907078988</v>
      </c>
      <c r="AP376" s="99"/>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2" t="s">
        <v>97</v>
      </c>
      <c r="C377" s="135"/>
      <c r="D377" s="134">
        <f t="shared" ref="D377:AO377" si="133">IF(D$373=$B377,0,IF(D$373&gt;$B377,-0.5*D$371-0.5*C$371+C377,0.5*HLOOKUP($B377,$D$370:$AO$371,2,FALSE)+0.5*HLOOKUP($B376,$D$370:$AO$371,2,FALSE)+D376))</f>
        <v>0</v>
      </c>
      <c r="E377" s="134">
        <f t="shared" si="133"/>
        <v>0</v>
      </c>
      <c r="F377" s="134">
        <f t="shared" si="133"/>
        <v>0</v>
      </c>
      <c r="G377" s="134">
        <f t="shared" si="133"/>
        <v>-1.834462533918602</v>
      </c>
      <c r="H377" s="134">
        <f t="shared" si="133"/>
        <v>-5.5079908973987664</v>
      </c>
      <c r="I377" s="134">
        <f t="shared" si="133"/>
        <v>-9.1907389124123</v>
      </c>
      <c r="J377" s="134">
        <f t="shared" si="133"/>
        <v>-12.882732741505714</v>
      </c>
      <c r="K377" s="134">
        <f t="shared" si="133"/>
        <v>-16.583998631480313</v>
      </c>
      <c r="L377" s="134">
        <f t="shared" si="133"/>
        <v>-20.294562913696005</v>
      </c>
      <c r="M377" s="134">
        <f t="shared" si="133"/>
        <v>-24.014452004376476</v>
      </c>
      <c r="N377" s="134">
        <f t="shared" si="133"/>
        <v>-27.743692404915485</v>
      </c>
      <c r="O377" s="134">
        <f t="shared" si="133"/>
        <v>-31.482310702184336</v>
      </c>
      <c r="P377" s="134">
        <f t="shared" si="133"/>
        <v>-35.230333568840742</v>
      </c>
      <c r="Q377" s="134">
        <f t="shared" si="133"/>
        <v>-38.9877877636387</v>
      </c>
      <c r="R377" s="134">
        <f t="shared" si="133"/>
        <v>-42.754700131739654</v>
      </c>
      <c r="S377" s="134">
        <f t="shared" si="133"/>
        <v>-46.531097605025003</v>
      </c>
      <c r="T377" s="134">
        <f t="shared" si="133"/>
        <v>-50.317007202409691</v>
      </c>
      <c r="U377" s="134">
        <f t="shared" si="133"/>
        <v>-54.112456030157119</v>
      </c>
      <c r="V377" s="134">
        <f t="shared" si="133"/>
        <v>-57.917471282195251</v>
      </c>
      <c r="W377" s="134">
        <f t="shared" si="133"/>
        <v>-61.732080240433959</v>
      </c>
      <c r="X377" s="134">
        <f t="shared" si="133"/>
        <v>-65.556310275083888</v>
      </c>
      <c r="Y377" s="134">
        <f t="shared" si="133"/>
        <v>-69.390188844976109</v>
      </c>
      <c r="Z377" s="134">
        <f t="shared" si="133"/>
        <v>-73.233743497883395</v>
      </c>
      <c r="AA377" s="134">
        <f t="shared" si="133"/>
        <v>-77.08700187084257</v>
      </c>
      <c r="AB377" s="134">
        <f t="shared" si="133"/>
        <v>-80.949991690478342</v>
      </c>
      <c r="AC377" s="134">
        <f t="shared" si="133"/>
        <v>-84.822740773328405</v>
      </c>
      <c r="AD377" s="134">
        <f t="shared" si="133"/>
        <v>-88.705277026169412</v>
      </c>
      <c r="AE377" s="134">
        <f t="shared" si="133"/>
        <v>-92.597628446344714</v>
      </c>
      <c r="AF377" s="134">
        <f t="shared" si="133"/>
        <v>-96.49982312209336</v>
      </c>
      <c r="AG377" s="134">
        <f t="shared" si="133"/>
        <v>-100.41188923288014</v>
      </c>
      <c r="AH377" s="134">
        <f t="shared" si="133"/>
        <v>-104.33385504972718</v>
      </c>
      <c r="AI377" s="134">
        <f t="shared" si="133"/>
        <v>-108.26574893554653</v>
      </c>
      <c r="AJ377" s="134">
        <f t="shared" si="133"/>
        <v>-112.20261395808708</v>
      </c>
      <c r="AK377" s="134">
        <f t="shared" si="133"/>
        <v>-116.13947898062764</v>
      </c>
      <c r="AL377" s="134">
        <f t="shared" si="133"/>
        <v>-120.0763440031682</v>
      </c>
      <c r="AM377" s="134">
        <f t="shared" si="133"/>
        <v>-124.01320902570876</v>
      </c>
      <c r="AN377" s="134">
        <f t="shared" si="133"/>
        <v>-127.95007404824932</v>
      </c>
      <c r="AO377" s="134">
        <f t="shared" si="133"/>
        <v>-131.88693907078988</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2" t="s">
        <v>98</v>
      </c>
      <c r="C378" s="135"/>
      <c r="D378" s="134">
        <f t="shared" ref="D378:AO378" si="134">IF(D$373=$B378,0,IF(D$373&gt;$B378,-0.5*D$371-0.5*C$371+C378,0.5*HLOOKUP($B378,$D$370:$AO$371,2,FALSE)+0.5*HLOOKUP($B377,$D$370:$AO$371,2,FALSE)+D377))</f>
        <v>1.834462533918602</v>
      </c>
      <c r="E378" s="134">
        <f t="shared" si="134"/>
        <v>1.834462533918602</v>
      </c>
      <c r="F378" s="134">
        <f t="shared" si="134"/>
        <v>1.834462533918602</v>
      </c>
      <c r="G378" s="134">
        <f t="shared" si="134"/>
        <v>0</v>
      </c>
      <c r="H378" s="134">
        <f t="shared" si="134"/>
        <v>-3.6735283634801643</v>
      </c>
      <c r="I378" s="134">
        <f t="shared" si="134"/>
        <v>-7.356276378493698</v>
      </c>
      <c r="J378" s="134">
        <f t="shared" si="134"/>
        <v>-11.048270207587112</v>
      </c>
      <c r="K378" s="134">
        <f t="shared" si="134"/>
        <v>-14.749536097561709</v>
      </c>
      <c r="L378" s="134">
        <f t="shared" si="134"/>
        <v>-18.460100379777401</v>
      </c>
      <c r="M378" s="134">
        <f t="shared" si="134"/>
        <v>-22.179989470457873</v>
      </c>
      <c r="N378" s="134">
        <f t="shared" si="134"/>
        <v>-25.909229870996882</v>
      </c>
      <c r="O378" s="134">
        <f t="shared" si="134"/>
        <v>-29.647848168265732</v>
      </c>
      <c r="P378" s="134">
        <f t="shared" si="134"/>
        <v>-33.395871034922138</v>
      </c>
      <c r="Q378" s="134">
        <f t="shared" si="134"/>
        <v>-37.153325229720096</v>
      </c>
      <c r="R378" s="134">
        <f t="shared" si="134"/>
        <v>-40.92023759782105</v>
      </c>
      <c r="S378" s="134">
        <f t="shared" si="134"/>
        <v>-44.6966350711064</v>
      </c>
      <c r="T378" s="134">
        <f t="shared" si="134"/>
        <v>-48.482544668491087</v>
      </c>
      <c r="U378" s="134">
        <f t="shared" si="134"/>
        <v>-52.277993496238516</v>
      </c>
      <c r="V378" s="134">
        <f t="shared" si="134"/>
        <v>-56.083008748276647</v>
      </c>
      <c r="W378" s="134">
        <f t="shared" si="134"/>
        <v>-59.897617706515355</v>
      </c>
      <c r="X378" s="134">
        <f t="shared" si="134"/>
        <v>-63.721847741165277</v>
      </c>
      <c r="Y378" s="134">
        <f t="shared" si="134"/>
        <v>-67.555726311057498</v>
      </c>
      <c r="Z378" s="134">
        <f t="shared" si="134"/>
        <v>-71.399280963964785</v>
      </c>
      <c r="AA378" s="134">
        <f t="shared" si="134"/>
        <v>-75.252539336923959</v>
      </c>
      <c r="AB378" s="134">
        <f t="shared" si="134"/>
        <v>-79.115529156559731</v>
      </c>
      <c r="AC378" s="134">
        <f t="shared" si="134"/>
        <v>-82.988278239409794</v>
      </c>
      <c r="AD378" s="134">
        <f t="shared" si="134"/>
        <v>-86.870814492250801</v>
      </c>
      <c r="AE378" s="134">
        <f t="shared" si="134"/>
        <v>-90.763165912426103</v>
      </c>
      <c r="AF378" s="134">
        <f t="shared" si="134"/>
        <v>-94.66536058817475</v>
      </c>
      <c r="AG378" s="134">
        <f t="shared" si="134"/>
        <v>-98.577426698961531</v>
      </c>
      <c r="AH378" s="134">
        <f t="shared" si="134"/>
        <v>-102.49939251580857</v>
      </c>
      <c r="AI378" s="134">
        <f t="shared" si="134"/>
        <v>-106.43128640162791</v>
      </c>
      <c r="AJ378" s="134">
        <f t="shared" si="134"/>
        <v>-110.36815142416847</v>
      </c>
      <c r="AK378" s="134">
        <f t="shared" si="134"/>
        <v>-114.30501644670903</v>
      </c>
      <c r="AL378" s="134">
        <f t="shared" si="134"/>
        <v>-118.24188146924959</v>
      </c>
      <c r="AM378" s="134">
        <f t="shared" si="134"/>
        <v>-122.17874649179015</v>
      </c>
      <c r="AN378" s="134">
        <f t="shared" si="134"/>
        <v>-126.11561151433071</v>
      </c>
      <c r="AO378" s="134">
        <f t="shared" si="134"/>
        <v>-130.05247653687127</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2" t="s">
        <v>99</v>
      </c>
      <c r="C379" s="135"/>
      <c r="D379" s="134">
        <f t="shared" ref="D379:AO379" si="135">IF(D$373=$B379,0,IF(D$373&gt;$B379,-0.5*D$371-0.5*C$371+C379,0.5*HLOOKUP($B379,$D$370:$AO$371,2,FALSE)+0.5*HLOOKUP($B378,$D$370:$AO$371,2,FALSE)+D378))</f>
        <v>5.5079908973987664</v>
      </c>
      <c r="E379" s="134">
        <f t="shared" si="135"/>
        <v>5.5079908973987664</v>
      </c>
      <c r="F379" s="134">
        <f t="shared" si="135"/>
        <v>5.5079908973987664</v>
      </c>
      <c r="G379" s="134">
        <f t="shared" si="135"/>
        <v>3.6735283634801643</v>
      </c>
      <c r="H379" s="134">
        <f t="shared" si="135"/>
        <v>0</v>
      </c>
      <c r="I379" s="134">
        <f t="shared" si="135"/>
        <v>-3.6827480150135337</v>
      </c>
      <c r="J379" s="134">
        <f t="shared" si="135"/>
        <v>-7.3747418441069481</v>
      </c>
      <c r="K379" s="134">
        <f t="shared" si="135"/>
        <v>-11.076007734081546</v>
      </c>
      <c r="L379" s="134">
        <f t="shared" si="135"/>
        <v>-14.786572016297239</v>
      </c>
      <c r="M379" s="134">
        <f t="shared" si="135"/>
        <v>-18.50646110697771</v>
      </c>
      <c r="N379" s="134">
        <f t="shared" si="135"/>
        <v>-22.235701507516719</v>
      </c>
      <c r="O379" s="134">
        <f t="shared" si="135"/>
        <v>-25.974319804785566</v>
      </c>
      <c r="P379" s="134">
        <f t="shared" si="135"/>
        <v>-29.722342671441968</v>
      </c>
      <c r="Q379" s="134">
        <f t="shared" si="135"/>
        <v>-33.479796866239923</v>
      </c>
      <c r="R379" s="134">
        <f t="shared" si="135"/>
        <v>-37.246709234340877</v>
      </c>
      <c r="S379" s="134">
        <f t="shared" si="135"/>
        <v>-41.023106707626226</v>
      </c>
      <c r="T379" s="134">
        <f t="shared" si="135"/>
        <v>-44.809016305010914</v>
      </c>
      <c r="U379" s="134">
        <f t="shared" si="135"/>
        <v>-48.604465132758342</v>
      </c>
      <c r="V379" s="134">
        <f t="shared" si="135"/>
        <v>-52.409480384796474</v>
      </c>
      <c r="W379" s="134">
        <f t="shared" si="135"/>
        <v>-56.224089343035182</v>
      </c>
      <c r="X379" s="134">
        <f t="shared" si="135"/>
        <v>-60.048319377685104</v>
      </c>
      <c r="Y379" s="134">
        <f t="shared" si="135"/>
        <v>-63.882197947577325</v>
      </c>
      <c r="Z379" s="134">
        <f t="shared" si="135"/>
        <v>-67.725752600484611</v>
      </c>
      <c r="AA379" s="134">
        <f t="shared" si="135"/>
        <v>-71.579010973443786</v>
      </c>
      <c r="AB379" s="134">
        <f t="shared" si="135"/>
        <v>-75.442000793079558</v>
      </c>
      <c r="AC379" s="134">
        <f t="shared" si="135"/>
        <v>-79.314749875929621</v>
      </c>
      <c r="AD379" s="134">
        <f t="shared" si="135"/>
        <v>-83.197286128770628</v>
      </c>
      <c r="AE379" s="134">
        <f t="shared" si="135"/>
        <v>-87.08963754894593</v>
      </c>
      <c r="AF379" s="134">
        <f t="shared" si="135"/>
        <v>-90.991832224694576</v>
      </c>
      <c r="AG379" s="134">
        <f t="shared" si="135"/>
        <v>-94.903898335481358</v>
      </c>
      <c r="AH379" s="134">
        <f t="shared" si="135"/>
        <v>-98.825864152328393</v>
      </c>
      <c r="AI379" s="134">
        <f t="shared" si="135"/>
        <v>-102.75775803814774</v>
      </c>
      <c r="AJ379" s="134">
        <f t="shared" si="135"/>
        <v>-106.6946230606883</v>
      </c>
      <c r="AK379" s="134">
        <f t="shared" si="135"/>
        <v>-110.63148808322886</v>
      </c>
      <c r="AL379" s="134">
        <f t="shared" si="135"/>
        <v>-114.56835310576942</v>
      </c>
      <c r="AM379" s="134">
        <f t="shared" si="135"/>
        <v>-118.50521812830998</v>
      </c>
      <c r="AN379" s="134">
        <f t="shared" si="135"/>
        <v>-122.44208315085054</v>
      </c>
      <c r="AO379" s="134">
        <f t="shared" si="135"/>
        <v>-126.37894817339109</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2" t="s">
        <v>100</v>
      </c>
      <c r="C380" s="135"/>
      <c r="D380" s="134">
        <f t="shared" ref="D380:AO380" si="136">IF(D$373=$B380,0,IF(D$373&gt;$B380,-0.5*D$371-0.5*C$371+C380,0.5*HLOOKUP($B380,$D$370:$AO$371,2,FALSE)+0.5*HLOOKUP($B379,$D$370:$AO$371,2,FALSE)+D379))</f>
        <v>9.1907389124123</v>
      </c>
      <c r="E380" s="134">
        <f t="shared" si="136"/>
        <v>9.1907389124123</v>
      </c>
      <c r="F380" s="134">
        <f t="shared" si="136"/>
        <v>9.1907389124123</v>
      </c>
      <c r="G380" s="134">
        <f t="shared" si="136"/>
        <v>7.356276378493698</v>
      </c>
      <c r="H380" s="134">
        <f t="shared" si="136"/>
        <v>3.6827480150135337</v>
      </c>
      <c r="I380" s="134">
        <f t="shared" si="136"/>
        <v>0</v>
      </c>
      <c r="J380" s="134">
        <f t="shared" si="136"/>
        <v>-3.691993829093414</v>
      </c>
      <c r="K380" s="134">
        <f t="shared" si="136"/>
        <v>-7.3932597190680109</v>
      </c>
      <c r="L380" s="134">
        <f t="shared" si="136"/>
        <v>-11.103824001283703</v>
      </c>
      <c r="M380" s="134">
        <f t="shared" si="136"/>
        <v>-14.823713091964176</v>
      </c>
      <c r="N380" s="134">
        <f t="shared" si="136"/>
        <v>-18.552953492503185</v>
      </c>
      <c r="O380" s="134">
        <f t="shared" si="136"/>
        <v>-22.291571789772036</v>
      </c>
      <c r="P380" s="134">
        <f t="shared" si="136"/>
        <v>-26.039594656428438</v>
      </c>
      <c r="Q380" s="134">
        <f t="shared" si="136"/>
        <v>-29.797048851226396</v>
      </c>
      <c r="R380" s="134">
        <f t="shared" si="136"/>
        <v>-33.563961219327346</v>
      </c>
      <c r="S380" s="134">
        <f t="shared" si="136"/>
        <v>-37.340358692612696</v>
      </c>
      <c r="T380" s="134">
        <f t="shared" si="136"/>
        <v>-41.126268289997384</v>
      </c>
      <c r="U380" s="134">
        <f t="shared" si="136"/>
        <v>-44.921717117744812</v>
      </c>
      <c r="V380" s="134">
        <f t="shared" si="136"/>
        <v>-48.726732369782944</v>
      </c>
      <c r="W380" s="134">
        <f t="shared" si="136"/>
        <v>-52.541341328021652</v>
      </c>
      <c r="X380" s="134">
        <f t="shared" si="136"/>
        <v>-56.365571362671574</v>
      </c>
      <c r="Y380" s="134">
        <f t="shared" si="136"/>
        <v>-60.199449932563795</v>
      </c>
      <c r="Z380" s="134">
        <f t="shared" si="136"/>
        <v>-64.043004585471081</v>
      </c>
      <c r="AA380" s="134">
        <f t="shared" si="136"/>
        <v>-67.896262958430256</v>
      </c>
      <c r="AB380" s="134">
        <f t="shared" si="136"/>
        <v>-71.759252778066028</v>
      </c>
      <c r="AC380" s="134">
        <f t="shared" si="136"/>
        <v>-75.632001860916091</v>
      </c>
      <c r="AD380" s="134">
        <f t="shared" si="136"/>
        <v>-79.514538113757098</v>
      </c>
      <c r="AE380" s="134">
        <f t="shared" si="136"/>
        <v>-83.4068895339324</v>
      </c>
      <c r="AF380" s="134">
        <f t="shared" si="136"/>
        <v>-87.309084209681046</v>
      </c>
      <c r="AG380" s="134">
        <f t="shared" si="136"/>
        <v>-91.221150320467828</v>
      </c>
      <c r="AH380" s="134">
        <f t="shared" si="136"/>
        <v>-95.143116137314863</v>
      </c>
      <c r="AI380" s="134">
        <f t="shared" si="136"/>
        <v>-99.075010023134212</v>
      </c>
      <c r="AJ380" s="134">
        <f t="shared" si="136"/>
        <v>-103.01187504567477</v>
      </c>
      <c r="AK380" s="134">
        <f t="shared" si="136"/>
        <v>-106.94874006821533</v>
      </c>
      <c r="AL380" s="134">
        <f t="shared" si="136"/>
        <v>-110.88560509075589</v>
      </c>
      <c r="AM380" s="134">
        <f t="shared" si="136"/>
        <v>-114.82247011329645</v>
      </c>
      <c r="AN380" s="134">
        <f t="shared" si="136"/>
        <v>-118.75933513583701</v>
      </c>
      <c r="AO380" s="134">
        <f t="shared" si="136"/>
        <v>-122.69620015837756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2" t="s">
        <v>101</v>
      </c>
      <c r="C381" s="135"/>
      <c r="D381" s="134">
        <f t="shared" ref="D381:AO381" si="137">IF(D$373=$B381,0,IF(D$373&gt;$B381,-0.5*D$371-0.5*C$371+C381,0.5*HLOOKUP($B381,$D$370:$AO$371,2,FALSE)+0.5*HLOOKUP($B380,$D$370:$AO$371,2,FALSE)+D380))</f>
        <v>12.882732741505714</v>
      </c>
      <c r="E381" s="134">
        <f t="shared" si="137"/>
        <v>12.882732741505714</v>
      </c>
      <c r="F381" s="134">
        <f t="shared" si="137"/>
        <v>12.882732741505714</v>
      </c>
      <c r="G381" s="134">
        <f t="shared" si="137"/>
        <v>11.048270207587112</v>
      </c>
      <c r="H381" s="134">
        <f t="shared" si="137"/>
        <v>7.3747418441069481</v>
      </c>
      <c r="I381" s="134">
        <f t="shared" si="137"/>
        <v>3.691993829093414</v>
      </c>
      <c r="J381" s="134">
        <f t="shared" si="137"/>
        <v>0</v>
      </c>
      <c r="K381" s="134">
        <f t="shared" si="137"/>
        <v>-3.7012658899745974</v>
      </c>
      <c r="L381" s="134">
        <f t="shared" si="137"/>
        <v>-7.4118301721902888</v>
      </c>
      <c r="M381" s="134">
        <f t="shared" si="137"/>
        <v>-11.13171926287076</v>
      </c>
      <c r="N381" s="134">
        <f t="shared" si="137"/>
        <v>-14.860959663409769</v>
      </c>
      <c r="O381" s="134">
        <f t="shared" si="137"/>
        <v>-18.599577960678616</v>
      </c>
      <c r="P381" s="134">
        <f t="shared" si="137"/>
        <v>-22.347600827335018</v>
      </c>
      <c r="Q381" s="134">
        <f t="shared" si="137"/>
        <v>-26.105055022132976</v>
      </c>
      <c r="R381" s="134">
        <f t="shared" si="137"/>
        <v>-29.871967390233927</v>
      </c>
      <c r="S381" s="134">
        <f t="shared" si="137"/>
        <v>-33.648364863519276</v>
      </c>
      <c r="T381" s="134">
        <f t="shared" si="137"/>
        <v>-37.434274460903964</v>
      </c>
      <c r="U381" s="134">
        <f t="shared" si="137"/>
        <v>-41.229723288651392</v>
      </c>
      <c r="V381" s="134">
        <f t="shared" si="137"/>
        <v>-45.034738540689524</v>
      </c>
      <c r="W381" s="134">
        <f t="shared" si="137"/>
        <v>-48.849347498928232</v>
      </c>
      <c r="X381" s="134">
        <f t="shared" si="137"/>
        <v>-52.673577533578154</v>
      </c>
      <c r="Y381" s="134">
        <f t="shared" si="137"/>
        <v>-56.507456103470375</v>
      </c>
      <c r="Z381" s="134">
        <f t="shared" si="137"/>
        <v>-60.351010756377661</v>
      </c>
      <c r="AA381" s="134">
        <f t="shared" si="137"/>
        <v>-64.204269129336836</v>
      </c>
      <c r="AB381" s="134">
        <f t="shared" si="137"/>
        <v>-68.067258948972608</v>
      </c>
      <c r="AC381" s="134">
        <f t="shared" si="137"/>
        <v>-71.940008031822671</v>
      </c>
      <c r="AD381" s="134">
        <f t="shared" si="137"/>
        <v>-75.822544284663678</v>
      </c>
      <c r="AE381" s="134">
        <f t="shared" si="137"/>
        <v>-79.71489570483898</v>
      </c>
      <c r="AF381" s="134">
        <f t="shared" si="137"/>
        <v>-83.617090380587626</v>
      </c>
      <c r="AG381" s="134">
        <f t="shared" si="137"/>
        <v>-87.529156491374408</v>
      </c>
      <c r="AH381" s="134">
        <f t="shared" si="137"/>
        <v>-91.451122308221443</v>
      </c>
      <c r="AI381" s="134">
        <f t="shared" si="137"/>
        <v>-95.383016194040792</v>
      </c>
      <c r="AJ381" s="134">
        <f t="shared" si="137"/>
        <v>-99.319881216581351</v>
      </c>
      <c r="AK381" s="134">
        <f t="shared" si="137"/>
        <v>-103.25674623912191</v>
      </c>
      <c r="AL381" s="134">
        <f t="shared" si="137"/>
        <v>-107.19361126166247</v>
      </c>
      <c r="AM381" s="134">
        <f t="shared" si="137"/>
        <v>-111.13047628420303</v>
      </c>
      <c r="AN381" s="134">
        <f t="shared" si="137"/>
        <v>-115.06734130674359</v>
      </c>
      <c r="AO381" s="134">
        <f t="shared" si="137"/>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2" t="s">
        <v>102</v>
      </c>
      <c r="C382" s="135"/>
      <c r="D382" s="134">
        <f t="shared" ref="D382:AO382" si="138">IF(D$373=$B382,0,IF(D$373&gt;$B382,-0.5*D$371-0.5*C$371+C382,0.5*HLOOKUP($B382,$D$370:$AO$371,2,FALSE)+0.5*HLOOKUP($B381,$D$370:$AO$371,2,FALSE)+D381))</f>
        <v>16.583998631480313</v>
      </c>
      <c r="E382" s="134">
        <f t="shared" si="138"/>
        <v>16.583998631480313</v>
      </c>
      <c r="F382" s="134">
        <f t="shared" si="138"/>
        <v>16.583998631480313</v>
      </c>
      <c r="G382" s="134">
        <f t="shared" si="138"/>
        <v>14.749536097561709</v>
      </c>
      <c r="H382" s="134">
        <f t="shared" si="138"/>
        <v>11.076007734081546</v>
      </c>
      <c r="I382" s="134">
        <f t="shared" si="138"/>
        <v>7.3932597190680109</v>
      </c>
      <c r="J382" s="134">
        <f t="shared" si="138"/>
        <v>3.7012658899745974</v>
      </c>
      <c r="K382" s="134">
        <f t="shared" si="138"/>
        <v>0</v>
      </c>
      <c r="L382" s="134">
        <f t="shared" si="138"/>
        <v>-3.7105642822156919</v>
      </c>
      <c r="M382" s="134">
        <f t="shared" si="138"/>
        <v>-7.4304533728961637</v>
      </c>
      <c r="N382" s="134">
        <f t="shared" si="138"/>
        <v>-11.159693773435173</v>
      </c>
      <c r="O382" s="134">
        <f t="shared" si="138"/>
        <v>-14.898312070704021</v>
      </c>
      <c r="P382" s="134">
        <f t="shared" si="138"/>
        <v>-18.646334937360425</v>
      </c>
      <c r="Q382" s="134">
        <f t="shared" si="138"/>
        <v>-22.403789132158384</v>
      </c>
      <c r="R382" s="134">
        <f t="shared" si="138"/>
        <v>-26.170701500259334</v>
      </c>
      <c r="S382" s="134">
        <f t="shared" si="138"/>
        <v>-29.947098973544684</v>
      </c>
      <c r="T382" s="134">
        <f t="shared" si="138"/>
        <v>-33.733008570929371</v>
      </c>
      <c r="U382" s="134">
        <f t="shared" si="138"/>
        <v>-37.5284573986768</v>
      </c>
      <c r="V382" s="134">
        <f t="shared" si="138"/>
        <v>-41.333472650714931</v>
      </c>
      <c r="W382" s="134">
        <f t="shared" si="138"/>
        <v>-45.148081608953639</v>
      </c>
      <c r="X382" s="134">
        <f t="shared" si="138"/>
        <v>-48.972311643603561</v>
      </c>
      <c r="Y382" s="134">
        <f t="shared" si="138"/>
        <v>-52.806190213495782</v>
      </c>
      <c r="Z382" s="134">
        <f t="shared" si="138"/>
        <v>-56.649744866403068</v>
      </c>
      <c r="AA382" s="134">
        <f t="shared" si="138"/>
        <v>-60.503003239362251</v>
      </c>
      <c r="AB382" s="134">
        <f t="shared" si="138"/>
        <v>-64.365993058998029</v>
      </c>
      <c r="AC382" s="134">
        <f t="shared" si="138"/>
        <v>-68.238742141848093</v>
      </c>
      <c r="AD382" s="134">
        <f t="shared" si="138"/>
        <v>-72.121278394689099</v>
      </c>
      <c r="AE382" s="134">
        <f t="shared" si="138"/>
        <v>-76.013629814864402</v>
      </c>
      <c r="AF382" s="134">
        <f t="shared" si="138"/>
        <v>-79.915824490613048</v>
      </c>
      <c r="AG382" s="134">
        <f t="shared" si="138"/>
        <v>-83.82789060139983</v>
      </c>
      <c r="AH382" s="134">
        <f t="shared" si="138"/>
        <v>-87.749856418246864</v>
      </c>
      <c r="AI382" s="134">
        <f t="shared" si="138"/>
        <v>-91.681750304066213</v>
      </c>
      <c r="AJ382" s="134">
        <f t="shared" si="138"/>
        <v>-95.618615326606772</v>
      </c>
      <c r="AK382" s="134">
        <f t="shared" si="138"/>
        <v>-99.555480349147331</v>
      </c>
      <c r="AL382" s="134">
        <f t="shared" si="138"/>
        <v>-103.49234537168789</v>
      </c>
      <c r="AM382" s="134">
        <f t="shared" si="138"/>
        <v>-107.42921039422845</v>
      </c>
      <c r="AN382" s="134">
        <f t="shared" si="138"/>
        <v>-111.36607541676901</v>
      </c>
      <c r="AO382" s="134">
        <f t="shared" si="13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2"/>
      <c r="B383" s="112" t="s">
        <v>103</v>
      </c>
      <c r="C383" s="135"/>
      <c r="D383" s="134">
        <f t="shared" ref="D383:AO383" si="139">IF(D$373=$B383,0,IF(D$373&gt;$B383,-0.5*D$371-0.5*C$371+C383,0.5*HLOOKUP($B383,$D$370:$AO$371,2,FALSE)+0.5*HLOOKUP($B382,$D$370:$AO$371,2,FALSE)+D382))</f>
        <v>20.294562913696005</v>
      </c>
      <c r="E383" s="134">
        <f t="shared" si="139"/>
        <v>20.294562913696005</v>
      </c>
      <c r="F383" s="134">
        <f t="shared" si="139"/>
        <v>20.294562913696005</v>
      </c>
      <c r="G383" s="134">
        <f t="shared" si="139"/>
        <v>18.460100379777401</v>
      </c>
      <c r="H383" s="134">
        <f t="shared" si="139"/>
        <v>14.786572016297239</v>
      </c>
      <c r="I383" s="134">
        <f t="shared" si="139"/>
        <v>11.103824001283703</v>
      </c>
      <c r="J383" s="134">
        <f t="shared" si="139"/>
        <v>7.4118301721902888</v>
      </c>
      <c r="K383" s="134">
        <f t="shared" si="139"/>
        <v>3.7105642822156919</v>
      </c>
      <c r="L383" s="134">
        <f t="shared" si="139"/>
        <v>0</v>
      </c>
      <c r="M383" s="134">
        <f t="shared" si="139"/>
        <v>-3.7198890906804722</v>
      </c>
      <c r="N383" s="134">
        <f t="shared" si="139"/>
        <v>-7.4491294912194803</v>
      </c>
      <c r="O383" s="134">
        <f t="shared" si="139"/>
        <v>-11.187747788488329</v>
      </c>
      <c r="P383" s="134">
        <f t="shared" si="139"/>
        <v>-14.935770655144731</v>
      </c>
      <c r="Q383" s="134">
        <f t="shared" si="139"/>
        <v>-18.693224849942688</v>
      </c>
      <c r="R383" s="134">
        <f t="shared" si="139"/>
        <v>-22.460137218043641</v>
      </c>
      <c r="S383" s="134">
        <f t="shared" si="139"/>
        <v>-26.236534691328991</v>
      </c>
      <c r="T383" s="134">
        <f t="shared" si="139"/>
        <v>-30.022444288713679</v>
      </c>
      <c r="U383" s="134">
        <f t="shared" si="139"/>
        <v>-33.817893116461107</v>
      </c>
      <c r="V383" s="134">
        <f t="shared" si="139"/>
        <v>-37.622908368499239</v>
      </c>
      <c r="W383" s="134">
        <f t="shared" si="139"/>
        <v>-41.437517326737947</v>
      </c>
      <c r="X383" s="134">
        <f t="shared" si="139"/>
        <v>-45.261747361387869</v>
      </c>
      <c r="Y383" s="134">
        <f t="shared" si="139"/>
        <v>-49.09562593128009</v>
      </c>
      <c r="Z383" s="134">
        <f t="shared" si="139"/>
        <v>-52.939180584187376</v>
      </c>
      <c r="AA383" s="134">
        <f t="shared" si="139"/>
        <v>-56.792438957146558</v>
      </c>
      <c r="AB383" s="134">
        <f t="shared" si="139"/>
        <v>-60.655428776782337</v>
      </c>
      <c r="AC383" s="134">
        <f t="shared" si="139"/>
        <v>-64.528177859632393</v>
      </c>
      <c r="AD383" s="134">
        <f t="shared" si="139"/>
        <v>-68.4107141124734</v>
      </c>
      <c r="AE383" s="134">
        <f t="shared" si="139"/>
        <v>-72.303065532648702</v>
      </c>
      <c r="AF383" s="134">
        <f t="shared" si="139"/>
        <v>-76.205260208397348</v>
      </c>
      <c r="AG383" s="134">
        <f t="shared" si="139"/>
        <v>-80.11732631918413</v>
      </c>
      <c r="AH383" s="134">
        <f t="shared" si="139"/>
        <v>-84.039292136031165</v>
      </c>
      <c r="AI383" s="134">
        <f t="shared" si="139"/>
        <v>-87.971186021850514</v>
      </c>
      <c r="AJ383" s="134">
        <f t="shared" si="139"/>
        <v>-91.908051044391073</v>
      </c>
      <c r="AK383" s="134">
        <f t="shared" si="139"/>
        <v>-95.844916066931631</v>
      </c>
      <c r="AL383" s="134">
        <f t="shared" si="139"/>
        <v>-99.78178108947219</v>
      </c>
      <c r="AM383" s="134">
        <f t="shared" si="139"/>
        <v>-103.71864611201275</v>
      </c>
      <c r="AN383" s="134">
        <f t="shared" si="139"/>
        <v>-107.65551113455331</v>
      </c>
      <c r="AO383" s="134">
        <f t="shared" si="13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5">
      <c r="A384" s="102"/>
      <c r="B384" s="112" t="s">
        <v>104</v>
      </c>
      <c r="C384" s="135"/>
      <c r="D384" s="134">
        <f t="shared" ref="D384:AO384" si="140">IF(D$373=$B384,0,IF(D$373&gt;$B384,-0.5*D$371-0.5*C$371+C384,0.5*HLOOKUP($B384,$D$370:$AO$371,2,FALSE)+0.5*HLOOKUP($B383,$D$370:$AO$371,2,FALSE)+D383))</f>
        <v>24.014452004376476</v>
      </c>
      <c r="E384" s="134">
        <f t="shared" si="140"/>
        <v>24.014452004376476</v>
      </c>
      <c r="F384" s="134">
        <f t="shared" si="140"/>
        <v>24.014452004376476</v>
      </c>
      <c r="G384" s="134">
        <f t="shared" si="140"/>
        <v>22.179989470457873</v>
      </c>
      <c r="H384" s="134">
        <f t="shared" si="140"/>
        <v>18.50646110697771</v>
      </c>
      <c r="I384" s="134">
        <f t="shared" si="140"/>
        <v>14.823713091964176</v>
      </c>
      <c r="J384" s="134">
        <f t="shared" si="140"/>
        <v>11.13171926287076</v>
      </c>
      <c r="K384" s="134">
        <f t="shared" si="140"/>
        <v>7.4304533728961637</v>
      </c>
      <c r="L384" s="134">
        <f t="shared" si="140"/>
        <v>3.7198890906804722</v>
      </c>
      <c r="M384" s="134">
        <f t="shared" si="140"/>
        <v>0</v>
      </c>
      <c r="N384" s="134">
        <f t="shared" si="140"/>
        <v>-3.7292404005390085</v>
      </c>
      <c r="O384" s="134">
        <f t="shared" si="140"/>
        <v>-7.4678586978078574</v>
      </c>
      <c r="P384" s="134">
        <f t="shared" si="140"/>
        <v>-11.21588156446426</v>
      </c>
      <c r="Q384" s="134">
        <f t="shared" si="140"/>
        <v>-14.973335759262216</v>
      </c>
      <c r="R384" s="134">
        <f t="shared" si="140"/>
        <v>-18.740248127363166</v>
      </c>
      <c r="S384" s="134">
        <f t="shared" si="140"/>
        <v>-22.516645600648516</v>
      </c>
      <c r="T384" s="134">
        <f t="shared" si="140"/>
        <v>-26.302555198033204</v>
      </c>
      <c r="U384" s="134">
        <f t="shared" si="140"/>
        <v>-30.098004025780632</v>
      </c>
      <c r="V384" s="134">
        <f t="shared" si="140"/>
        <v>-33.903019277818764</v>
      </c>
      <c r="W384" s="134">
        <f t="shared" si="140"/>
        <v>-37.717628236057472</v>
      </c>
      <c r="X384" s="134">
        <f t="shared" si="140"/>
        <v>-41.541858270707394</v>
      </c>
      <c r="Y384" s="134">
        <f t="shared" si="140"/>
        <v>-45.375736840599615</v>
      </c>
      <c r="Z384" s="134">
        <f t="shared" si="140"/>
        <v>-49.219291493506901</v>
      </c>
      <c r="AA384" s="134">
        <f t="shared" si="140"/>
        <v>-53.072549866466083</v>
      </c>
      <c r="AB384" s="134">
        <f t="shared" si="140"/>
        <v>-56.935539686101862</v>
      </c>
      <c r="AC384" s="134">
        <f t="shared" si="140"/>
        <v>-60.808288768951925</v>
      </c>
      <c r="AD384" s="134">
        <f t="shared" si="140"/>
        <v>-64.690825021792932</v>
      </c>
      <c r="AE384" s="134">
        <f t="shared" si="140"/>
        <v>-68.583176441968234</v>
      </c>
      <c r="AF384" s="134">
        <f t="shared" si="140"/>
        <v>-72.48537111771688</v>
      </c>
      <c r="AG384" s="134">
        <f t="shared" si="140"/>
        <v>-76.397437228503662</v>
      </c>
      <c r="AH384" s="134">
        <f t="shared" si="140"/>
        <v>-80.319403045350697</v>
      </c>
      <c r="AI384" s="134">
        <f t="shared" si="140"/>
        <v>-84.251296931170046</v>
      </c>
      <c r="AJ384" s="134">
        <f t="shared" si="140"/>
        <v>-88.188161953710605</v>
      </c>
      <c r="AK384" s="134">
        <f t="shared" si="140"/>
        <v>-92.125026976251164</v>
      </c>
      <c r="AL384" s="134">
        <f t="shared" si="140"/>
        <v>-96.061891998791722</v>
      </c>
      <c r="AM384" s="134">
        <f t="shared" si="140"/>
        <v>-99.998757021332281</v>
      </c>
      <c r="AN384" s="134">
        <f t="shared" si="140"/>
        <v>-103.93562204387284</v>
      </c>
      <c r="AO384" s="134">
        <f t="shared" si="140"/>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5">
      <c r="A385" s="102"/>
      <c r="B385" s="112" t="s">
        <v>105</v>
      </c>
      <c r="C385" s="135"/>
      <c r="D385" s="134">
        <f t="shared" ref="D385:AO385" si="141">IF(D$373=$B385,0,IF(D$373&gt;$B385,-0.5*D$371-0.5*C$371+C385,0.5*HLOOKUP($B385,$D$370:$AO$371,2,FALSE)+0.5*HLOOKUP($B384,$D$370:$AO$371,2,FALSE)+D384))</f>
        <v>27.743692404915485</v>
      </c>
      <c r="E385" s="134">
        <f t="shared" si="141"/>
        <v>27.743692404915485</v>
      </c>
      <c r="F385" s="134">
        <f t="shared" si="141"/>
        <v>27.743692404915485</v>
      </c>
      <c r="G385" s="134">
        <f t="shared" si="141"/>
        <v>25.909229870996882</v>
      </c>
      <c r="H385" s="134">
        <f t="shared" si="141"/>
        <v>22.235701507516719</v>
      </c>
      <c r="I385" s="134">
        <f t="shared" si="141"/>
        <v>18.552953492503185</v>
      </c>
      <c r="J385" s="134">
        <f t="shared" si="141"/>
        <v>14.860959663409769</v>
      </c>
      <c r="K385" s="134">
        <f t="shared" si="141"/>
        <v>11.159693773435173</v>
      </c>
      <c r="L385" s="134">
        <f t="shared" si="141"/>
        <v>7.4491294912194803</v>
      </c>
      <c r="M385" s="134">
        <f t="shared" si="141"/>
        <v>3.7292404005390085</v>
      </c>
      <c r="N385" s="134">
        <f t="shared" si="141"/>
        <v>0</v>
      </c>
      <c r="O385" s="134">
        <f t="shared" si="141"/>
        <v>-3.7386182972688484</v>
      </c>
      <c r="P385" s="134">
        <f t="shared" si="141"/>
        <v>-7.4866411639252508</v>
      </c>
      <c r="Q385" s="134">
        <f t="shared" si="141"/>
        <v>-11.244095358723207</v>
      </c>
      <c r="R385" s="134">
        <f t="shared" si="141"/>
        <v>-15.011007726824159</v>
      </c>
      <c r="S385" s="134">
        <f t="shared" si="141"/>
        <v>-18.787405200109511</v>
      </c>
      <c r="T385" s="134">
        <f t="shared" si="141"/>
        <v>-22.573314797494199</v>
      </c>
      <c r="U385" s="134">
        <f t="shared" si="141"/>
        <v>-26.368763625241627</v>
      </c>
      <c r="V385" s="134">
        <f t="shared" si="141"/>
        <v>-30.173778877279755</v>
      </c>
      <c r="W385" s="134">
        <f t="shared" si="141"/>
        <v>-33.988387835518466</v>
      </c>
      <c r="X385" s="134">
        <f t="shared" si="141"/>
        <v>-37.812617870168388</v>
      </c>
      <c r="Y385" s="134">
        <f t="shared" si="141"/>
        <v>-41.646496440060609</v>
      </c>
      <c r="Z385" s="134">
        <f t="shared" si="141"/>
        <v>-45.490051092967896</v>
      </c>
      <c r="AA385" s="134">
        <f t="shared" si="141"/>
        <v>-49.343309465927078</v>
      </c>
      <c r="AB385" s="134">
        <f t="shared" si="141"/>
        <v>-53.206299285562856</v>
      </c>
      <c r="AC385" s="134">
        <f t="shared" si="141"/>
        <v>-57.07904836841292</v>
      </c>
      <c r="AD385" s="134">
        <f t="shared" si="141"/>
        <v>-60.96158462125392</v>
      </c>
      <c r="AE385" s="134">
        <f t="shared" si="141"/>
        <v>-64.853936041429222</v>
      </c>
      <c r="AF385" s="134">
        <f t="shared" si="141"/>
        <v>-68.756130717177868</v>
      </c>
      <c r="AG385" s="134">
        <f t="shared" si="141"/>
        <v>-72.66819682796465</v>
      </c>
      <c r="AH385" s="134">
        <f t="shared" si="141"/>
        <v>-76.590162644811684</v>
      </c>
      <c r="AI385" s="134">
        <f t="shared" si="141"/>
        <v>-80.522056530631033</v>
      </c>
      <c r="AJ385" s="134">
        <f t="shared" si="141"/>
        <v>-84.458921553171592</v>
      </c>
      <c r="AK385" s="134">
        <f t="shared" si="141"/>
        <v>-88.395786575712151</v>
      </c>
      <c r="AL385" s="134">
        <f t="shared" si="141"/>
        <v>-92.33265159825271</v>
      </c>
      <c r="AM385" s="134">
        <f t="shared" si="141"/>
        <v>-96.269516620793269</v>
      </c>
      <c r="AN385" s="134">
        <f t="shared" si="141"/>
        <v>-100.20638164333383</v>
      </c>
      <c r="AO385" s="134">
        <f t="shared" si="141"/>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5">
      <c r="A386" s="102"/>
      <c r="B386" s="112" t="s">
        <v>106</v>
      </c>
      <c r="C386" s="135"/>
      <c r="D386" s="134">
        <f t="shared" ref="D386:AO386" si="142">IF(D$373=$B386,0,IF(D$373&gt;$B386,-0.5*D$371-0.5*C$371+C386,0.5*HLOOKUP($B386,$D$370:$AO$371,2,FALSE)+0.5*HLOOKUP($B385,$D$370:$AO$371,2,FALSE)+D385))</f>
        <v>31.482310702184336</v>
      </c>
      <c r="E386" s="134">
        <f t="shared" si="142"/>
        <v>31.482310702184336</v>
      </c>
      <c r="F386" s="134">
        <f t="shared" si="142"/>
        <v>31.482310702184336</v>
      </c>
      <c r="G386" s="134">
        <f t="shared" si="142"/>
        <v>29.647848168265732</v>
      </c>
      <c r="H386" s="134">
        <f t="shared" si="142"/>
        <v>25.974319804785566</v>
      </c>
      <c r="I386" s="134">
        <f t="shared" si="142"/>
        <v>22.291571789772036</v>
      </c>
      <c r="J386" s="134">
        <f t="shared" si="142"/>
        <v>18.599577960678616</v>
      </c>
      <c r="K386" s="134">
        <f t="shared" si="142"/>
        <v>14.898312070704021</v>
      </c>
      <c r="L386" s="134">
        <f t="shared" si="142"/>
        <v>11.187747788488329</v>
      </c>
      <c r="M386" s="134">
        <f t="shared" si="142"/>
        <v>7.4678586978078574</v>
      </c>
      <c r="N386" s="134">
        <f t="shared" si="142"/>
        <v>3.7386182972688484</v>
      </c>
      <c r="O386" s="134">
        <f t="shared" si="142"/>
        <v>0</v>
      </c>
      <c r="P386" s="134">
        <f t="shared" si="142"/>
        <v>-3.7480228666564028</v>
      </c>
      <c r="Q386" s="134">
        <f t="shared" si="142"/>
        <v>-7.5054770614543598</v>
      </c>
      <c r="R386" s="134">
        <f t="shared" si="142"/>
        <v>-11.272389429555311</v>
      </c>
      <c r="S386" s="134">
        <f t="shared" si="142"/>
        <v>-15.048786902840661</v>
      </c>
      <c r="T386" s="134">
        <f t="shared" si="142"/>
        <v>-18.834696500225348</v>
      </c>
      <c r="U386" s="134">
        <f t="shared" si="142"/>
        <v>-22.630145327972777</v>
      </c>
      <c r="V386" s="134">
        <f t="shared" si="142"/>
        <v>-26.435160580010905</v>
      </c>
      <c r="W386" s="134">
        <f t="shared" si="142"/>
        <v>-30.249769538249616</v>
      </c>
      <c r="X386" s="134">
        <f t="shared" si="142"/>
        <v>-34.073999572899538</v>
      </c>
      <c r="Y386" s="134">
        <f t="shared" si="142"/>
        <v>-37.907878142791759</v>
      </c>
      <c r="Z386" s="134">
        <f t="shared" si="142"/>
        <v>-41.751432795699046</v>
      </c>
      <c r="AA386" s="134">
        <f t="shared" si="142"/>
        <v>-45.604691168658228</v>
      </c>
      <c r="AB386" s="134">
        <f t="shared" si="142"/>
        <v>-49.467680988294006</v>
      </c>
      <c r="AC386" s="134">
        <f t="shared" si="142"/>
        <v>-53.34043007114407</v>
      </c>
      <c r="AD386" s="134">
        <f t="shared" si="142"/>
        <v>-57.222966323985069</v>
      </c>
      <c r="AE386" s="134">
        <f t="shared" si="142"/>
        <v>-61.115317744160379</v>
      </c>
      <c r="AF386" s="134">
        <f t="shared" si="142"/>
        <v>-65.017512419909025</v>
      </c>
      <c r="AG386" s="134">
        <f t="shared" si="142"/>
        <v>-68.929578530695807</v>
      </c>
      <c r="AH386" s="134">
        <f t="shared" si="142"/>
        <v>-72.851544347542841</v>
      </c>
      <c r="AI386" s="134">
        <f t="shared" si="142"/>
        <v>-76.78343823336219</v>
      </c>
      <c r="AJ386" s="134">
        <f t="shared" si="142"/>
        <v>-80.720303255902749</v>
      </c>
      <c r="AK386" s="134">
        <f t="shared" si="142"/>
        <v>-84.657168278443308</v>
      </c>
      <c r="AL386" s="134">
        <f t="shared" si="142"/>
        <v>-88.594033300983867</v>
      </c>
      <c r="AM386" s="134">
        <f t="shared" si="142"/>
        <v>-92.530898323524426</v>
      </c>
      <c r="AN386" s="134">
        <f t="shared" si="142"/>
        <v>-96.467763346064984</v>
      </c>
      <c r="AO386" s="134">
        <f t="shared" si="142"/>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5">
      <c r="A387" s="102"/>
      <c r="B387" s="112" t="s">
        <v>107</v>
      </c>
      <c r="C387" s="135"/>
      <c r="D387" s="134">
        <f t="shared" ref="D387:AO387" si="143">IF(D$373=$B387,0,IF(D$373&gt;$B387,-0.5*D$371-0.5*C$371+C387,0.5*HLOOKUP($B387,$D$370:$AO$371,2,FALSE)+0.5*HLOOKUP($B386,$D$370:$AO$371,2,FALSE)+D386))</f>
        <v>35.230333568840742</v>
      </c>
      <c r="E387" s="134">
        <f t="shared" si="143"/>
        <v>35.230333568840742</v>
      </c>
      <c r="F387" s="134">
        <f t="shared" si="143"/>
        <v>35.230333568840742</v>
      </c>
      <c r="G387" s="134">
        <f t="shared" si="143"/>
        <v>33.395871034922138</v>
      </c>
      <c r="H387" s="134">
        <f t="shared" si="143"/>
        <v>29.722342671441968</v>
      </c>
      <c r="I387" s="134">
        <f t="shared" si="143"/>
        <v>26.039594656428438</v>
      </c>
      <c r="J387" s="134">
        <f t="shared" si="143"/>
        <v>22.347600827335018</v>
      </c>
      <c r="K387" s="134">
        <f t="shared" si="143"/>
        <v>18.646334937360425</v>
      </c>
      <c r="L387" s="134">
        <f t="shared" si="143"/>
        <v>14.935770655144731</v>
      </c>
      <c r="M387" s="134">
        <f t="shared" si="143"/>
        <v>11.21588156446426</v>
      </c>
      <c r="N387" s="134">
        <f t="shared" si="143"/>
        <v>7.4866411639252508</v>
      </c>
      <c r="O387" s="134">
        <f t="shared" si="143"/>
        <v>3.7480228666564028</v>
      </c>
      <c r="P387" s="134">
        <f t="shared" si="143"/>
        <v>0</v>
      </c>
      <c r="Q387" s="134">
        <f t="shared" si="143"/>
        <v>-3.7574541947979569</v>
      </c>
      <c r="R387" s="134">
        <f t="shared" si="143"/>
        <v>-7.5243665628989085</v>
      </c>
      <c r="S387" s="134">
        <f t="shared" si="143"/>
        <v>-11.300764036184258</v>
      </c>
      <c r="T387" s="134">
        <f t="shared" si="143"/>
        <v>-15.086673633568944</v>
      </c>
      <c r="U387" s="134">
        <f t="shared" si="143"/>
        <v>-18.882122461316371</v>
      </c>
      <c r="V387" s="134">
        <f t="shared" si="143"/>
        <v>-22.687137713354499</v>
      </c>
      <c r="W387" s="134">
        <f t="shared" si="143"/>
        <v>-26.50174667159321</v>
      </c>
      <c r="X387" s="134">
        <f t="shared" si="143"/>
        <v>-30.325976706243136</v>
      </c>
      <c r="Y387" s="134">
        <f t="shared" si="143"/>
        <v>-34.15985527613536</v>
      </c>
      <c r="Z387" s="134">
        <f t="shared" si="143"/>
        <v>-38.003409929042647</v>
      </c>
      <c r="AA387" s="134">
        <f t="shared" si="143"/>
        <v>-41.856668302001829</v>
      </c>
      <c r="AB387" s="134">
        <f t="shared" si="143"/>
        <v>-45.719658121637607</v>
      </c>
      <c r="AC387" s="134">
        <f t="shared" si="143"/>
        <v>-49.592407204487671</v>
      </c>
      <c r="AD387" s="134">
        <f t="shared" si="143"/>
        <v>-53.474943457328671</v>
      </c>
      <c r="AE387" s="134">
        <f t="shared" si="143"/>
        <v>-57.36729487750398</v>
      </c>
      <c r="AF387" s="134">
        <f t="shared" si="143"/>
        <v>-61.269489553252626</v>
      </c>
      <c r="AG387" s="134">
        <f t="shared" si="143"/>
        <v>-65.181555664039408</v>
      </c>
      <c r="AH387" s="134">
        <f t="shared" si="143"/>
        <v>-69.103521480886442</v>
      </c>
      <c r="AI387" s="134">
        <f t="shared" si="143"/>
        <v>-73.035415366705791</v>
      </c>
      <c r="AJ387" s="134">
        <f t="shared" si="143"/>
        <v>-76.97228038924635</v>
      </c>
      <c r="AK387" s="134">
        <f t="shared" si="143"/>
        <v>-80.909145411786909</v>
      </c>
      <c r="AL387" s="134">
        <f t="shared" si="143"/>
        <v>-84.846010434327468</v>
      </c>
      <c r="AM387" s="134">
        <f t="shared" si="143"/>
        <v>-88.782875456868027</v>
      </c>
      <c r="AN387" s="134">
        <f t="shared" si="143"/>
        <v>-92.719740479408586</v>
      </c>
      <c r="AO387" s="134">
        <f t="shared" si="143"/>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5">
      <c r="A388" s="102"/>
      <c r="B388" s="112" t="s">
        <v>108</v>
      </c>
      <c r="C388" s="135"/>
      <c r="D388" s="134">
        <f t="shared" ref="D388:AO388" si="144">IF(D$373=$B388,0,IF(D$373&gt;$B388,-0.5*D$371-0.5*C$371+C388,0.5*HLOOKUP($B388,$D$370:$AO$371,2,FALSE)+0.5*HLOOKUP($B387,$D$370:$AO$371,2,FALSE)+D387))</f>
        <v>38.9877877636387</v>
      </c>
      <c r="E388" s="134">
        <f t="shared" si="144"/>
        <v>38.9877877636387</v>
      </c>
      <c r="F388" s="134">
        <f t="shared" si="144"/>
        <v>38.9877877636387</v>
      </c>
      <c r="G388" s="134">
        <f t="shared" si="144"/>
        <v>37.153325229720096</v>
      </c>
      <c r="H388" s="134">
        <f t="shared" si="144"/>
        <v>33.479796866239923</v>
      </c>
      <c r="I388" s="134">
        <f t="shared" si="144"/>
        <v>29.797048851226396</v>
      </c>
      <c r="J388" s="134">
        <f t="shared" si="144"/>
        <v>26.105055022132976</v>
      </c>
      <c r="K388" s="134">
        <f t="shared" si="144"/>
        <v>22.403789132158384</v>
      </c>
      <c r="L388" s="134">
        <f t="shared" si="144"/>
        <v>18.693224849942688</v>
      </c>
      <c r="M388" s="134">
        <f t="shared" si="144"/>
        <v>14.973335759262216</v>
      </c>
      <c r="N388" s="134">
        <f t="shared" si="144"/>
        <v>11.244095358723207</v>
      </c>
      <c r="O388" s="134">
        <f t="shared" si="144"/>
        <v>7.5054770614543598</v>
      </c>
      <c r="P388" s="134">
        <f t="shared" si="144"/>
        <v>3.7574541947979569</v>
      </c>
      <c r="Q388" s="134">
        <f t="shared" si="144"/>
        <v>0</v>
      </c>
      <c r="R388" s="134">
        <f t="shared" si="144"/>
        <v>-3.766912368100952</v>
      </c>
      <c r="S388" s="134">
        <f t="shared" si="144"/>
        <v>-7.5433098413863018</v>
      </c>
      <c r="T388" s="134">
        <f t="shared" si="144"/>
        <v>-11.329219438770988</v>
      </c>
      <c r="U388" s="134">
        <f t="shared" si="144"/>
        <v>-15.124668266518416</v>
      </c>
      <c r="V388" s="134">
        <f t="shared" si="144"/>
        <v>-18.929683518556544</v>
      </c>
      <c r="W388" s="134">
        <f t="shared" si="144"/>
        <v>-22.744292476795255</v>
      </c>
      <c r="X388" s="134">
        <f t="shared" si="144"/>
        <v>-26.568522511445181</v>
      </c>
      <c r="Y388" s="134">
        <f t="shared" si="144"/>
        <v>-30.402401081337402</v>
      </c>
      <c r="Z388" s="134">
        <f t="shared" si="144"/>
        <v>-34.245955734244689</v>
      </c>
      <c r="AA388" s="134">
        <f t="shared" si="144"/>
        <v>-38.099214107203871</v>
      </c>
      <c r="AB388" s="134">
        <f t="shared" si="144"/>
        <v>-41.962203926839649</v>
      </c>
      <c r="AC388" s="134">
        <f t="shared" si="144"/>
        <v>-45.834953009689713</v>
      </c>
      <c r="AD388" s="134">
        <f t="shared" si="144"/>
        <v>-49.717489262530712</v>
      </c>
      <c r="AE388" s="134">
        <f t="shared" si="144"/>
        <v>-53.609840682706022</v>
      </c>
      <c r="AF388" s="134">
        <f t="shared" si="144"/>
        <v>-57.512035358454668</v>
      </c>
      <c r="AG388" s="134">
        <f t="shared" si="144"/>
        <v>-61.424101469241457</v>
      </c>
      <c r="AH388" s="134">
        <f t="shared" si="144"/>
        <v>-65.346067286088498</v>
      </c>
      <c r="AI388" s="134">
        <f t="shared" si="144"/>
        <v>-69.277961171907847</v>
      </c>
      <c r="AJ388" s="134">
        <f t="shared" si="144"/>
        <v>-73.214826194448406</v>
      </c>
      <c r="AK388" s="134">
        <f t="shared" si="144"/>
        <v>-77.151691216988965</v>
      </c>
      <c r="AL388" s="134">
        <f t="shared" si="144"/>
        <v>-81.088556239529524</v>
      </c>
      <c r="AM388" s="134">
        <f t="shared" si="144"/>
        <v>-85.025421262070083</v>
      </c>
      <c r="AN388" s="134">
        <f t="shared" si="144"/>
        <v>-88.962286284610641</v>
      </c>
      <c r="AO388" s="134">
        <f t="shared" si="144"/>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5">
      <c r="A389" s="102"/>
      <c r="B389" s="112" t="s">
        <v>109</v>
      </c>
      <c r="C389" s="135"/>
      <c r="D389" s="134">
        <f t="shared" ref="D389:AO389" si="145">IF(D$373=$B389,0,IF(D$373&gt;$B389,-0.5*D$371-0.5*C$371+C389,0.5*HLOOKUP($B389,$D$370:$AO$371,2,FALSE)+0.5*HLOOKUP($B388,$D$370:$AO$371,2,FALSE)+D388))</f>
        <v>42.754700131739654</v>
      </c>
      <c r="E389" s="134">
        <f t="shared" si="145"/>
        <v>42.754700131739654</v>
      </c>
      <c r="F389" s="134">
        <f t="shared" si="145"/>
        <v>42.754700131739654</v>
      </c>
      <c r="G389" s="134">
        <f t="shared" si="145"/>
        <v>40.92023759782105</v>
      </c>
      <c r="H389" s="134">
        <f t="shared" si="145"/>
        <v>37.246709234340877</v>
      </c>
      <c r="I389" s="134">
        <f t="shared" si="145"/>
        <v>33.563961219327346</v>
      </c>
      <c r="J389" s="134">
        <f t="shared" si="145"/>
        <v>29.871967390233927</v>
      </c>
      <c r="K389" s="134">
        <f t="shared" si="145"/>
        <v>26.170701500259334</v>
      </c>
      <c r="L389" s="134">
        <f t="shared" si="145"/>
        <v>22.460137218043641</v>
      </c>
      <c r="M389" s="134">
        <f t="shared" si="145"/>
        <v>18.740248127363166</v>
      </c>
      <c r="N389" s="134">
        <f t="shared" si="145"/>
        <v>15.011007726824159</v>
      </c>
      <c r="O389" s="134">
        <f t="shared" si="145"/>
        <v>11.272389429555311</v>
      </c>
      <c r="P389" s="134">
        <f t="shared" si="145"/>
        <v>7.5243665628989085</v>
      </c>
      <c r="Q389" s="134">
        <f t="shared" si="145"/>
        <v>3.766912368100952</v>
      </c>
      <c r="R389" s="134">
        <f t="shared" si="145"/>
        <v>0</v>
      </c>
      <c r="S389" s="134">
        <f t="shared" si="145"/>
        <v>-3.7763974732853502</v>
      </c>
      <c r="T389" s="134">
        <f t="shared" si="145"/>
        <v>-7.5623070706700357</v>
      </c>
      <c r="U389" s="134">
        <f t="shared" si="145"/>
        <v>-11.357755898417462</v>
      </c>
      <c r="V389" s="134">
        <f t="shared" si="145"/>
        <v>-15.16277115045559</v>
      </c>
      <c r="W389" s="134">
        <f t="shared" si="145"/>
        <v>-18.977380108694302</v>
      </c>
      <c r="X389" s="134">
        <f t="shared" si="145"/>
        <v>-22.801610143344227</v>
      </c>
      <c r="Y389" s="134">
        <f t="shared" si="145"/>
        <v>-26.635488713236448</v>
      </c>
      <c r="Z389" s="134">
        <f t="shared" si="145"/>
        <v>-30.479043366143735</v>
      </c>
      <c r="AA389" s="134">
        <f t="shared" si="145"/>
        <v>-34.332301739102917</v>
      </c>
      <c r="AB389" s="134">
        <f t="shared" si="145"/>
        <v>-38.195291558738695</v>
      </c>
      <c r="AC389" s="134">
        <f t="shared" si="145"/>
        <v>-42.068040641588759</v>
      </c>
      <c r="AD389" s="134">
        <f t="shared" si="145"/>
        <v>-45.950576894429759</v>
      </c>
      <c r="AE389" s="134">
        <f t="shared" si="145"/>
        <v>-49.842928314605068</v>
      </c>
      <c r="AF389" s="134">
        <f t="shared" si="145"/>
        <v>-53.745122990353714</v>
      </c>
      <c r="AG389" s="134">
        <f t="shared" si="145"/>
        <v>-57.657189101140503</v>
      </c>
      <c r="AH389" s="134">
        <f t="shared" si="145"/>
        <v>-61.579154917987545</v>
      </c>
      <c r="AI389" s="134">
        <f t="shared" si="145"/>
        <v>-65.511048803806887</v>
      </c>
      <c r="AJ389" s="134">
        <f t="shared" si="145"/>
        <v>-69.447913826347445</v>
      </c>
      <c r="AK389" s="134">
        <f t="shared" si="145"/>
        <v>-73.384778848888004</v>
      </c>
      <c r="AL389" s="134">
        <f t="shared" si="145"/>
        <v>-77.321643871428563</v>
      </c>
      <c r="AM389" s="134">
        <f t="shared" si="145"/>
        <v>-81.258508893969122</v>
      </c>
      <c r="AN389" s="134">
        <f t="shared" si="145"/>
        <v>-85.195373916509681</v>
      </c>
      <c r="AO389" s="134">
        <f t="shared" si="145"/>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5">
      <c r="A390" s="102"/>
      <c r="B390" s="112" t="s">
        <v>110</v>
      </c>
      <c r="C390" s="135"/>
      <c r="D390" s="134">
        <f t="shared" ref="D390:AO390" si="146">IF(D$373=$B390,0,IF(D$373&gt;$B390,-0.5*D$371-0.5*C$371+C390,0.5*HLOOKUP($B390,$D$370:$AO$371,2,FALSE)+0.5*HLOOKUP($B389,$D$370:$AO$371,2,FALSE)+D389))</f>
        <v>46.531097605025003</v>
      </c>
      <c r="E390" s="134">
        <f t="shared" si="146"/>
        <v>46.531097605025003</v>
      </c>
      <c r="F390" s="134">
        <f t="shared" si="146"/>
        <v>46.531097605025003</v>
      </c>
      <c r="G390" s="134">
        <f t="shared" si="146"/>
        <v>44.6966350711064</v>
      </c>
      <c r="H390" s="134">
        <f t="shared" si="146"/>
        <v>41.023106707626226</v>
      </c>
      <c r="I390" s="134">
        <f t="shared" si="146"/>
        <v>37.340358692612696</v>
      </c>
      <c r="J390" s="134">
        <f t="shared" si="146"/>
        <v>33.648364863519276</v>
      </c>
      <c r="K390" s="134">
        <f t="shared" si="146"/>
        <v>29.947098973544684</v>
      </c>
      <c r="L390" s="134">
        <f t="shared" si="146"/>
        <v>26.236534691328991</v>
      </c>
      <c r="M390" s="134">
        <f t="shared" si="146"/>
        <v>22.516645600648516</v>
      </c>
      <c r="N390" s="134">
        <f t="shared" si="146"/>
        <v>18.787405200109511</v>
      </c>
      <c r="O390" s="134">
        <f t="shared" si="146"/>
        <v>15.048786902840661</v>
      </c>
      <c r="P390" s="134">
        <f t="shared" si="146"/>
        <v>11.300764036184258</v>
      </c>
      <c r="Q390" s="134">
        <f t="shared" si="146"/>
        <v>7.5433098413863018</v>
      </c>
      <c r="R390" s="134">
        <f t="shared" si="146"/>
        <v>3.7763974732853502</v>
      </c>
      <c r="S390" s="134">
        <f t="shared" si="146"/>
        <v>0</v>
      </c>
      <c r="T390" s="134">
        <f t="shared" si="146"/>
        <v>-3.7859095973846859</v>
      </c>
      <c r="U390" s="134">
        <f t="shared" si="146"/>
        <v>-7.5813584251321133</v>
      </c>
      <c r="V390" s="134">
        <f t="shared" si="146"/>
        <v>-11.386373677170242</v>
      </c>
      <c r="W390" s="134">
        <f t="shared" si="146"/>
        <v>-15.200982635408952</v>
      </c>
      <c r="X390" s="134">
        <f t="shared" si="146"/>
        <v>-19.025212670058878</v>
      </c>
      <c r="Y390" s="134">
        <f t="shared" si="146"/>
        <v>-22.859091239951098</v>
      </c>
      <c r="Z390" s="134">
        <f t="shared" si="146"/>
        <v>-26.702645892858385</v>
      </c>
      <c r="AA390" s="134">
        <f t="shared" si="146"/>
        <v>-30.555904265817567</v>
      </c>
      <c r="AB390" s="134">
        <f t="shared" si="146"/>
        <v>-34.418894085453346</v>
      </c>
      <c r="AC390" s="134">
        <f t="shared" si="146"/>
        <v>-38.291643168303409</v>
      </c>
      <c r="AD390" s="134">
        <f t="shared" si="146"/>
        <v>-42.174179421144409</v>
      </c>
      <c r="AE390" s="134">
        <f t="shared" si="146"/>
        <v>-46.066530841319718</v>
      </c>
      <c r="AF390" s="134">
        <f t="shared" si="146"/>
        <v>-49.968725517068364</v>
      </c>
      <c r="AG390" s="134">
        <f t="shared" si="146"/>
        <v>-53.880791627855153</v>
      </c>
      <c r="AH390" s="134">
        <f t="shared" si="146"/>
        <v>-57.802757444702195</v>
      </c>
      <c r="AI390" s="134">
        <f t="shared" si="146"/>
        <v>-61.734651330521537</v>
      </c>
      <c r="AJ390" s="134">
        <f t="shared" si="146"/>
        <v>-65.671516353062088</v>
      </c>
      <c r="AK390" s="134">
        <f t="shared" si="146"/>
        <v>-69.608381375602647</v>
      </c>
      <c r="AL390" s="134">
        <f t="shared" si="146"/>
        <v>-73.545246398143206</v>
      </c>
      <c r="AM390" s="134">
        <f t="shared" si="146"/>
        <v>-77.482111420683765</v>
      </c>
      <c r="AN390" s="134">
        <f t="shared" si="146"/>
        <v>-81.418976443224324</v>
      </c>
      <c r="AO390" s="134">
        <f t="shared" si="146"/>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5">
      <c r="A391" s="102"/>
      <c r="B391" s="112" t="s">
        <v>111</v>
      </c>
      <c r="C391" s="135"/>
      <c r="D391" s="134">
        <f t="shared" ref="D391:AO391" si="147">IF(D$373=$B391,0,IF(D$373&gt;$B391,-0.5*D$371-0.5*C$371+C391,0.5*HLOOKUP($B391,$D$370:$AO$371,2,FALSE)+0.5*HLOOKUP($B390,$D$370:$AO$371,2,FALSE)+D390))</f>
        <v>50.317007202409691</v>
      </c>
      <c r="E391" s="134">
        <f t="shared" si="147"/>
        <v>50.317007202409691</v>
      </c>
      <c r="F391" s="134">
        <f t="shared" si="147"/>
        <v>50.317007202409691</v>
      </c>
      <c r="G391" s="134">
        <f t="shared" si="147"/>
        <v>48.482544668491087</v>
      </c>
      <c r="H391" s="134">
        <f t="shared" si="147"/>
        <v>44.809016305010914</v>
      </c>
      <c r="I391" s="134">
        <f t="shared" si="147"/>
        <v>41.126268289997384</v>
      </c>
      <c r="J391" s="134">
        <f t="shared" si="147"/>
        <v>37.434274460903964</v>
      </c>
      <c r="K391" s="134">
        <f t="shared" si="147"/>
        <v>33.733008570929371</v>
      </c>
      <c r="L391" s="134">
        <f t="shared" si="147"/>
        <v>30.022444288713679</v>
      </c>
      <c r="M391" s="134">
        <f t="shared" si="147"/>
        <v>26.302555198033204</v>
      </c>
      <c r="N391" s="134">
        <f t="shared" si="147"/>
        <v>22.573314797494199</v>
      </c>
      <c r="O391" s="134">
        <f t="shared" si="147"/>
        <v>18.834696500225348</v>
      </c>
      <c r="P391" s="134">
        <f t="shared" si="147"/>
        <v>15.086673633568944</v>
      </c>
      <c r="Q391" s="134">
        <f t="shared" si="147"/>
        <v>11.329219438770988</v>
      </c>
      <c r="R391" s="134">
        <f t="shared" si="147"/>
        <v>7.5623070706700357</v>
      </c>
      <c r="S391" s="134">
        <f t="shared" si="147"/>
        <v>3.7859095973846859</v>
      </c>
      <c r="T391" s="134">
        <f t="shared" si="147"/>
        <v>0</v>
      </c>
      <c r="U391" s="134">
        <f t="shared" si="147"/>
        <v>-3.7954488277474274</v>
      </c>
      <c r="V391" s="134">
        <f t="shared" si="147"/>
        <v>-7.6004640797855565</v>
      </c>
      <c r="W391" s="134">
        <f t="shared" si="147"/>
        <v>-11.415073038024268</v>
      </c>
      <c r="X391" s="134">
        <f t="shared" si="147"/>
        <v>-15.239303072674193</v>
      </c>
      <c r="Y391" s="134">
        <f t="shared" si="147"/>
        <v>-19.073181642566418</v>
      </c>
      <c r="Z391" s="134">
        <f t="shared" si="147"/>
        <v>-22.916736295473704</v>
      </c>
      <c r="AA391" s="134">
        <f t="shared" si="147"/>
        <v>-26.769994668432886</v>
      </c>
      <c r="AB391" s="134">
        <f t="shared" si="147"/>
        <v>-30.632984488068665</v>
      </c>
      <c r="AC391" s="134">
        <f t="shared" si="147"/>
        <v>-34.505733570918729</v>
      </c>
      <c r="AD391" s="134">
        <f t="shared" si="147"/>
        <v>-38.388269823759728</v>
      </c>
      <c r="AE391" s="134">
        <f t="shared" si="147"/>
        <v>-42.280621243935038</v>
      </c>
      <c r="AF391" s="134">
        <f t="shared" si="147"/>
        <v>-46.182815919683684</v>
      </c>
      <c r="AG391" s="134">
        <f t="shared" si="147"/>
        <v>-50.094882030470473</v>
      </c>
      <c r="AH391" s="134">
        <f t="shared" si="147"/>
        <v>-54.016847847317514</v>
      </c>
      <c r="AI391" s="134">
        <f t="shared" si="147"/>
        <v>-57.948741733136856</v>
      </c>
      <c r="AJ391" s="134">
        <f t="shared" si="147"/>
        <v>-61.885606755677415</v>
      </c>
      <c r="AK391" s="134">
        <f t="shared" si="147"/>
        <v>-65.822471778217974</v>
      </c>
      <c r="AL391" s="134">
        <f t="shared" si="147"/>
        <v>-69.759336800758533</v>
      </c>
      <c r="AM391" s="134">
        <f t="shared" si="147"/>
        <v>-73.696201823299091</v>
      </c>
      <c r="AN391" s="134">
        <f t="shared" si="147"/>
        <v>-77.63306684583965</v>
      </c>
      <c r="AO391" s="134">
        <f t="shared" si="147"/>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5">
      <c r="A392" s="102"/>
      <c r="B392" s="112" t="s">
        <v>112</v>
      </c>
      <c r="C392" s="135"/>
      <c r="D392" s="134">
        <f t="shared" ref="D392:AO392" si="148">IF(D$373=$B392,0,IF(D$373&gt;$B392,-0.5*D$371-0.5*C$371+C392,0.5*HLOOKUP($B392,$D$370:$AO$371,2,FALSE)+0.5*HLOOKUP($B391,$D$370:$AO$371,2,FALSE)+D391))</f>
        <v>54.112456030157119</v>
      </c>
      <c r="E392" s="134">
        <f t="shared" si="148"/>
        <v>54.112456030157119</v>
      </c>
      <c r="F392" s="134">
        <f t="shared" si="148"/>
        <v>54.112456030157119</v>
      </c>
      <c r="G392" s="134">
        <f t="shared" si="148"/>
        <v>52.277993496238516</v>
      </c>
      <c r="H392" s="134">
        <f t="shared" si="148"/>
        <v>48.604465132758342</v>
      </c>
      <c r="I392" s="134">
        <f t="shared" si="148"/>
        <v>44.921717117744812</v>
      </c>
      <c r="J392" s="134">
        <f t="shared" si="148"/>
        <v>41.229723288651392</v>
      </c>
      <c r="K392" s="134">
        <f t="shared" si="148"/>
        <v>37.5284573986768</v>
      </c>
      <c r="L392" s="134">
        <f t="shared" si="148"/>
        <v>33.817893116461107</v>
      </c>
      <c r="M392" s="134">
        <f t="shared" si="148"/>
        <v>30.098004025780632</v>
      </c>
      <c r="N392" s="134">
        <f t="shared" si="148"/>
        <v>26.368763625241627</v>
      </c>
      <c r="O392" s="134">
        <f t="shared" si="148"/>
        <v>22.630145327972777</v>
      </c>
      <c r="P392" s="134">
        <f t="shared" si="148"/>
        <v>18.882122461316371</v>
      </c>
      <c r="Q392" s="134">
        <f t="shared" si="148"/>
        <v>15.124668266518416</v>
      </c>
      <c r="R392" s="134">
        <f t="shared" si="148"/>
        <v>11.357755898417462</v>
      </c>
      <c r="S392" s="134">
        <f t="shared" si="148"/>
        <v>7.5813584251321133</v>
      </c>
      <c r="T392" s="134">
        <f t="shared" si="148"/>
        <v>3.7954488277474274</v>
      </c>
      <c r="U392" s="134">
        <f t="shared" si="148"/>
        <v>0</v>
      </c>
      <c r="V392" s="134">
        <f t="shared" si="148"/>
        <v>-3.8050152520381291</v>
      </c>
      <c r="W392" s="134">
        <f t="shared" si="148"/>
        <v>-7.6196242102768394</v>
      </c>
      <c r="X392" s="134">
        <f t="shared" si="148"/>
        <v>-11.443854244926765</v>
      </c>
      <c r="Y392" s="134">
        <f t="shared" si="148"/>
        <v>-15.277732814818988</v>
      </c>
      <c r="Z392" s="134">
        <f t="shared" si="148"/>
        <v>-19.121287467726273</v>
      </c>
      <c r="AA392" s="134">
        <f t="shared" si="148"/>
        <v>-22.974545840685455</v>
      </c>
      <c r="AB392" s="134">
        <f t="shared" si="148"/>
        <v>-26.837535660321233</v>
      </c>
      <c r="AC392" s="134">
        <f t="shared" si="148"/>
        <v>-30.710284743171297</v>
      </c>
      <c r="AD392" s="134">
        <f t="shared" si="148"/>
        <v>-34.5928209960123</v>
      </c>
      <c r="AE392" s="134">
        <f t="shared" si="148"/>
        <v>-38.485172416187609</v>
      </c>
      <c r="AF392" s="134">
        <f t="shared" si="148"/>
        <v>-42.387367091936255</v>
      </c>
      <c r="AG392" s="134">
        <f t="shared" si="148"/>
        <v>-46.299433202723044</v>
      </c>
      <c r="AH392" s="134">
        <f t="shared" si="148"/>
        <v>-50.221399019570086</v>
      </c>
      <c r="AI392" s="134">
        <f t="shared" si="148"/>
        <v>-54.153292905389428</v>
      </c>
      <c r="AJ392" s="134">
        <f t="shared" si="148"/>
        <v>-58.090157927929987</v>
      </c>
      <c r="AK392" s="134">
        <f t="shared" si="148"/>
        <v>-62.027022950470545</v>
      </c>
      <c r="AL392" s="134">
        <f t="shared" si="148"/>
        <v>-65.963887973011097</v>
      </c>
      <c r="AM392" s="134">
        <f t="shared" si="148"/>
        <v>-69.900752995551656</v>
      </c>
      <c r="AN392" s="134">
        <f t="shared" si="148"/>
        <v>-73.837618018092215</v>
      </c>
      <c r="AO392" s="134">
        <f t="shared" si="148"/>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5">
      <c r="A393" s="102"/>
      <c r="B393" s="112" t="s">
        <v>113</v>
      </c>
      <c r="C393" s="135"/>
      <c r="D393" s="134">
        <f t="shared" ref="D393:AO393" si="149">IF(D$373=$B393,0,IF(D$373&gt;$B393,-0.5*D$371-0.5*C$371+C393,0.5*HLOOKUP($B393,$D$370:$AO$371,2,FALSE)+0.5*HLOOKUP($B392,$D$370:$AO$371,2,FALSE)+D392))</f>
        <v>57.917471282195251</v>
      </c>
      <c r="E393" s="134">
        <f t="shared" si="149"/>
        <v>57.917471282195251</v>
      </c>
      <c r="F393" s="134">
        <f t="shared" si="149"/>
        <v>57.917471282195251</v>
      </c>
      <c r="G393" s="134">
        <f t="shared" si="149"/>
        <v>56.083008748276647</v>
      </c>
      <c r="H393" s="134">
        <f t="shared" si="149"/>
        <v>52.409480384796474</v>
      </c>
      <c r="I393" s="134">
        <f t="shared" si="149"/>
        <v>48.726732369782944</v>
      </c>
      <c r="J393" s="134">
        <f t="shared" si="149"/>
        <v>45.034738540689524</v>
      </c>
      <c r="K393" s="134">
        <f t="shared" si="149"/>
        <v>41.333472650714931</v>
      </c>
      <c r="L393" s="134">
        <f t="shared" si="149"/>
        <v>37.622908368499239</v>
      </c>
      <c r="M393" s="134">
        <f t="shared" si="149"/>
        <v>33.903019277818764</v>
      </c>
      <c r="N393" s="134">
        <f t="shared" si="149"/>
        <v>30.173778877279755</v>
      </c>
      <c r="O393" s="134">
        <f t="shared" si="149"/>
        <v>26.435160580010905</v>
      </c>
      <c r="P393" s="134">
        <f t="shared" si="149"/>
        <v>22.687137713354499</v>
      </c>
      <c r="Q393" s="134">
        <f t="shared" si="149"/>
        <v>18.929683518556544</v>
      </c>
      <c r="R393" s="134">
        <f t="shared" si="149"/>
        <v>15.16277115045559</v>
      </c>
      <c r="S393" s="134">
        <f t="shared" si="149"/>
        <v>11.386373677170242</v>
      </c>
      <c r="T393" s="134">
        <f t="shared" si="149"/>
        <v>7.6004640797855565</v>
      </c>
      <c r="U393" s="134">
        <f t="shared" si="149"/>
        <v>3.8050152520381291</v>
      </c>
      <c r="V393" s="134">
        <f t="shared" si="149"/>
        <v>0</v>
      </c>
      <c r="W393" s="134">
        <f t="shared" si="149"/>
        <v>-3.8146089582387104</v>
      </c>
      <c r="X393" s="134">
        <f t="shared" si="149"/>
        <v>-7.6388389928886351</v>
      </c>
      <c r="Y393" s="134">
        <f t="shared" si="149"/>
        <v>-11.472717562780858</v>
      </c>
      <c r="Z393" s="134">
        <f t="shared" si="149"/>
        <v>-15.316272215688143</v>
      </c>
      <c r="AA393" s="134">
        <f t="shared" si="149"/>
        <v>-19.169530588647323</v>
      </c>
      <c r="AB393" s="134">
        <f t="shared" si="149"/>
        <v>-23.032520408283101</v>
      </c>
      <c r="AC393" s="134">
        <f t="shared" si="149"/>
        <v>-26.905269491133165</v>
      </c>
      <c r="AD393" s="134">
        <f t="shared" si="149"/>
        <v>-30.787805743974168</v>
      </c>
      <c r="AE393" s="134">
        <f t="shared" si="149"/>
        <v>-34.680157164149477</v>
      </c>
      <c r="AF393" s="134">
        <f t="shared" si="149"/>
        <v>-38.582351839898124</v>
      </c>
      <c r="AG393" s="134">
        <f t="shared" si="149"/>
        <v>-42.494417950684912</v>
      </c>
      <c r="AH393" s="134">
        <f t="shared" si="149"/>
        <v>-46.416383767531954</v>
      </c>
      <c r="AI393" s="134">
        <f t="shared" si="149"/>
        <v>-50.348277653351296</v>
      </c>
      <c r="AJ393" s="134">
        <f t="shared" si="149"/>
        <v>-54.285142675891855</v>
      </c>
      <c r="AK393" s="134">
        <f t="shared" si="149"/>
        <v>-58.222007698432414</v>
      </c>
      <c r="AL393" s="134">
        <f t="shared" si="149"/>
        <v>-62.158872720972973</v>
      </c>
      <c r="AM393" s="134">
        <f t="shared" si="149"/>
        <v>-66.095737743513524</v>
      </c>
      <c r="AN393" s="134">
        <f t="shared" si="149"/>
        <v>-70.032602766054083</v>
      </c>
      <c r="AO393" s="134">
        <f t="shared" si="149"/>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5">
      <c r="A394" s="102"/>
      <c r="B394" s="112" t="s">
        <v>114</v>
      </c>
      <c r="C394" s="135"/>
      <c r="D394" s="134">
        <f t="shared" ref="D394:AO394" si="150">IF(D$373=$B394,0,IF(D$373&gt;$B394,-0.5*D$371-0.5*C$371+C394,0.5*HLOOKUP($B394,$D$370:$AO$371,2,FALSE)+0.5*HLOOKUP($B393,$D$370:$AO$371,2,FALSE)+D393))</f>
        <v>61.732080240433959</v>
      </c>
      <c r="E394" s="134">
        <f t="shared" si="150"/>
        <v>61.732080240433959</v>
      </c>
      <c r="F394" s="134">
        <f t="shared" si="150"/>
        <v>61.732080240433959</v>
      </c>
      <c r="G394" s="134">
        <f t="shared" si="150"/>
        <v>59.897617706515355</v>
      </c>
      <c r="H394" s="134">
        <f t="shared" si="150"/>
        <v>56.224089343035182</v>
      </c>
      <c r="I394" s="134">
        <f t="shared" si="150"/>
        <v>52.541341328021652</v>
      </c>
      <c r="J394" s="134">
        <f t="shared" si="150"/>
        <v>48.849347498928232</v>
      </c>
      <c r="K394" s="134">
        <f t="shared" si="150"/>
        <v>45.148081608953639</v>
      </c>
      <c r="L394" s="134">
        <f t="shared" si="150"/>
        <v>41.437517326737947</v>
      </c>
      <c r="M394" s="134">
        <f t="shared" si="150"/>
        <v>37.717628236057472</v>
      </c>
      <c r="N394" s="134">
        <f t="shared" si="150"/>
        <v>33.988387835518466</v>
      </c>
      <c r="O394" s="134">
        <f t="shared" si="150"/>
        <v>30.249769538249616</v>
      </c>
      <c r="P394" s="134">
        <f t="shared" si="150"/>
        <v>26.50174667159321</v>
      </c>
      <c r="Q394" s="134">
        <f t="shared" si="150"/>
        <v>22.744292476795255</v>
      </c>
      <c r="R394" s="134">
        <f t="shared" si="150"/>
        <v>18.977380108694302</v>
      </c>
      <c r="S394" s="134">
        <f t="shared" si="150"/>
        <v>15.200982635408952</v>
      </c>
      <c r="T394" s="134">
        <f t="shared" si="150"/>
        <v>11.415073038024268</v>
      </c>
      <c r="U394" s="134">
        <f t="shared" si="150"/>
        <v>7.6196242102768394</v>
      </c>
      <c r="V394" s="134">
        <f t="shared" si="150"/>
        <v>3.8146089582387104</v>
      </c>
      <c r="W394" s="134">
        <f t="shared" si="150"/>
        <v>0</v>
      </c>
      <c r="X394" s="134">
        <f t="shared" si="150"/>
        <v>-3.8242300346499247</v>
      </c>
      <c r="Y394" s="134">
        <f t="shared" si="150"/>
        <v>-7.6581086045421474</v>
      </c>
      <c r="Z394" s="134">
        <f t="shared" si="150"/>
        <v>-11.501663257449433</v>
      </c>
      <c r="AA394" s="134">
        <f t="shared" si="150"/>
        <v>-15.354921630408615</v>
      </c>
      <c r="AB394" s="134">
        <f t="shared" si="150"/>
        <v>-19.217911450044394</v>
      </c>
      <c r="AC394" s="134">
        <f t="shared" si="150"/>
        <v>-23.090660532894457</v>
      </c>
      <c r="AD394" s="134">
        <f t="shared" si="150"/>
        <v>-26.97319678573546</v>
      </c>
      <c r="AE394" s="134">
        <f t="shared" si="150"/>
        <v>-30.865548205910766</v>
      </c>
      <c r="AF394" s="134">
        <f t="shared" si="150"/>
        <v>-34.767742881659416</v>
      </c>
      <c r="AG394" s="134">
        <f t="shared" si="150"/>
        <v>-38.679808992446205</v>
      </c>
      <c r="AH394" s="134">
        <f t="shared" si="150"/>
        <v>-42.601774809293246</v>
      </c>
      <c r="AI394" s="134">
        <f t="shared" si="150"/>
        <v>-46.533668695112588</v>
      </c>
      <c r="AJ394" s="134">
        <f t="shared" si="150"/>
        <v>-50.470533717653147</v>
      </c>
      <c r="AK394" s="134">
        <f t="shared" si="150"/>
        <v>-54.407398740193706</v>
      </c>
      <c r="AL394" s="134">
        <f t="shared" si="150"/>
        <v>-58.344263762734265</v>
      </c>
      <c r="AM394" s="134">
        <f t="shared" si="150"/>
        <v>-62.281128785274824</v>
      </c>
      <c r="AN394" s="134">
        <f t="shared" si="150"/>
        <v>-66.217993807815375</v>
      </c>
      <c r="AO394" s="134">
        <f t="shared" si="150"/>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5">
      <c r="A395" s="102"/>
      <c r="B395" s="112" t="s">
        <v>115</v>
      </c>
      <c r="C395" s="135"/>
      <c r="D395" s="134">
        <f t="shared" ref="D395:AO395" si="151">IF(D$373=$B395,0,IF(D$373&gt;$B395,-0.5*D$371-0.5*C$371+C395,0.5*HLOOKUP($B395,$D$370:$AO$371,2,FALSE)+0.5*HLOOKUP($B394,$D$370:$AO$371,2,FALSE)+D394))</f>
        <v>65.556310275083888</v>
      </c>
      <c r="E395" s="134">
        <f t="shared" si="151"/>
        <v>65.556310275083888</v>
      </c>
      <c r="F395" s="134">
        <f t="shared" si="151"/>
        <v>65.556310275083888</v>
      </c>
      <c r="G395" s="134">
        <f t="shared" si="151"/>
        <v>63.721847741165277</v>
      </c>
      <c r="H395" s="134">
        <f t="shared" si="151"/>
        <v>60.048319377685104</v>
      </c>
      <c r="I395" s="134">
        <f t="shared" si="151"/>
        <v>56.365571362671574</v>
      </c>
      <c r="J395" s="134">
        <f t="shared" si="151"/>
        <v>52.673577533578154</v>
      </c>
      <c r="K395" s="134">
        <f t="shared" si="151"/>
        <v>48.972311643603561</v>
      </c>
      <c r="L395" s="134">
        <f t="shared" si="151"/>
        <v>45.261747361387869</v>
      </c>
      <c r="M395" s="134">
        <f t="shared" si="151"/>
        <v>41.541858270707394</v>
      </c>
      <c r="N395" s="134">
        <f t="shared" si="151"/>
        <v>37.812617870168388</v>
      </c>
      <c r="O395" s="134">
        <f t="shared" si="151"/>
        <v>34.073999572899538</v>
      </c>
      <c r="P395" s="134">
        <f t="shared" si="151"/>
        <v>30.325976706243136</v>
      </c>
      <c r="Q395" s="134">
        <f t="shared" si="151"/>
        <v>26.568522511445181</v>
      </c>
      <c r="R395" s="134">
        <f t="shared" si="151"/>
        <v>22.801610143344227</v>
      </c>
      <c r="S395" s="134">
        <f t="shared" si="151"/>
        <v>19.025212670058878</v>
      </c>
      <c r="T395" s="134">
        <f t="shared" si="151"/>
        <v>15.239303072674193</v>
      </c>
      <c r="U395" s="134">
        <f t="shared" si="151"/>
        <v>11.443854244926765</v>
      </c>
      <c r="V395" s="134">
        <f t="shared" si="151"/>
        <v>7.6388389928886351</v>
      </c>
      <c r="W395" s="134">
        <f t="shared" si="151"/>
        <v>3.8242300346499247</v>
      </c>
      <c r="X395" s="134">
        <f t="shared" si="151"/>
        <v>0</v>
      </c>
      <c r="Y395" s="134">
        <f t="shared" si="151"/>
        <v>-3.8338785698922226</v>
      </c>
      <c r="Z395" s="134">
        <f t="shared" si="151"/>
        <v>-7.6774332227995075</v>
      </c>
      <c r="AA395" s="134">
        <f t="shared" si="151"/>
        <v>-11.53069159575869</v>
      </c>
      <c r="AB395" s="134">
        <f t="shared" si="151"/>
        <v>-15.393681415394468</v>
      </c>
      <c r="AC395" s="134">
        <f t="shared" si="151"/>
        <v>-19.266430498244532</v>
      </c>
      <c r="AD395" s="134">
        <f t="shared" si="151"/>
        <v>-23.148966751085535</v>
      </c>
      <c r="AE395" s="134">
        <f t="shared" si="151"/>
        <v>-27.041318171260841</v>
      </c>
      <c r="AF395" s="134">
        <f t="shared" si="151"/>
        <v>-30.943512847009487</v>
      </c>
      <c r="AG395" s="134">
        <f t="shared" si="151"/>
        <v>-34.855578957796276</v>
      </c>
      <c r="AH395" s="134">
        <f t="shared" si="151"/>
        <v>-38.777544774643317</v>
      </c>
      <c r="AI395" s="134">
        <f t="shared" si="151"/>
        <v>-42.709438660462659</v>
      </c>
      <c r="AJ395" s="134">
        <f t="shared" si="151"/>
        <v>-46.646303683003218</v>
      </c>
      <c r="AK395" s="134">
        <f t="shared" si="151"/>
        <v>-50.583168705543777</v>
      </c>
      <c r="AL395" s="134">
        <f t="shared" si="151"/>
        <v>-54.520033728084336</v>
      </c>
      <c r="AM395" s="134">
        <f t="shared" si="151"/>
        <v>-58.456898750624894</v>
      </c>
      <c r="AN395" s="134">
        <f t="shared" si="151"/>
        <v>-62.393763773165453</v>
      </c>
      <c r="AO395" s="134">
        <f t="shared" si="15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5">
      <c r="A396" s="102"/>
      <c r="B396" s="112" t="s">
        <v>116</v>
      </c>
      <c r="C396" s="135"/>
      <c r="D396" s="134">
        <f t="shared" ref="D396:AO396" si="152">IF(D$373=$B396,0,IF(D$373&gt;$B396,-0.5*D$371-0.5*C$371+C396,0.5*HLOOKUP($B396,$D$370:$AO$371,2,FALSE)+0.5*HLOOKUP($B395,$D$370:$AO$371,2,FALSE)+D395))</f>
        <v>69.390188844976109</v>
      </c>
      <c r="E396" s="134">
        <f t="shared" si="152"/>
        <v>69.390188844976109</v>
      </c>
      <c r="F396" s="134">
        <f t="shared" si="152"/>
        <v>69.390188844976109</v>
      </c>
      <c r="G396" s="134">
        <f t="shared" si="152"/>
        <v>67.555726311057498</v>
      </c>
      <c r="H396" s="134">
        <f t="shared" si="152"/>
        <v>63.882197947577325</v>
      </c>
      <c r="I396" s="134">
        <f t="shared" si="152"/>
        <v>60.199449932563795</v>
      </c>
      <c r="J396" s="134">
        <f t="shared" si="152"/>
        <v>56.507456103470375</v>
      </c>
      <c r="K396" s="134">
        <f t="shared" si="152"/>
        <v>52.806190213495782</v>
      </c>
      <c r="L396" s="134">
        <f t="shared" si="152"/>
        <v>49.09562593128009</v>
      </c>
      <c r="M396" s="134">
        <f t="shared" si="152"/>
        <v>45.375736840599615</v>
      </c>
      <c r="N396" s="134">
        <f t="shared" si="152"/>
        <v>41.646496440060609</v>
      </c>
      <c r="O396" s="134">
        <f t="shared" si="152"/>
        <v>37.907878142791759</v>
      </c>
      <c r="P396" s="134">
        <f t="shared" si="152"/>
        <v>34.15985527613536</v>
      </c>
      <c r="Q396" s="134">
        <f t="shared" si="152"/>
        <v>30.402401081337402</v>
      </c>
      <c r="R396" s="134">
        <f t="shared" si="152"/>
        <v>26.635488713236448</v>
      </c>
      <c r="S396" s="134">
        <f t="shared" si="152"/>
        <v>22.859091239951098</v>
      </c>
      <c r="T396" s="134">
        <f t="shared" si="152"/>
        <v>19.073181642566418</v>
      </c>
      <c r="U396" s="134">
        <f t="shared" si="152"/>
        <v>15.277732814818988</v>
      </c>
      <c r="V396" s="134">
        <f t="shared" si="152"/>
        <v>11.472717562780858</v>
      </c>
      <c r="W396" s="134">
        <f t="shared" si="152"/>
        <v>7.6581086045421474</v>
      </c>
      <c r="X396" s="134">
        <f t="shared" si="152"/>
        <v>3.8338785698922226</v>
      </c>
      <c r="Y396" s="134">
        <f t="shared" si="152"/>
        <v>0</v>
      </c>
      <c r="Z396" s="134">
        <f t="shared" si="152"/>
        <v>-3.8435546529072848</v>
      </c>
      <c r="AA396" s="134">
        <f t="shared" si="152"/>
        <v>-7.696813025866466</v>
      </c>
      <c r="AB396" s="134">
        <f t="shared" si="152"/>
        <v>-11.559802845502244</v>
      </c>
      <c r="AC396" s="134">
        <f t="shared" si="152"/>
        <v>-15.432551928352307</v>
      </c>
      <c r="AD396" s="134">
        <f t="shared" si="152"/>
        <v>-19.31508818119331</v>
      </c>
      <c r="AE396" s="134">
        <f t="shared" si="152"/>
        <v>-23.207439601368616</v>
      </c>
      <c r="AF396" s="134">
        <f t="shared" si="152"/>
        <v>-27.109634277117262</v>
      </c>
      <c r="AG396" s="134">
        <f t="shared" si="152"/>
        <v>-31.021700387904048</v>
      </c>
      <c r="AH396" s="134">
        <f t="shared" si="152"/>
        <v>-34.943666204751089</v>
      </c>
      <c r="AI396" s="134">
        <f t="shared" si="152"/>
        <v>-38.875560090570431</v>
      </c>
      <c r="AJ396" s="134">
        <f t="shared" si="152"/>
        <v>-42.81242511311099</v>
      </c>
      <c r="AK396" s="134">
        <f t="shared" si="152"/>
        <v>-46.749290135651549</v>
      </c>
      <c r="AL396" s="134">
        <f t="shared" si="152"/>
        <v>-50.686155158192108</v>
      </c>
      <c r="AM396" s="134">
        <f t="shared" si="152"/>
        <v>-54.623020180732667</v>
      </c>
      <c r="AN396" s="134">
        <f t="shared" si="152"/>
        <v>-58.559885203273225</v>
      </c>
      <c r="AO396" s="134">
        <f t="shared" si="15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5">
      <c r="A397" s="102"/>
      <c r="B397" s="112" t="s">
        <v>117</v>
      </c>
      <c r="C397" s="135"/>
      <c r="D397" s="134">
        <f t="shared" ref="D397:AO397" si="153">IF(D$373=$B397,0,IF(D$373&gt;$B397,-0.5*D$371-0.5*C$371+C397,0.5*HLOOKUP($B397,$D$370:$AO$371,2,FALSE)+0.5*HLOOKUP($B396,$D$370:$AO$371,2,FALSE)+D396))</f>
        <v>73.233743497883395</v>
      </c>
      <c r="E397" s="134">
        <f t="shared" si="153"/>
        <v>73.233743497883395</v>
      </c>
      <c r="F397" s="134">
        <f t="shared" si="153"/>
        <v>73.233743497883395</v>
      </c>
      <c r="G397" s="134">
        <f t="shared" si="153"/>
        <v>71.399280963964785</v>
      </c>
      <c r="H397" s="134">
        <f t="shared" si="153"/>
        <v>67.725752600484611</v>
      </c>
      <c r="I397" s="134">
        <f t="shared" si="153"/>
        <v>64.043004585471081</v>
      </c>
      <c r="J397" s="134">
        <f t="shared" si="153"/>
        <v>60.351010756377661</v>
      </c>
      <c r="K397" s="134">
        <f t="shared" si="153"/>
        <v>56.649744866403068</v>
      </c>
      <c r="L397" s="134">
        <f t="shared" si="153"/>
        <v>52.939180584187376</v>
      </c>
      <c r="M397" s="134">
        <f t="shared" si="153"/>
        <v>49.219291493506901</v>
      </c>
      <c r="N397" s="134">
        <f t="shared" si="153"/>
        <v>45.490051092967896</v>
      </c>
      <c r="O397" s="134">
        <f t="shared" si="153"/>
        <v>41.751432795699046</v>
      </c>
      <c r="P397" s="134">
        <f t="shared" si="153"/>
        <v>38.003409929042647</v>
      </c>
      <c r="Q397" s="134">
        <f t="shared" si="153"/>
        <v>34.245955734244689</v>
      </c>
      <c r="R397" s="134">
        <f t="shared" si="153"/>
        <v>30.479043366143735</v>
      </c>
      <c r="S397" s="134">
        <f t="shared" si="153"/>
        <v>26.702645892858385</v>
      </c>
      <c r="T397" s="134">
        <f t="shared" si="153"/>
        <v>22.916736295473704</v>
      </c>
      <c r="U397" s="134">
        <f t="shared" si="153"/>
        <v>19.121287467726273</v>
      </c>
      <c r="V397" s="134">
        <f t="shared" si="153"/>
        <v>15.316272215688143</v>
      </c>
      <c r="W397" s="134">
        <f t="shared" si="153"/>
        <v>11.501663257449433</v>
      </c>
      <c r="X397" s="134">
        <f t="shared" si="153"/>
        <v>7.6774332227995075</v>
      </c>
      <c r="Y397" s="134">
        <f t="shared" si="153"/>
        <v>3.8435546529072848</v>
      </c>
      <c r="Z397" s="134">
        <f t="shared" si="153"/>
        <v>0</v>
      </c>
      <c r="AA397" s="134">
        <f t="shared" si="153"/>
        <v>-3.8532583729591812</v>
      </c>
      <c r="AB397" s="134">
        <f t="shared" si="153"/>
        <v>-7.7162481925949589</v>
      </c>
      <c r="AC397" s="134">
        <f t="shared" si="153"/>
        <v>-11.588997275445022</v>
      </c>
      <c r="AD397" s="134">
        <f t="shared" si="153"/>
        <v>-15.471533528286024</v>
      </c>
      <c r="AE397" s="134">
        <f t="shared" si="153"/>
        <v>-19.36388494846133</v>
      </c>
      <c r="AF397" s="134">
        <f t="shared" si="153"/>
        <v>-23.266079624209976</v>
      </c>
      <c r="AG397" s="134">
        <f t="shared" si="153"/>
        <v>-27.178145734996761</v>
      </c>
      <c r="AH397" s="134">
        <f t="shared" si="153"/>
        <v>-31.100111551843799</v>
      </c>
      <c r="AI397" s="134">
        <f t="shared" si="153"/>
        <v>-35.032005437663145</v>
      </c>
      <c r="AJ397" s="134">
        <f t="shared" si="153"/>
        <v>-38.968870460203703</v>
      </c>
      <c r="AK397" s="134">
        <f t="shared" si="153"/>
        <v>-42.905735482744262</v>
      </c>
      <c r="AL397" s="134">
        <f t="shared" si="153"/>
        <v>-46.842600505284821</v>
      </c>
      <c r="AM397" s="134">
        <f t="shared" si="153"/>
        <v>-50.77946552782538</v>
      </c>
      <c r="AN397" s="134">
        <f t="shared" si="153"/>
        <v>-54.716330550365939</v>
      </c>
      <c r="AO397" s="134">
        <f t="shared" si="15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5">
      <c r="A398" s="102"/>
      <c r="B398" s="112" t="s">
        <v>118</v>
      </c>
      <c r="C398" s="135"/>
      <c r="D398" s="134">
        <f t="shared" ref="D398:AO398" si="154">IF(D$373=$B398,0,IF(D$373&gt;$B398,-0.5*D$371-0.5*C$371+C398,0.5*HLOOKUP($B398,$D$370:$AO$371,2,FALSE)+0.5*HLOOKUP($B397,$D$370:$AO$371,2,FALSE)+D397))</f>
        <v>77.08700187084257</v>
      </c>
      <c r="E398" s="134">
        <f t="shared" si="154"/>
        <v>77.08700187084257</v>
      </c>
      <c r="F398" s="134">
        <f t="shared" si="154"/>
        <v>77.08700187084257</v>
      </c>
      <c r="G398" s="134">
        <f t="shared" si="154"/>
        <v>75.252539336923959</v>
      </c>
      <c r="H398" s="134">
        <f t="shared" si="154"/>
        <v>71.579010973443786</v>
      </c>
      <c r="I398" s="134">
        <f t="shared" si="154"/>
        <v>67.896262958430256</v>
      </c>
      <c r="J398" s="134">
        <f t="shared" si="154"/>
        <v>64.204269129336836</v>
      </c>
      <c r="K398" s="134">
        <f t="shared" si="154"/>
        <v>60.503003239362251</v>
      </c>
      <c r="L398" s="134">
        <f t="shared" si="154"/>
        <v>56.792438957146558</v>
      </c>
      <c r="M398" s="134">
        <f t="shared" si="154"/>
        <v>53.072549866466083</v>
      </c>
      <c r="N398" s="134">
        <f t="shared" si="154"/>
        <v>49.343309465927078</v>
      </c>
      <c r="O398" s="134">
        <f t="shared" si="154"/>
        <v>45.604691168658228</v>
      </c>
      <c r="P398" s="134">
        <f t="shared" si="154"/>
        <v>41.856668302001829</v>
      </c>
      <c r="Q398" s="134">
        <f t="shared" si="154"/>
        <v>38.099214107203871</v>
      </c>
      <c r="R398" s="134">
        <f t="shared" si="154"/>
        <v>34.332301739102917</v>
      </c>
      <c r="S398" s="134">
        <f t="shared" si="154"/>
        <v>30.555904265817567</v>
      </c>
      <c r="T398" s="134">
        <f t="shared" si="154"/>
        <v>26.769994668432886</v>
      </c>
      <c r="U398" s="134">
        <f t="shared" si="154"/>
        <v>22.974545840685455</v>
      </c>
      <c r="V398" s="134">
        <f t="shared" si="154"/>
        <v>19.169530588647323</v>
      </c>
      <c r="W398" s="134">
        <f t="shared" si="154"/>
        <v>15.354921630408615</v>
      </c>
      <c r="X398" s="134">
        <f t="shared" si="154"/>
        <v>11.53069159575869</v>
      </c>
      <c r="Y398" s="134">
        <f t="shared" si="154"/>
        <v>7.696813025866466</v>
      </c>
      <c r="Z398" s="134">
        <f t="shared" si="154"/>
        <v>3.8532583729591812</v>
      </c>
      <c r="AA398" s="134">
        <f t="shared" si="154"/>
        <v>0</v>
      </c>
      <c r="AB398" s="134">
        <f t="shared" si="154"/>
        <v>-3.8629898196357777</v>
      </c>
      <c r="AC398" s="134">
        <f t="shared" si="154"/>
        <v>-7.7357389024858412</v>
      </c>
      <c r="AD398" s="134">
        <f t="shared" si="154"/>
        <v>-11.618275155326844</v>
      </c>
      <c r="AE398" s="134">
        <f t="shared" si="154"/>
        <v>-15.510626575502151</v>
      </c>
      <c r="AF398" s="134">
        <f t="shared" si="154"/>
        <v>-19.412821251250797</v>
      </c>
      <c r="AG398" s="134">
        <f t="shared" si="154"/>
        <v>-23.324887362037583</v>
      </c>
      <c r="AH398" s="134">
        <f t="shared" si="154"/>
        <v>-27.246853178884621</v>
      </c>
      <c r="AI398" s="134">
        <f t="shared" si="154"/>
        <v>-31.178747064703966</v>
      </c>
      <c r="AJ398" s="134">
        <f t="shared" si="154"/>
        <v>-35.115612087244521</v>
      </c>
      <c r="AK398" s="134">
        <f t="shared" si="154"/>
        <v>-39.05247710978508</v>
      </c>
      <c r="AL398" s="134">
        <f t="shared" si="154"/>
        <v>-42.989342132325639</v>
      </c>
      <c r="AM398" s="134">
        <f t="shared" si="154"/>
        <v>-46.926207154866198</v>
      </c>
      <c r="AN398" s="134">
        <f t="shared" si="154"/>
        <v>-50.863072177406757</v>
      </c>
      <c r="AO398" s="134">
        <f t="shared" si="154"/>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5">
      <c r="A399" s="102"/>
      <c r="B399" s="112" t="s">
        <v>119</v>
      </c>
      <c r="C399" s="135"/>
      <c r="D399" s="134">
        <f t="shared" ref="D399:AO399" si="155">IF(D$373=$B399,0,IF(D$373&gt;$B399,-0.5*D$371-0.5*C$371+C399,0.5*HLOOKUP($B399,$D$370:$AO$371,2,FALSE)+0.5*HLOOKUP($B398,$D$370:$AO$371,2,FALSE)+D398))</f>
        <v>80.949991690478342</v>
      </c>
      <c r="E399" s="134">
        <f t="shared" si="155"/>
        <v>80.949991690478342</v>
      </c>
      <c r="F399" s="134">
        <f t="shared" si="155"/>
        <v>80.949991690478342</v>
      </c>
      <c r="G399" s="134">
        <f t="shared" si="155"/>
        <v>79.115529156559731</v>
      </c>
      <c r="H399" s="134">
        <f t="shared" si="155"/>
        <v>75.442000793079558</v>
      </c>
      <c r="I399" s="134">
        <f t="shared" si="155"/>
        <v>71.759252778066028</v>
      </c>
      <c r="J399" s="134">
        <f t="shared" si="155"/>
        <v>68.067258948972608</v>
      </c>
      <c r="K399" s="134">
        <f t="shared" si="155"/>
        <v>64.365993058998029</v>
      </c>
      <c r="L399" s="134">
        <f t="shared" si="155"/>
        <v>60.655428776782337</v>
      </c>
      <c r="M399" s="134">
        <f t="shared" si="155"/>
        <v>56.935539686101862</v>
      </c>
      <c r="N399" s="134">
        <f t="shared" si="155"/>
        <v>53.206299285562856</v>
      </c>
      <c r="O399" s="134">
        <f t="shared" si="155"/>
        <v>49.467680988294006</v>
      </c>
      <c r="P399" s="134">
        <f t="shared" si="155"/>
        <v>45.719658121637607</v>
      </c>
      <c r="Q399" s="134">
        <f t="shared" si="155"/>
        <v>41.962203926839649</v>
      </c>
      <c r="R399" s="134">
        <f t="shared" si="155"/>
        <v>38.195291558738695</v>
      </c>
      <c r="S399" s="134">
        <f t="shared" si="155"/>
        <v>34.418894085453346</v>
      </c>
      <c r="T399" s="134">
        <f t="shared" si="155"/>
        <v>30.632984488068665</v>
      </c>
      <c r="U399" s="134">
        <f t="shared" si="155"/>
        <v>26.837535660321233</v>
      </c>
      <c r="V399" s="134">
        <f t="shared" si="155"/>
        <v>23.032520408283101</v>
      </c>
      <c r="W399" s="134">
        <f t="shared" si="155"/>
        <v>19.217911450044394</v>
      </c>
      <c r="X399" s="134">
        <f t="shared" si="155"/>
        <v>15.393681415394468</v>
      </c>
      <c r="Y399" s="134">
        <f t="shared" si="155"/>
        <v>11.559802845502244</v>
      </c>
      <c r="Z399" s="134">
        <f t="shared" si="155"/>
        <v>7.7162481925949589</v>
      </c>
      <c r="AA399" s="134">
        <f t="shared" si="155"/>
        <v>3.8629898196357777</v>
      </c>
      <c r="AB399" s="134">
        <f t="shared" si="155"/>
        <v>0</v>
      </c>
      <c r="AC399" s="134">
        <f t="shared" si="155"/>
        <v>-3.8727490828500635</v>
      </c>
      <c r="AD399" s="134">
        <f t="shared" si="155"/>
        <v>-7.7552853356910658</v>
      </c>
      <c r="AE399" s="134">
        <f t="shared" si="155"/>
        <v>-11.647636755866372</v>
      </c>
      <c r="AF399" s="134">
        <f t="shared" si="155"/>
        <v>-15.549831431615019</v>
      </c>
      <c r="AG399" s="134">
        <f t="shared" si="155"/>
        <v>-19.461897542401804</v>
      </c>
      <c r="AH399" s="134">
        <f t="shared" si="155"/>
        <v>-23.383863359248842</v>
      </c>
      <c r="AI399" s="134">
        <f t="shared" si="155"/>
        <v>-27.315757245068188</v>
      </c>
      <c r="AJ399" s="134">
        <f t="shared" si="155"/>
        <v>-31.252622267608746</v>
      </c>
      <c r="AK399" s="134">
        <f t="shared" si="155"/>
        <v>-35.189487290149302</v>
      </c>
      <c r="AL399" s="134">
        <f t="shared" si="155"/>
        <v>-39.12635231268986</v>
      </c>
      <c r="AM399" s="134">
        <f t="shared" si="155"/>
        <v>-43.063217335230419</v>
      </c>
      <c r="AN399" s="134">
        <f t="shared" si="155"/>
        <v>-47.000082357770978</v>
      </c>
      <c r="AO399" s="134">
        <f t="shared" si="155"/>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5">
      <c r="A400" s="102"/>
      <c r="B400" s="112" t="s">
        <v>120</v>
      </c>
      <c r="C400" s="135"/>
      <c r="D400" s="134">
        <f t="shared" ref="D400:AO400" si="156">IF(D$373=$B400,0,IF(D$373&gt;$B400,-0.5*D$371-0.5*C$371+C400,0.5*HLOOKUP($B400,$D$370:$AO$371,2,FALSE)+0.5*HLOOKUP($B399,$D$370:$AO$371,2,FALSE)+D399))</f>
        <v>84.822740773328405</v>
      </c>
      <c r="E400" s="134">
        <f t="shared" si="156"/>
        <v>84.822740773328405</v>
      </c>
      <c r="F400" s="134">
        <f t="shared" si="156"/>
        <v>84.822740773328405</v>
      </c>
      <c r="G400" s="134">
        <f t="shared" si="156"/>
        <v>82.988278239409794</v>
      </c>
      <c r="H400" s="134">
        <f t="shared" si="156"/>
        <v>79.314749875929621</v>
      </c>
      <c r="I400" s="134">
        <f t="shared" si="156"/>
        <v>75.632001860916091</v>
      </c>
      <c r="J400" s="134">
        <f t="shared" si="156"/>
        <v>71.940008031822671</v>
      </c>
      <c r="K400" s="134">
        <f t="shared" si="156"/>
        <v>68.238742141848093</v>
      </c>
      <c r="L400" s="134">
        <f t="shared" si="156"/>
        <v>64.528177859632393</v>
      </c>
      <c r="M400" s="134">
        <f t="shared" si="156"/>
        <v>60.808288768951925</v>
      </c>
      <c r="N400" s="134">
        <f t="shared" si="156"/>
        <v>57.07904836841292</v>
      </c>
      <c r="O400" s="134">
        <f t="shared" si="156"/>
        <v>53.34043007114407</v>
      </c>
      <c r="P400" s="134">
        <f t="shared" si="156"/>
        <v>49.592407204487671</v>
      </c>
      <c r="Q400" s="134">
        <f t="shared" si="156"/>
        <v>45.834953009689713</v>
      </c>
      <c r="R400" s="134">
        <f t="shared" si="156"/>
        <v>42.068040641588759</v>
      </c>
      <c r="S400" s="134">
        <f t="shared" si="156"/>
        <v>38.291643168303409</v>
      </c>
      <c r="T400" s="134">
        <f t="shared" si="156"/>
        <v>34.505733570918729</v>
      </c>
      <c r="U400" s="134">
        <f t="shared" si="156"/>
        <v>30.710284743171297</v>
      </c>
      <c r="V400" s="134">
        <f t="shared" si="156"/>
        <v>26.905269491133165</v>
      </c>
      <c r="W400" s="134">
        <f t="shared" si="156"/>
        <v>23.090660532894457</v>
      </c>
      <c r="X400" s="134">
        <f t="shared" si="156"/>
        <v>19.266430498244532</v>
      </c>
      <c r="Y400" s="134">
        <f t="shared" si="156"/>
        <v>15.432551928352307</v>
      </c>
      <c r="Z400" s="134">
        <f t="shared" si="156"/>
        <v>11.588997275445022</v>
      </c>
      <c r="AA400" s="134">
        <f t="shared" si="156"/>
        <v>7.7357389024858412</v>
      </c>
      <c r="AB400" s="134">
        <f t="shared" si="156"/>
        <v>3.8727490828500635</v>
      </c>
      <c r="AC400" s="134">
        <f t="shared" si="156"/>
        <v>0</v>
      </c>
      <c r="AD400" s="134">
        <f t="shared" si="156"/>
        <v>-3.8825362528410023</v>
      </c>
      <c r="AE400" s="134">
        <f t="shared" si="156"/>
        <v>-7.774887673016309</v>
      </c>
      <c r="AF400" s="134">
        <f t="shared" si="156"/>
        <v>-11.677082348764955</v>
      </c>
      <c r="AG400" s="134">
        <f t="shared" si="156"/>
        <v>-15.58914845955174</v>
      </c>
      <c r="AH400" s="134">
        <f t="shared" si="156"/>
        <v>-19.511114276398779</v>
      </c>
      <c r="AI400" s="134">
        <f t="shared" si="156"/>
        <v>-23.443008162218124</v>
      </c>
      <c r="AJ400" s="134">
        <f t="shared" si="156"/>
        <v>-27.379873184758683</v>
      </c>
      <c r="AK400" s="134">
        <f t="shared" si="156"/>
        <v>-31.316738207299242</v>
      </c>
      <c r="AL400" s="134">
        <f t="shared" si="156"/>
        <v>-35.253603229839797</v>
      </c>
      <c r="AM400" s="134">
        <f t="shared" si="156"/>
        <v>-39.190468252380356</v>
      </c>
      <c r="AN400" s="134">
        <f t="shared" si="156"/>
        <v>-43.127333274920915</v>
      </c>
      <c r="AO400" s="134">
        <f t="shared" si="156"/>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5">
      <c r="A401" s="102"/>
      <c r="B401" s="112" t="s">
        <v>121</v>
      </c>
      <c r="C401" s="135"/>
      <c r="D401" s="134">
        <f t="shared" ref="D401:AO401" si="157">IF(D$373=$B401,0,IF(D$373&gt;$B401,-0.5*D$371-0.5*C$371+C401,0.5*HLOOKUP($B401,$D$370:$AO$371,2,FALSE)+0.5*HLOOKUP($B400,$D$370:$AO$371,2,FALSE)+D400))</f>
        <v>88.705277026169412</v>
      </c>
      <c r="E401" s="134">
        <f t="shared" si="157"/>
        <v>88.705277026169412</v>
      </c>
      <c r="F401" s="134">
        <f t="shared" si="157"/>
        <v>88.705277026169412</v>
      </c>
      <c r="G401" s="134">
        <f t="shared" si="157"/>
        <v>86.870814492250801</v>
      </c>
      <c r="H401" s="134">
        <f t="shared" si="157"/>
        <v>83.197286128770628</v>
      </c>
      <c r="I401" s="134">
        <f t="shared" si="157"/>
        <v>79.514538113757098</v>
      </c>
      <c r="J401" s="134">
        <f t="shared" si="157"/>
        <v>75.822544284663678</v>
      </c>
      <c r="K401" s="134">
        <f t="shared" si="157"/>
        <v>72.121278394689099</v>
      </c>
      <c r="L401" s="134">
        <f t="shared" si="157"/>
        <v>68.4107141124734</v>
      </c>
      <c r="M401" s="134">
        <f t="shared" si="157"/>
        <v>64.690825021792932</v>
      </c>
      <c r="N401" s="134">
        <f t="shared" si="157"/>
        <v>60.96158462125392</v>
      </c>
      <c r="O401" s="134">
        <f t="shared" si="157"/>
        <v>57.222966323985069</v>
      </c>
      <c r="P401" s="134">
        <f t="shared" si="157"/>
        <v>53.474943457328671</v>
      </c>
      <c r="Q401" s="134">
        <f t="shared" si="157"/>
        <v>49.717489262530712</v>
      </c>
      <c r="R401" s="134">
        <f t="shared" si="157"/>
        <v>45.950576894429759</v>
      </c>
      <c r="S401" s="134">
        <f t="shared" si="157"/>
        <v>42.174179421144409</v>
      </c>
      <c r="T401" s="134">
        <f t="shared" si="157"/>
        <v>38.388269823759728</v>
      </c>
      <c r="U401" s="134">
        <f t="shared" si="157"/>
        <v>34.5928209960123</v>
      </c>
      <c r="V401" s="134">
        <f t="shared" si="157"/>
        <v>30.787805743974168</v>
      </c>
      <c r="W401" s="134">
        <f t="shared" si="157"/>
        <v>26.97319678573546</v>
      </c>
      <c r="X401" s="134">
        <f t="shared" si="157"/>
        <v>23.148966751085535</v>
      </c>
      <c r="Y401" s="134">
        <f t="shared" si="157"/>
        <v>19.31508818119331</v>
      </c>
      <c r="Z401" s="134">
        <f t="shared" si="157"/>
        <v>15.471533528286024</v>
      </c>
      <c r="AA401" s="134">
        <f t="shared" si="157"/>
        <v>11.618275155326844</v>
      </c>
      <c r="AB401" s="134">
        <f t="shared" si="157"/>
        <v>7.7552853356910658</v>
      </c>
      <c r="AC401" s="134">
        <f t="shared" si="157"/>
        <v>3.8825362528410023</v>
      </c>
      <c r="AD401" s="134">
        <f t="shared" si="157"/>
        <v>0</v>
      </c>
      <c r="AE401" s="134">
        <f t="shared" si="157"/>
        <v>-3.8923514201753067</v>
      </c>
      <c r="AF401" s="134">
        <f t="shared" si="157"/>
        <v>-7.7945460959239528</v>
      </c>
      <c r="AG401" s="134">
        <f t="shared" si="157"/>
        <v>-11.706612206710739</v>
      </c>
      <c r="AH401" s="134">
        <f t="shared" si="157"/>
        <v>-15.628578023557779</v>
      </c>
      <c r="AI401" s="134">
        <f t="shared" si="157"/>
        <v>-19.560471909377124</v>
      </c>
      <c r="AJ401" s="134">
        <f t="shared" si="157"/>
        <v>-23.497336931917683</v>
      </c>
      <c r="AK401" s="134">
        <f t="shared" si="157"/>
        <v>-27.434201954458242</v>
      </c>
      <c r="AL401" s="134">
        <f t="shared" si="157"/>
        <v>-31.371066976998801</v>
      </c>
      <c r="AM401" s="134">
        <f t="shared" si="157"/>
        <v>-35.307931999539356</v>
      </c>
      <c r="AN401" s="134">
        <f t="shared" si="157"/>
        <v>-39.244797022079915</v>
      </c>
      <c r="AO401" s="134">
        <f t="shared" si="157"/>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5">
      <c r="A402" s="102"/>
      <c r="B402" s="112" t="s">
        <v>122</v>
      </c>
      <c r="C402" s="135"/>
      <c r="D402" s="134">
        <f t="shared" ref="D402:AO402" si="158">IF(D$373=$B402,0,IF(D$373&gt;$B402,-0.5*D$371-0.5*C$371+C402,0.5*HLOOKUP($B402,$D$370:$AO$371,2,FALSE)+0.5*HLOOKUP($B401,$D$370:$AO$371,2,FALSE)+D401))</f>
        <v>92.597628446344714</v>
      </c>
      <c r="E402" s="134">
        <f t="shared" si="158"/>
        <v>92.597628446344714</v>
      </c>
      <c r="F402" s="134">
        <f t="shared" si="158"/>
        <v>92.597628446344714</v>
      </c>
      <c r="G402" s="134">
        <f t="shared" si="158"/>
        <v>90.763165912426103</v>
      </c>
      <c r="H402" s="134">
        <f t="shared" si="158"/>
        <v>87.08963754894593</v>
      </c>
      <c r="I402" s="134">
        <f t="shared" si="158"/>
        <v>83.4068895339324</v>
      </c>
      <c r="J402" s="134">
        <f t="shared" si="158"/>
        <v>79.71489570483898</v>
      </c>
      <c r="K402" s="134">
        <f t="shared" si="158"/>
        <v>76.013629814864402</v>
      </c>
      <c r="L402" s="134">
        <f t="shared" si="158"/>
        <v>72.303065532648702</v>
      </c>
      <c r="M402" s="134">
        <f t="shared" si="158"/>
        <v>68.583176441968234</v>
      </c>
      <c r="N402" s="134">
        <f t="shared" si="158"/>
        <v>64.853936041429222</v>
      </c>
      <c r="O402" s="134">
        <f t="shared" si="158"/>
        <v>61.115317744160379</v>
      </c>
      <c r="P402" s="134">
        <f t="shared" si="158"/>
        <v>57.36729487750398</v>
      </c>
      <c r="Q402" s="134">
        <f t="shared" si="158"/>
        <v>53.609840682706022</v>
      </c>
      <c r="R402" s="134">
        <f t="shared" si="158"/>
        <v>49.842928314605068</v>
      </c>
      <c r="S402" s="134">
        <f t="shared" si="158"/>
        <v>46.066530841319718</v>
      </c>
      <c r="T402" s="134">
        <f t="shared" si="158"/>
        <v>42.280621243935038</v>
      </c>
      <c r="U402" s="134">
        <f t="shared" si="158"/>
        <v>38.485172416187609</v>
      </c>
      <c r="V402" s="134">
        <f t="shared" si="158"/>
        <v>34.680157164149477</v>
      </c>
      <c r="W402" s="134">
        <f t="shared" si="158"/>
        <v>30.865548205910766</v>
      </c>
      <c r="X402" s="134">
        <f t="shared" si="158"/>
        <v>27.041318171260841</v>
      </c>
      <c r="Y402" s="134">
        <f t="shared" si="158"/>
        <v>23.207439601368616</v>
      </c>
      <c r="Z402" s="134">
        <f t="shared" si="158"/>
        <v>19.36388494846133</v>
      </c>
      <c r="AA402" s="134">
        <f t="shared" si="158"/>
        <v>15.510626575502151</v>
      </c>
      <c r="AB402" s="134">
        <f t="shared" si="158"/>
        <v>11.647636755866372</v>
      </c>
      <c r="AC402" s="134">
        <f t="shared" si="158"/>
        <v>7.774887673016309</v>
      </c>
      <c r="AD402" s="134">
        <f t="shared" si="158"/>
        <v>3.8923514201753067</v>
      </c>
      <c r="AE402" s="134">
        <f t="shared" si="158"/>
        <v>0</v>
      </c>
      <c r="AF402" s="134">
        <f t="shared" si="158"/>
        <v>-3.9021946757486461</v>
      </c>
      <c r="AG402" s="134">
        <f t="shared" si="158"/>
        <v>-7.8142607865354314</v>
      </c>
      <c r="AH402" s="134">
        <f t="shared" si="158"/>
        <v>-11.73622660338247</v>
      </c>
      <c r="AI402" s="134">
        <f t="shared" si="158"/>
        <v>-15.668120489201813</v>
      </c>
      <c r="AJ402" s="134">
        <f t="shared" si="158"/>
        <v>-19.60498551174237</v>
      </c>
      <c r="AK402" s="134">
        <f t="shared" si="158"/>
        <v>-23.541850534282929</v>
      </c>
      <c r="AL402" s="134">
        <f t="shared" si="158"/>
        <v>-27.478715556823488</v>
      </c>
      <c r="AM402" s="134">
        <f t="shared" si="158"/>
        <v>-31.415580579364047</v>
      </c>
      <c r="AN402" s="134">
        <f t="shared" si="158"/>
        <v>-35.352445601904606</v>
      </c>
      <c r="AO402" s="134">
        <f t="shared" si="158"/>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5">
      <c r="A403" s="102"/>
      <c r="B403" s="112" t="s">
        <v>123</v>
      </c>
      <c r="C403" s="135"/>
      <c r="D403" s="134">
        <f t="shared" ref="D403:AO403" si="159">IF(D$373=$B403,0,IF(D$373&gt;$B403,-0.5*D$371-0.5*C$371+C403,0.5*HLOOKUP($B403,$D$370:$AO$371,2,FALSE)+0.5*HLOOKUP($B402,$D$370:$AO$371,2,FALSE)+D402))</f>
        <v>96.49982312209336</v>
      </c>
      <c r="E403" s="134">
        <f t="shared" si="159"/>
        <v>96.49982312209336</v>
      </c>
      <c r="F403" s="134">
        <f t="shared" si="159"/>
        <v>96.49982312209336</v>
      </c>
      <c r="G403" s="134">
        <f t="shared" si="159"/>
        <v>94.66536058817475</v>
      </c>
      <c r="H403" s="134">
        <f t="shared" si="159"/>
        <v>90.991832224694576</v>
      </c>
      <c r="I403" s="134">
        <f t="shared" si="159"/>
        <v>87.309084209681046</v>
      </c>
      <c r="J403" s="134">
        <f t="shared" si="159"/>
        <v>83.617090380587626</v>
      </c>
      <c r="K403" s="134">
        <f t="shared" si="159"/>
        <v>79.915824490613048</v>
      </c>
      <c r="L403" s="134">
        <f t="shared" si="159"/>
        <v>76.205260208397348</v>
      </c>
      <c r="M403" s="134">
        <f t="shared" si="159"/>
        <v>72.48537111771688</v>
      </c>
      <c r="N403" s="134">
        <f t="shared" si="159"/>
        <v>68.756130717177868</v>
      </c>
      <c r="O403" s="134">
        <f t="shared" si="159"/>
        <v>65.017512419909025</v>
      </c>
      <c r="P403" s="134">
        <f t="shared" si="159"/>
        <v>61.269489553252626</v>
      </c>
      <c r="Q403" s="134">
        <f t="shared" si="159"/>
        <v>57.512035358454668</v>
      </c>
      <c r="R403" s="134">
        <f t="shared" si="159"/>
        <v>53.745122990353714</v>
      </c>
      <c r="S403" s="134">
        <f t="shared" si="159"/>
        <v>49.968725517068364</v>
      </c>
      <c r="T403" s="134">
        <f t="shared" si="159"/>
        <v>46.182815919683684</v>
      </c>
      <c r="U403" s="134">
        <f t="shared" si="159"/>
        <v>42.387367091936255</v>
      </c>
      <c r="V403" s="134">
        <f t="shared" si="159"/>
        <v>38.582351839898124</v>
      </c>
      <c r="W403" s="134">
        <f t="shared" si="159"/>
        <v>34.767742881659416</v>
      </c>
      <c r="X403" s="134">
        <f t="shared" si="159"/>
        <v>30.943512847009487</v>
      </c>
      <c r="Y403" s="134">
        <f t="shared" si="159"/>
        <v>27.109634277117262</v>
      </c>
      <c r="Z403" s="134">
        <f t="shared" si="159"/>
        <v>23.266079624209976</v>
      </c>
      <c r="AA403" s="134">
        <f t="shared" si="159"/>
        <v>19.412821251250797</v>
      </c>
      <c r="AB403" s="134">
        <f t="shared" si="159"/>
        <v>15.549831431615019</v>
      </c>
      <c r="AC403" s="134">
        <f t="shared" si="159"/>
        <v>11.677082348764955</v>
      </c>
      <c r="AD403" s="134">
        <f t="shared" si="159"/>
        <v>7.7945460959239528</v>
      </c>
      <c r="AE403" s="134">
        <f t="shared" si="159"/>
        <v>3.9021946757486461</v>
      </c>
      <c r="AF403" s="134">
        <f t="shared" si="159"/>
        <v>0</v>
      </c>
      <c r="AG403" s="134">
        <f t="shared" si="159"/>
        <v>-3.9120661107867858</v>
      </c>
      <c r="AH403" s="134">
        <f t="shared" si="159"/>
        <v>-7.8340319276338253</v>
      </c>
      <c r="AI403" s="134">
        <f t="shared" si="159"/>
        <v>-11.765925813453169</v>
      </c>
      <c r="AJ403" s="134">
        <f t="shared" si="159"/>
        <v>-15.702790835993728</v>
      </c>
      <c r="AK403" s="134">
        <f t="shared" si="159"/>
        <v>-19.639655858534287</v>
      </c>
      <c r="AL403" s="134">
        <f t="shared" si="159"/>
        <v>-23.576520881074845</v>
      </c>
      <c r="AM403" s="134">
        <f t="shared" si="159"/>
        <v>-27.513385903615404</v>
      </c>
      <c r="AN403" s="134">
        <f t="shared" si="159"/>
        <v>-31.450250926155963</v>
      </c>
      <c r="AO403" s="134">
        <f t="shared" si="159"/>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5">
      <c r="A404" s="102"/>
      <c r="B404" s="112" t="s">
        <v>124</v>
      </c>
      <c r="C404" s="135"/>
      <c r="D404" s="134">
        <f t="shared" ref="D404:AO404" si="160">IF(D$373=$B404,0,IF(D$373&gt;$B404,-0.5*D$371-0.5*C$371+C404,0.5*HLOOKUP($B404,$D$370:$AO$371,2,FALSE)+0.5*HLOOKUP($B403,$D$370:$AO$371,2,FALSE)+D403))</f>
        <v>100.41188923288014</v>
      </c>
      <c r="E404" s="134">
        <f t="shared" si="160"/>
        <v>100.41188923288014</v>
      </c>
      <c r="F404" s="134">
        <f t="shared" si="160"/>
        <v>100.41188923288014</v>
      </c>
      <c r="G404" s="134">
        <f t="shared" si="160"/>
        <v>98.577426698961531</v>
      </c>
      <c r="H404" s="134">
        <f t="shared" si="160"/>
        <v>94.903898335481358</v>
      </c>
      <c r="I404" s="134">
        <f t="shared" si="160"/>
        <v>91.221150320467828</v>
      </c>
      <c r="J404" s="134">
        <f t="shared" si="160"/>
        <v>87.529156491374408</v>
      </c>
      <c r="K404" s="134">
        <f t="shared" si="160"/>
        <v>83.82789060139983</v>
      </c>
      <c r="L404" s="134">
        <f t="shared" si="160"/>
        <v>80.11732631918413</v>
      </c>
      <c r="M404" s="134">
        <f t="shared" si="160"/>
        <v>76.397437228503662</v>
      </c>
      <c r="N404" s="134">
        <f t="shared" si="160"/>
        <v>72.66819682796465</v>
      </c>
      <c r="O404" s="134">
        <f t="shared" si="160"/>
        <v>68.929578530695807</v>
      </c>
      <c r="P404" s="134">
        <f t="shared" si="160"/>
        <v>65.181555664039408</v>
      </c>
      <c r="Q404" s="134">
        <f t="shared" si="160"/>
        <v>61.424101469241457</v>
      </c>
      <c r="R404" s="134">
        <f t="shared" si="160"/>
        <v>57.657189101140503</v>
      </c>
      <c r="S404" s="134">
        <f t="shared" si="160"/>
        <v>53.880791627855153</v>
      </c>
      <c r="T404" s="134">
        <f t="shared" si="160"/>
        <v>50.094882030470473</v>
      </c>
      <c r="U404" s="134">
        <f t="shared" si="160"/>
        <v>46.299433202723044</v>
      </c>
      <c r="V404" s="134">
        <f t="shared" si="160"/>
        <v>42.494417950684912</v>
      </c>
      <c r="W404" s="134">
        <f t="shared" si="160"/>
        <v>38.679808992446205</v>
      </c>
      <c r="X404" s="134">
        <f t="shared" si="160"/>
        <v>34.855578957796276</v>
      </c>
      <c r="Y404" s="134">
        <f t="shared" si="160"/>
        <v>31.021700387904048</v>
      </c>
      <c r="Z404" s="134">
        <f t="shared" si="160"/>
        <v>27.178145734996761</v>
      </c>
      <c r="AA404" s="134">
        <f t="shared" si="160"/>
        <v>23.324887362037583</v>
      </c>
      <c r="AB404" s="134">
        <f t="shared" si="160"/>
        <v>19.461897542401804</v>
      </c>
      <c r="AC404" s="134">
        <f t="shared" si="160"/>
        <v>15.58914845955174</v>
      </c>
      <c r="AD404" s="134">
        <f t="shared" si="160"/>
        <v>11.706612206710739</v>
      </c>
      <c r="AE404" s="134">
        <f t="shared" si="160"/>
        <v>7.8142607865354314</v>
      </c>
      <c r="AF404" s="134">
        <f t="shared" si="160"/>
        <v>3.9120661107867858</v>
      </c>
      <c r="AG404" s="134">
        <f t="shared" si="160"/>
        <v>0</v>
      </c>
      <c r="AH404" s="134">
        <f t="shared" si="160"/>
        <v>-3.921965816847039</v>
      </c>
      <c r="AI404" s="134">
        <f t="shared" si="160"/>
        <v>-7.8538597026663837</v>
      </c>
      <c r="AJ404" s="134">
        <f t="shared" si="160"/>
        <v>-11.790724725206942</v>
      </c>
      <c r="AK404" s="134">
        <f t="shared" si="160"/>
        <v>-15.727589747747501</v>
      </c>
      <c r="AL404" s="134">
        <f t="shared" si="160"/>
        <v>-19.66445477028806</v>
      </c>
      <c r="AM404" s="134">
        <f t="shared" si="160"/>
        <v>-23.601319792828619</v>
      </c>
      <c r="AN404" s="134">
        <f t="shared" si="160"/>
        <v>-27.538184815369178</v>
      </c>
      <c r="AO404" s="134">
        <f t="shared" si="160"/>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5">
      <c r="A405" s="102"/>
      <c r="B405" s="112" t="s">
        <v>125</v>
      </c>
      <c r="C405" s="135"/>
      <c r="D405" s="134">
        <f t="shared" ref="D405:AO405" si="161">IF(D$373=$B405,0,IF(D$373&gt;$B405,-0.5*D$371-0.5*C$371+C405,0.5*HLOOKUP($B405,$D$370:$AO$371,2,FALSE)+0.5*HLOOKUP($B404,$D$370:$AO$371,2,FALSE)+D404))</f>
        <v>104.33385504972718</v>
      </c>
      <c r="E405" s="134">
        <f t="shared" si="161"/>
        <v>104.33385504972718</v>
      </c>
      <c r="F405" s="134">
        <f t="shared" si="161"/>
        <v>104.33385504972718</v>
      </c>
      <c r="G405" s="134">
        <f t="shared" si="161"/>
        <v>102.49939251580857</v>
      </c>
      <c r="H405" s="134">
        <f t="shared" si="161"/>
        <v>98.825864152328393</v>
      </c>
      <c r="I405" s="134">
        <f t="shared" si="161"/>
        <v>95.143116137314863</v>
      </c>
      <c r="J405" s="134">
        <f t="shared" si="161"/>
        <v>91.451122308221443</v>
      </c>
      <c r="K405" s="134">
        <f t="shared" si="161"/>
        <v>87.749856418246864</v>
      </c>
      <c r="L405" s="134">
        <f t="shared" si="161"/>
        <v>84.039292136031165</v>
      </c>
      <c r="M405" s="134">
        <f t="shared" si="161"/>
        <v>80.319403045350697</v>
      </c>
      <c r="N405" s="134">
        <f t="shared" si="161"/>
        <v>76.590162644811684</v>
      </c>
      <c r="O405" s="134">
        <f t="shared" si="161"/>
        <v>72.851544347542841</v>
      </c>
      <c r="P405" s="134">
        <f t="shared" si="161"/>
        <v>69.103521480886442</v>
      </c>
      <c r="Q405" s="134">
        <f t="shared" si="161"/>
        <v>65.346067286088498</v>
      </c>
      <c r="R405" s="134">
        <f t="shared" si="161"/>
        <v>61.579154917987545</v>
      </c>
      <c r="S405" s="134">
        <f t="shared" si="161"/>
        <v>57.802757444702195</v>
      </c>
      <c r="T405" s="134">
        <f t="shared" si="161"/>
        <v>54.016847847317514</v>
      </c>
      <c r="U405" s="134">
        <f t="shared" si="161"/>
        <v>50.221399019570086</v>
      </c>
      <c r="V405" s="134">
        <f t="shared" si="161"/>
        <v>46.416383767531954</v>
      </c>
      <c r="W405" s="134">
        <f t="shared" si="161"/>
        <v>42.601774809293246</v>
      </c>
      <c r="X405" s="134">
        <f t="shared" si="161"/>
        <v>38.777544774643317</v>
      </c>
      <c r="Y405" s="134">
        <f t="shared" si="161"/>
        <v>34.943666204751089</v>
      </c>
      <c r="Z405" s="134">
        <f t="shared" si="161"/>
        <v>31.100111551843799</v>
      </c>
      <c r="AA405" s="134">
        <f t="shared" si="161"/>
        <v>27.246853178884621</v>
      </c>
      <c r="AB405" s="134">
        <f t="shared" si="161"/>
        <v>23.383863359248842</v>
      </c>
      <c r="AC405" s="134">
        <f t="shared" si="161"/>
        <v>19.511114276398779</v>
      </c>
      <c r="AD405" s="134">
        <f t="shared" si="161"/>
        <v>15.628578023557779</v>
      </c>
      <c r="AE405" s="134">
        <f t="shared" si="161"/>
        <v>11.73622660338247</v>
      </c>
      <c r="AF405" s="134">
        <f t="shared" si="161"/>
        <v>7.8340319276338253</v>
      </c>
      <c r="AG405" s="134">
        <f t="shared" si="161"/>
        <v>3.921965816847039</v>
      </c>
      <c r="AH405" s="134">
        <f t="shared" si="161"/>
        <v>0</v>
      </c>
      <c r="AI405" s="134">
        <f t="shared" si="161"/>
        <v>-3.9318938858193442</v>
      </c>
      <c r="AJ405" s="134">
        <f t="shared" si="161"/>
        <v>-7.8687589083599025</v>
      </c>
      <c r="AK405" s="134">
        <f t="shared" si="161"/>
        <v>-11.80562393090046</v>
      </c>
      <c r="AL405" s="134">
        <f t="shared" si="161"/>
        <v>-15.742488953441018</v>
      </c>
      <c r="AM405" s="134">
        <f t="shared" si="161"/>
        <v>-19.679353975981577</v>
      </c>
      <c r="AN405" s="134">
        <f t="shared" si="161"/>
        <v>-23.616218998522136</v>
      </c>
      <c r="AO405" s="134">
        <f t="shared" si="161"/>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5">
      <c r="A406" s="102"/>
      <c r="B406" s="112" t="s">
        <v>126</v>
      </c>
      <c r="C406" s="135"/>
      <c r="D406" s="134">
        <f t="shared" ref="D406:AO406" si="162">IF(D$373=$B406,0,IF(D$373&gt;$B406,-0.5*D$371-0.5*C$371+C406,0.5*HLOOKUP($B406,$D$370:$AO$371,2,FALSE)+0.5*HLOOKUP($B405,$D$370:$AO$371,2,FALSE)+D405))</f>
        <v>108.26574893554653</v>
      </c>
      <c r="E406" s="134">
        <f t="shared" si="162"/>
        <v>108.26574893554653</v>
      </c>
      <c r="F406" s="134">
        <f t="shared" si="162"/>
        <v>108.26574893554653</v>
      </c>
      <c r="G406" s="134">
        <f t="shared" si="162"/>
        <v>106.43128640162791</v>
      </c>
      <c r="H406" s="134">
        <f t="shared" si="162"/>
        <v>102.75775803814774</v>
      </c>
      <c r="I406" s="134">
        <f t="shared" si="162"/>
        <v>99.075010023134212</v>
      </c>
      <c r="J406" s="134">
        <f t="shared" si="162"/>
        <v>95.383016194040792</v>
      </c>
      <c r="K406" s="134">
        <f t="shared" si="162"/>
        <v>91.681750304066213</v>
      </c>
      <c r="L406" s="134">
        <f t="shared" si="162"/>
        <v>87.971186021850514</v>
      </c>
      <c r="M406" s="134">
        <f t="shared" si="162"/>
        <v>84.251296931170046</v>
      </c>
      <c r="N406" s="134">
        <f t="shared" si="162"/>
        <v>80.522056530631033</v>
      </c>
      <c r="O406" s="134">
        <f t="shared" si="162"/>
        <v>76.78343823336219</v>
      </c>
      <c r="P406" s="134">
        <f t="shared" si="162"/>
        <v>73.035415366705791</v>
      </c>
      <c r="Q406" s="134">
        <f t="shared" si="162"/>
        <v>69.277961171907847</v>
      </c>
      <c r="R406" s="134">
        <f t="shared" si="162"/>
        <v>65.511048803806887</v>
      </c>
      <c r="S406" s="134">
        <f t="shared" si="162"/>
        <v>61.734651330521537</v>
      </c>
      <c r="T406" s="134">
        <f t="shared" si="162"/>
        <v>57.948741733136856</v>
      </c>
      <c r="U406" s="134">
        <f t="shared" si="162"/>
        <v>54.153292905389428</v>
      </c>
      <c r="V406" s="134">
        <f t="shared" si="162"/>
        <v>50.348277653351296</v>
      </c>
      <c r="W406" s="134">
        <f t="shared" si="162"/>
        <v>46.533668695112588</v>
      </c>
      <c r="X406" s="134">
        <f t="shared" si="162"/>
        <v>42.709438660462659</v>
      </c>
      <c r="Y406" s="134">
        <f t="shared" si="162"/>
        <v>38.875560090570431</v>
      </c>
      <c r="Z406" s="134">
        <f t="shared" si="162"/>
        <v>35.032005437663145</v>
      </c>
      <c r="AA406" s="134">
        <f t="shared" si="162"/>
        <v>31.178747064703966</v>
      </c>
      <c r="AB406" s="134">
        <f t="shared" si="162"/>
        <v>27.315757245068188</v>
      </c>
      <c r="AC406" s="134">
        <f t="shared" si="162"/>
        <v>23.443008162218124</v>
      </c>
      <c r="AD406" s="134">
        <f t="shared" si="162"/>
        <v>19.560471909377124</v>
      </c>
      <c r="AE406" s="134">
        <f t="shared" si="162"/>
        <v>15.668120489201813</v>
      </c>
      <c r="AF406" s="134">
        <f t="shared" si="162"/>
        <v>11.765925813453169</v>
      </c>
      <c r="AG406" s="134">
        <f t="shared" si="162"/>
        <v>7.8538597026663837</v>
      </c>
      <c r="AH406" s="134">
        <f t="shared" si="162"/>
        <v>3.9318938858193442</v>
      </c>
      <c r="AI406" s="134">
        <f t="shared" si="162"/>
        <v>0</v>
      </c>
      <c r="AJ406" s="134">
        <f t="shared" si="162"/>
        <v>-3.9368650225405579</v>
      </c>
      <c r="AK406" s="134">
        <f t="shared" si="162"/>
        <v>-7.8737300450811158</v>
      </c>
      <c r="AL406" s="134">
        <f t="shared" si="162"/>
        <v>-11.810595067621673</v>
      </c>
      <c r="AM406" s="134">
        <f t="shared" si="162"/>
        <v>-15.747460090162232</v>
      </c>
      <c r="AN406" s="134">
        <f t="shared" si="162"/>
        <v>-19.684325112702791</v>
      </c>
      <c r="AO406" s="134">
        <f t="shared" si="162"/>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5">
      <c r="A407" s="102"/>
      <c r="B407" s="112" t="s">
        <v>127</v>
      </c>
      <c r="C407" s="135"/>
      <c r="D407" s="134">
        <f t="shared" ref="D407:AO407" si="163">IF(D$373=$B407,0,IF(D$373&gt;$B407,-0.5*D$371-0.5*C$371+C407,0.5*HLOOKUP($B407,$D$370:$AO$371,2,FALSE)+0.5*HLOOKUP($B406,$D$370:$AO$371,2,FALSE)+D406))</f>
        <v>112.20261395808708</v>
      </c>
      <c r="E407" s="134">
        <f t="shared" si="163"/>
        <v>112.20261395808708</v>
      </c>
      <c r="F407" s="134">
        <f t="shared" si="163"/>
        <v>112.20261395808708</v>
      </c>
      <c r="G407" s="134">
        <f t="shared" si="163"/>
        <v>110.36815142416847</v>
      </c>
      <c r="H407" s="134">
        <f t="shared" si="163"/>
        <v>106.6946230606883</v>
      </c>
      <c r="I407" s="134">
        <f t="shared" si="163"/>
        <v>103.01187504567477</v>
      </c>
      <c r="J407" s="134">
        <f t="shared" si="163"/>
        <v>99.319881216581351</v>
      </c>
      <c r="K407" s="134">
        <f t="shared" si="163"/>
        <v>95.618615326606772</v>
      </c>
      <c r="L407" s="134">
        <f t="shared" si="163"/>
        <v>91.908051044391073</v>
      </c>
      <c r="M407" s="134">
        <f t="shared" si="163"/>
        <v>88.188161953710605</v>
      </c>
      <c r="N407" s="134">
        <f t="shared" si="163"/>
        <v>84.458921553171592</v>
      </c>
      <c r="O407" s="134">
        <f t="shared" si="163"/>
        <v>80.720303255902749</v>
      </c>
      <c r="P407" s="134">
        <f t="shared" si="163"/>
        <v>76.97228038924635</v>
      </c>
      <c r="Q407" s="134">
        <f t="shared" si="163"/>
        <v>73.214826194448406</v>
      </c>
      <c r="R407" s="134">
        <f t="shared" si="163"/>
        <v>69.447913826347445</v>
      </c>
      <c r="S407" s="134">
        <f t="shared" si="163"/>
        <v>65.671516353062088</v>
      </c>
      <c r="T407" s="134">
        <f t="shared" si="163"/>
        <v>61.885606755677415</v>
      </c>
      <c r="U407" s="134">
        <f t="shared" si="163"/>
        <v>58.090157927929987</v>
      </c>
      <c r="V407" s="134">
        <f t="shared" si="163"/>
        <v>54.285142675891855</v>
      </c>
      <c r="W407" s="134">
        <f t="shared" si="163"/>
        <v>50.470533717653147</v>
      </c>
      <c r="X407" s="134">
        <f t="shared" si="163"/>
        <v>46.646303683003218</v>
      </c>
      <c r="Y407" s="134">
        <f t="shared" si="163"/>
        <v>42.81242511311099</v>
      </c>
      <c r="Z407" s="134">
        <f t="shared" si="163"/>
        <v>38.968870460203703</v>
      </c>
      <c r="AA407" s="134">
        <f t="shared" si="163"/>
        <v>35.115612087244521</v>
      </c>
      <c r="AB407" s="134">
        <f t="shared" si="163"/>
        <v>31.252622267608746</v>
      </c>
      <c r="AC407" s="134">
        <f t="shared" si="163"/>
        <v>27.379873184758683</v>
      </c>
      <c r="AD407" s="134">
        <f t="shared" si="163"/>
        <v>23.497336931917683</v>
      </c>
      <c r="AE407" s="134">
        <f t="shared" si="163"/>
        <v>19.60498551174237</v>
      </c>
      <c r="AF407" s="134">
        <f t="shared" si="163"/>
        <v>15.702790835993728</v>
      </c>
      <c r="AG407" s="134">
        <f t="shared" si="163"/>
        <v>11.790724725206942</v>
      </c>
      <c r="AH407" s="134">
        <f t="shared" si="163"/>
        <v>7.8687589083599025</v>
      </c>
      <c r="AI407" s="134">
        <f t="shared" si="163"/>
        <v>3.9368650225405579</v>
      </c>
      <c r="AJ407" s="134">
        <f t="shared" si="163"/>
        <v>0</v>
      </c>
      <c r="AK407" s="134">
        <f t="shared" si="163"/>
        <v>-3.9368650225405579</v>
      </c>
      <c r="AL407" s="134">
        <f t="shared" si="163"/>
        <v>-7.8737300450811158</v>
      </c>
      <c r="AM407" s="134">
        <f t="shared" si="163"/>
        <v>-11.810595067621673</v>
      </c>
      <c r="AN407" s="134">
        <f t="shared" si="163"/>
        <v>-15.747460090162232</v>
      </c>
      <c r="AO407" s="134">
        <f t="shared" si="163"/>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5">
      <c r="A408" s="102"/>
      <c r="B408" s="112" t="s">
        <v>128</v>
      </c>
      <c r="C408" s="135"/>
      <c r="D408" s="134">
        <f t="shared" ref="D408:AO408" si="164">IF(D$373=$B408,0,IF(D$373&gt;$B408,-0.5*D$371-0.5*C$371+C408,0.5*HLOOKUP($B408,$D$370:$AO$371,2,FALSE)+0.5*HLOOKUP($B407,$D$370:$AO$371,2,FALSE)+D407))</f>
        <v>116.13947898062764</v>
      </c>
      <c r="E408" s="134">
        <f t="shared" si="164"/>
        <v>116.13947898062764</v>
      </c>
      <c r="F408" s="134">
        <f t="shared" si="164"/>
        <v>116.13947898062764</v>
      </c>
      <c r="G408" s="134">
        <f t="shared" si="164"/>
        <v>114.30501644670903</v>
      </c>
      <c r="H408" s="134">
        <f t="shared" si="164"/>
        <v>110.63148808322886</v>
      </c>
      <c r="I408" s="134">
        <f t="shared" si="164"/>
        <v>106.94874006821533</v>
      </c>
      <c r="J408" s="134">
        <f t="shared" si="164"/>
        <v>103.25674623912191</v>
      </c>
      <c r="K408" s="134">
        <f t="shared" si="164"/>
        <v>99.555480349147331</v>
      </c>
      <c r="L408" s="134">
        <f t="shared" si="164"/>
        <v>95.844916066931631</v>
      </c>
      <c r="M408" s="134">
        <f t="shared" si="164"/>
        <v>92.125026976251164</v>
      </c>
      <c r="N408" s="134">
        <f t="shared" si="164"/>
        <v>88.395786575712151</v>
      </c>
      <c r="O408" s="134">
        <f t="shared" si="164"/>
        <v>84.657168278443308</v>
      </c>
      <c r="P408" s="134">
        <f t="shared" si="164"/>
        <v>80.909145411786909</v>
      </c>
      <c r="Q408" s="134">
        <f t="shared" si="164"/>
        <v>77.151691216988965</v>
      </c>
      <c r="R408" s="134">
        <f t="shared" si="164"/>
        <v>73.384778848888004</v>
      </c>
      <c r="S408" s="134">
        <f t="shared" si="164"/>
        <v>69.608381375602647</v>
      </c>
      <c r="T408" s="134">
        <f t="shared" si="164"/>
        <v>65.822471778217974</v>
      </c>
      <c r="U408" s="134">
        <f t="shared" si="164"/>
        <v>62.027022950470545</v>
      </c>
      <c r="V408" s="134">
        <f t="shared" si="164"/>
        <v>58.222007698432414</v>
      </c>
      <c r="W408" s="134">
        <f t="shared" si="164"/>
        <v>54.407398740193706</v>
      </c>
      <c r="X408" s="134">
        <f t="shared" si="164"/>
        <v>50.583168705543777</v>
      </c>
      <c r="Y408" s="134">
        <f t="shared" si="164"/>
        <v>46.749290135651549</v>
      </c>
      <c r="Z408" s="134">
        <f t="shared" si="164"/>
        <v>42.905735482744262</v>
      </c>
      <c r="AA408" s="134">
        <f t="shared" si="164"/>
        <v>39.05247710978508</v>
      </c>
      <c r="AB408" s="134">
        <f t="shared" si="164"/>
        <v>35.189487290149302</v>
      </c>
      <c r="AC408" s="134">
        <f t="shared" si="164"/>
        <v>31.316738207299242</v>
      </c>
      <c r="AD408" s="134">
        <f t="shared" si="164"/>
        <v>27.434201954458242</v>
      </c>
      <c r="AE408" s="134">
        <f t="shared" si="164"/>
        <v>23.541850534282929</v>
      </c>
      <c r="AF408" s="134">
        <f t="shared" si="164"/>
        <v>19.639655858534287</v>
      </c>
      <c r="AG408" s="134">
        <f t="shared" si="164"/>
        <v>15.727589747747501</v>
      </c>
      <c r="AH408" s="134">
        <f t="shared" si="164"/>
        <v>11.80562393090046</v>
      </c>
      <c r="AI408" s="134">
        <f t="shared" si="164"/>
        <v>7.8737300450811158</v>
      </c>
      <c r="AJ408" s="134">
        <f t="shared" si="164"/>
        <v>3.9368650225405579</v>
      </c>
      <c r="AK408" s="134">
        <f t="shared" si="164"/>
        <v>0</v>
      </c>
      <c r="AL408" s="134">
        <f t="shared" si="164"/>
        <v>-3.9368650225405579</v>
      </c>
      <c r="AM408" s="134">
        <f t="shared" si="164"/>
        <v>-7.8737300450811158</v>
      </c>
      <c r="AN408" s="134">
        <f t="shared" si="164"/>
        <v>-11.810595067621673</v>
      </c>
      <c r="AO408" s="134">
        <f t="shared" si="164"/>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5">
      <c r="A409" s="102"/>
      <c r="B409" s="112" t="s">
        <v>129</v>
      </c>
      <c r="C409" s="135"/>
      <c r="D409" s="134">
        <f t="shared" ref="D409:AO409" si="165">IF(D$373=$B409,0,IF(D$373&gt;$B409,-0.5*D$371-0.5*C$371+C409,0.5*HLOOKUP($B409,$D$370:$AO$371,2,FALSE)+0.5*HLOOKUP($B408,$D$370:$AO$371,2,FALSE)+D408))</f>
        <v>120.0763440031682</v>
      </c>
      <c r="E409" s="134">
        <f t="shared" si="165"/>
        <v>120.0763440031682</v>
      </c>
      <c r="F409" s="134">
        <f t="shared" si="165"/>
        <v>120.0763440031682</v>
      </c>
      <c r="G409" s="134">
        <f t="shared" si="165"/>
        <v>118.24188146924959</v>
      </c>
      <c r="H409" s="134">
        <f t="shared" si="165"/>
        <v>114.56835310576942</v>
      </c>
      <c r="I409" s="134">
        <f t="shared" si="165"/>
        <v>110.88560509075589</v>
      </c>
      <c r="J409" s="134">
        <f t="shared" si="165"/>
        <v>107.19361126166247</v>
      </c>
      <c r="K409" s="134">
        <f t="shared" si="165"/>
        <v>103.49234537168789</v>
      </c>
      <c r="L409" s="134">
        <f t="shared" si="165"/>
        <v>99.78178108947219</v>
      </c>
      <c r="M409" s="134">
        <f t="shared" si="165"/>
        <v>96.061891998791722</v>
      </c>
      <c r="N409" s="134">
        <f t="shared" si="165"/>
        <v>92.33265159825271</v>
      </c>
      <c r="O409" s="134">
        <f t="shared" si="165"/>
        <v>88.594033300983867</v>
      </c>
      <c r="P409" s="134">
        <f t="shared" si="165"/>
        <v>84.846010434327468</v>
      </c>
      <c r="Q409" s="134">
        <f t="shared" si="165"/>
        <v>81.088556239529524</v>
      </c>
      <c r="R409" s="134">
        <f t="shared" si="165"/>
        <v>77.321643871428563</v>
      </c>
      <c r="S409" s="134">
        <f t="shared" si="165"/>
        <v>73.545246398143206</v>
      </c>
      <c r="T409" s="134">
        <f t="shared" si="165"/>
        <v>69.759336800758533</v>
      </c>
      <c r="U409" s="134">
        <f t="shared" si="165"/>
        <v>65.963887973011097</v>
      </c>
      <c r="V409" s="134">
        <f t="shared" si="165"/>
        <v>62.158872720972973</v>
      </c>
      <c r="W409" s="134">
        <f t="shared" si="165"/>
        <v>58.344263762734265</v>
      </c>
      <c r="X409" s="134">
        <f t="shared" si="165"/>
        <v>54.520033728084336</v>
      </c>
      <c r="Y409" s="134">
        <f t="shared" si="165"/>
        <v>50.686155158192108</v>
      </c>
      <c r="Z409" s="134">
        <f t="shared" si="165"/>
        <v>46.842600505284821</v>
      </c>
      <c r="AA409" s="134">
        <f t="shared" si="165"/>
        <v>42.989342132325639</v>
      </c>
      <c r="AB409" s="134">
        <f t="shared" si="165"/>
        <v>39.12635231268986</v>
      </c>
      <c r="AC409" s="134">
        <f t="shared" si="165"/>
        <v>35.253603229839797</v>
      </c>
      <c r="AD409" s="134">
        <f t="shared" si="165"/>
        <v>31.371066976998801</v>
      </c>
      <c r="AE409" s="134">
        <f t="shared" si="165"/>
        <v>27.478715556823488</v>
      </c>
      <c r="AF409" s="134">
        <f t="shared" si="165"/>
        <v>23.576520881074845</v>
      </c>
      <c r="AG409" s="134">
        <f t="shared" si="165"/>
        <v>19.66445477028806</v>
      </c>
      <c r="AH409" s="134">
        <f t="shared" si="165"/>
        <v>15.742488953441018</v>
      </c>
      <c r="AI409" s="134">
        <f t="shared" si="165"/>
        <v>11.810595067621673</v>
      </c>
      <c r="AJ409" s="134">
        <f t="shared" si="165"/>
        <v>7.8737300450811158</v>
      </c>
      <c r="AK409" s="134">
        <f t="shared" si="165"/>
        <v>3.9368650225405579</v>
      </c>
      <c r="AL409" s="134">
        <f t="shared" si="165"/>
        <v>0</v>
      </c>
      <c r="AM409" s="134">
        <f t="shared" si="165"/>
        <v>-3.9368650225405579</v>
      </c>
      <c r="AN409" s="134">
        <f t="shared" si="165"/>
        <v>-7.8737300450811158</v>
      </c>
      <c r="AO409" s="134">
        <f t="shared" si="16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5">
      <c r="A410" s="102"/>
      <c r="B410" s="112" t="s">
        <v>130</v>
      </c>
      <c r="C410" s="135"/>
      <c r="D410" s="134">
        <f t="shared" ref="D410:AO410" si="166">IF(D$373=$B410,0,IF(D$373&gt;$B410,-0.5*D$371-0.5*C$371+C410,0.5*HLOOKUP($B410,$D$370:$AO$371,2,FALSE)+0.5*HLOOKUP($B409,$D$370:$AO$371,2,FALSE)+D409))</f>
        <v>124.01320902570876</v>
      </c>
      <c r="E410" s="134">
        <f t="shared" si="166"/>
        <v>124.01320902570876</v>
      </c>
      <c r="F410" s="134">
        <f t="shared" si="166"/>
        <v>124.01320902570876</v>
      </c>
      <c r="G410" s="134">
        <f t="shared" si="166"/>
        <v>122.17874649179015</v>
      </c>
      <c r="H410" s="134">
        <f t="shared" si="166"/>
        <v>118.50521812830998</v>
      </c>
      <c r="I410" s="134">
        <f t="shared" si="166"/>
        <v>114.82247011329645</v>
      </c>
      <c r="J410" s="134">
        <f t="shared" si="166"/>
        <v>111.13047628420303</v>
      </c>
      <c r="K410" s="134">
        <f t="shared" si="166"/>
        <v>107.42921039422845</v>
      </c>
      <c r="L410" s="134">
        <f t="shared" si="166"/>
        <v>103.71864611201275</v>
      </c>
      <c r="M410" s="134">
        <f t="shared" si="166"/>
        <v>99.998757021332281</v>
      </c>
      <c r="N410" s="134">
        <f t="shared" si="166"/>
        <v>96.269516620793269</v>
      </c>
      <c r="O410" s="134">
        <f t="shared" si="166"/>
        <v>92.530898323524426</v>
      </c>
      <c r="P410" s="134">
        <f t="shared" si="166"/>
        <v>88.782875456868027</v>
      </c>
      <c r="Q410" s="134">
        <f t="shared" si="166"/>
        <v>85.025421262070083</v>
      </c>
      <c r="R410" s="134">
        <f t="shared" si="166"/>
        <v>81.258508893969122</v>
      </c>
      <c r="S410" s="134">
        <f t="shared" si="166"/>
        <v>77.482111420683765</v>
      </c>
      <c r="T410" s="134">
        <f t="shared" si="166"/>
        <v>73.696201823299091</v>
      </c>
      <c r="U410" s="134">
        <f t="shared" si="166"/>
        <v>69.900752995551656</v>
      </c>
      <c r="V410" s="134">
        <f t="shared" si="166"/>
        <v>66.095737743513524</v>
      </c>
      <c r="W410" s="134">
        <f t="shared" si="166"/>
        <v>62.281128785274824</v>
      </c>
      <c r="X410" s="134">
        <f t="shared" si="166"/>
        <v>58.456898750624894</v>
      </c>
      <c r="Y410" s="134">
        <f t="shared" si="166"/>
        <v>54.623020180732667</v>
      </c>
      <c r="Z410" s="134">
        <f t="shared" si="166"/>
        <v>50.77946552782538</v>
      </c>
      <c r="AA410" s="134">
        <f t="shared" si="166"/>
        <v>46.926207154866198</v>
      </c>
      <c r="AB410" s="134">
        <f t="shared" si="166"/>
        <v>43.063217335230419</v>
      </c>
      <c r="AC410" s="134">
        <f t="shared" si="166"/>
        <v>39.190468252380356</v>
      </c>
      <c r="AD410" s="134">
        <f t="shared" si="166"/>
        <v>35.307931999539356</v>
      </c>
      <c r="AE410" s="134">
        <f t="shared" si="166"/>
        <v>31.415580579364047</v>
      </c>
      <c r="AF410" s="134">
        <f t="shared" si="166"/>
        <v>27.513385903615404</v>
      </c>
      <c r="AG410" s="134">
        <f t="shared" si="166"/>
        <v>23.601319792828619</v>
      </c>
      <c r="AH410" s="134">
        <f t="shared" si="166"/>
        <v>19.679353975981577</v>
      </c>
      <c r="AI410" s="134">
        <f t="shared" si="166"/>
        <v>15.747460090162232</v>
      </c>
      <c r="AJ410" s="134">
        <f t="shared" si="166"/>
        <v>11.810595067621673</v>
      </c>
      <c r="AK410" s="134">
        <f t="shared" si="166"/>
        <v>7.8737300450811158</v>
      </c>
      <c r="AL410" s="134">
        <f t="shared" si="166"/>
        <v>3.9368650225405579</v>
      </c>
      <c r="AM410" s="134">
        <f t="shared" si="166"/>
        <v>0</v>
      </c>
      <c r="AN410" s="134">
        <f t="shared" si="166"/>
        <v>-3.9368650225405579</v>
      </c>
      <c r="AO410" s="134">
        <f t="shared" si="16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5">
      <c r="A411" s="102"/>
      <c r="B411" s="112" t="s">
        <v>131</v>
      </c>
      <c r="C411" s="135"/>
      <c r="D411" s="134">
        <f t="shared" ref="D411:AO411" si="167">IF(D$373=$B411,0,IF(D$373&gt;$B411,-0.5*D$371-0.5*C$371+C411,0.5*HLOOKUP($B411,$D$370:$AO$371,2,FALSE)+0.5*HLOOKUP($B410,$D$370:$AO$371,2,FALSE)+D410))</f>
        <v>127.95007404824932</v>
      </c>
      <c r="E411" s="134">
        <f t="shared" si="167"/>
        <v>127.95007404824932</v>
      </c>
      <c r="F411" s="134">
        <f t="shared" si="167"/>
        <v>127.95007404824932</v>
      </c>
      <c r="G411" s="134">
        <f t="shared" si="167"/>
        <v>126.11561151433071</v>
      </c>
      <c r="H411" s="134">
        <f t="shared" si="167"/>
        <v>122.44208315085054</v>
      </c>
      <c r="I411" s="134">
        <f t="shared" si="167"/>
        <v>118.75933513583701</v>
      </c>
      <c r="J411" s="134">
        <f t="shared" si="167"/>
        <v>115.06734130674359</v>
      </c>
      <c r="K411" s="134">
        <f t="shared" si="167"/>
        <v>111.36607541676901</v>
      </c>
      <c r="L411" s="134">
        <f t="shared" si="167"/>
        <v>107.65551113455331</v>
      </c>
      <c r="M411" s="134">
        <f t="shared" si="167"/>
        <v>103.93562204387284</v>
      </c>
      <c r="N411" s="134">
        <f t="shared" si="167"/>
        <v>100.20638164333383</v>
      </c>
      <c r="O411" s="134">
        <f t="shared" si="167"/>
        <v>96.467763346064984</v>
      </c>
      <c r="P411" s="134">
        <f t="shared" si="167"/>
        <v>92.719740479408586</v>
      </c>
      <c r="Q411" s="134">
        <f t="shared" si="167"/>
        <v>88.962286284610641</v>
      </c>
      <c r="R411" s="134">
        <f t="shared" si="167"/>
        <v>85.195373916509681</v>
      </c>
      <c r="S411" s="134">
        <f t="shared" si="167"/>
        <v>81.418976443224324</v>
      </c>
      <c r="T411" s="134">
        <f t="shared" si="167"/>
        <v>77.63306684583965</v>
      </c>
      <c r="U411" s="134">
        <f t="shared" si="167"/>
        <v>73.837618018092215</v>
      </c>
      <c r="V411" s="134">
        <f t="shared" si="167"/>
        <v>70.032602766054083</v>
      </c>
      <c r="W411" s="134">
        <f t="shared" si="167"/>
        <v>66.217993807815375</v>
      </c>
      <c r="X411" s="134">
        <f t="shared" si="167"/>
        <v>62.393763773165453</v>
      </c>
      <c r="Y411" s="134">
        <f t="shared" si="167"/>
        <v>58.559885203273225</v>
      </c>
      <c r="Z411" s="134">
        <f t="shared" si="167"/>
        <v>54.716330550365939</v>
      </c>
      <c r="AA411" s="134">
        <f t="shared" si="167"/>
        <v>50.863072177406757</v>
      </c>
      <c r="AB411" s="134">
        <f t="shared" si="167"/>
        <v>47.000082357770978</v>
      </c>
      <c r="AC411" s="134">
        <f t="shared" si="167"/>
        <v>43.127333274920915</v>
      </c>
      <c r="AD411" s="134">
        <f t="shared" si="167"/>
        <v>39.244797022079915</v>
      </c>
      <c r="AE411" s="134">
        <f t="shared" si="167"/>
        <v>35.352445601904606</v>
      </c>
      <c r="AF411" s="134">
        <f t="shared" si="167"/>
        <v>31.450250926155963</v>
      </c>
      <c r="AG411" s="134">
        <f t="shared" si="167"/>
        <v>27.538184815369178</v>
      </c>
      <c r="AH411" s="134">
        <f t="shared" si="167"/>
        <v>23.616218998522136</v>
      </c>
      <c r="AI411" s="134">
        <f t="shared" si="167"/>
        <v>19.684325112702791</v>
      </c>
      <c r="AJ411" s="134">
        <f t="shared" si="167"/>
        <v>15.747460090162232</v>
      </c>
      <c r="AK411" s="134">
        <f t="shared" si="167"/>
        <v>11.810595067621673</v>
      </c>
      <c r="AL411" s="134">
        <f t="shared" si="167"/>
        <v>7.8737300450811158</v>
      </c>
      <c r="AM411" s="134">
        <f t="shared" si="167"/>
        <v>3.9368650225405579</v>
      </c>
      <c r="AN411" s="134">
        <f t="shared" si="167"/>
        <v>0</v>
      </c>
      <c r="AO411" s="134">
        <f t="shared" si="16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5">
      <c r="A412" s="102"/>
      <c r="B412" s="112" t="s">
        <v>132</v>
      </c>
      <c r="C412" s="135"/>
      <c r="D412" s="134">
        <f t="shared" ref="D412:AO412" si="168">IF(D$373=$B412,0,IF(D$373&gt;$B412,-0.5*D$371-0.5*C$371+C412,0.5*HLOOKUP($B412,$D$370:$AO$371,2,FALSE)+0.5*HLOOKUP($B411,$D$370:$AO$371,2,FALSE)+D411))</f>
        <v>131.88693907078988</v>
      </c>
      <c r="E412" s="134">
        <f t="shared" si="168"/>
        <v>131.88693907078988</v>
      </c>
      <c r="F412" s="134">
        <f t="shared" si="168"/>
        <v>131.88693907078988</v>
      </c>
      <c r="G412" s="134">
        <f t="shared" si="168"/>
        <v>130.05247653687127</v>
      </c>
      <c r="H412" s="134">
        <f t="shared" si="168"/>
        <v>126.37894817339109</v>
      </c>
      <c r="I412" s="134">
        <f t="shared" si="168"/>
        <v>122.69620015837756</v>
      </c>
      <c r="J412" s="134">
        <f t="shared" si="168"/>
        <v>119.00420632928414</v>
      </c>
      <c r="K412" s="134">
        <f t="shared" si="168"/>
        <v>115.30294043930957</v>
      </c>
      <c r="L412" s="134">
        <f t="shared" si="168"/>
        <v>111.59237615709387</v>
      </c>
      <c r="M412" s="134">
        <f t="shared" si="168"/>
        <v>107.8724870664134</v>
      </c>
      <c r="N412" s="134">
        <f t="shared" si="168"/>
        <v>104.14324666587439</v>
      </c>
      <c r="O412" s="134">
        <f t="shared" si="168"/>
        <v>100.40462836860554</v>
      </c>
      <c r="P412" s="134">
        <f t="shared" si="168"/>
        <v>96.656605501949144</v>
      </c>
      <c r="Q412" s="134">
        <f t="shared" si="168"/>
        <v>92.8991513071512</v>
      </c>
      <c r="R412" s="134">
        <f t="shared" si="168"/>
        <v>89.132238939050239</v>
      </c>
      <c r="S412" s="134">
        <f t="shared" si="168"/>
        <v>85.355841465764883</v>
      </c>
      <c r="T412" s="134">
        <f t="shared" si="168"/>
        <v>81.569931868380209</v>
      </c>
      <c r="U412" s="134">
        <f t="shared" si="168"/>
        <v>77.774483040632774</v>
      </c>
      <c r="V412" s="134">
        <f t="shared" si="168"/>
        <v>73.969467788594642</v>
      </c>
      <c r="W412" s="134">
        <f t="shared" si="168"/>
        <v>70.154858830355934</v>
      </c>
      <c r="X412" s="134">
        <f t="shared" si="168"/>
        <v>66.330628795706005</v>
      </c>
      <c r="Y412" s="134">
        <f t="shared" si="168"/>
        <v>62.496750225813784</v>
      </c>
      <c r="Z412" s="134">
        <f t="shared" si="168"/>
        <v>58.653195572906498</v>
      </c>
      <c r="AA412" s="134">
        <f t="shared" si="168"/>
        <v>54.799937199947315</v>
      </c>
      <c r="AB412" s="134">
        <f t="shared" si="168"/>
        <v>50.936947380311537</v>
      </c>
      <c r="AC412" s="134">
        <f t="shared" si="168"/>
        <v>47.064198297461473</v>
      </c>
      <c r="AD412" s="134">
        <f t="shared" si="168"/>
        <v>43.181662044620474</v>
      </c>
      <c r="AE412" s="134">
        <f t="shared" si="168"/>
        <v>39.289310624445164</v>
      </c>
      <c r="AF412" s="134">
        <f t="shared" si="168"/>
        <v>35.387115948696518</v>
      </c>
      <c r="AG412" s="134">
        <f t="shared" si="168"/>
        <v>31.475049837909737</v>
      </c>
      <c r="AH412" s="134">
        <f t="shared" si="168"/>
        <v>27.553084021062695</v>
      </c>
      <c r="AI412" s="134">
        <f t="shared" si="168"/>
        <v>23.621190135243349</v>
      </c>
      <c r="AJ412" s="134">
        <f t="shared" si="168"/>
        <v>19.684325112702791</v>
      </c>
      <c r="AK412" s="134">
        <f t="shared" si="168"/>
        <v>15.747460090162232</v>
      </c>
      <c r="AL412" s="134">
        <f t="shared" si="168"/>
        <v>11.810595067621673</v>
      </c>
      <c r="AM412" s="134">
        <f t="shared" si="168"/>
        <v>7.8737300450811158</v>
      </c>
      <c r="AN412" s="134">
        <f t="shared" si="168"/>
        <v>3.9368650225405579</v>
      </c>
      <c r="AO412" s="134">
        <f t="shared" si="168"/>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5" x14ac:dyDescent="0.3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5">
      <c r="B414" s="5" t="s">
        <v>151</v>
      </c>
    </row>
    <row r="415" spans="1:95" ht="15" customHeight="1" x14ac:dyDescent="0.3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5">
      <c r="A416" s="102"/>
      <c r="B416" s="151" t="s">
        <v>141</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5">
      <c r="A417" s="102"/>
      <c r="B417" s="151"/>
      <c r="C417" s="64" t="s">
        <v>223</v>
      </c>
      <c r="D417" s="12" t="s">
        <v>95</v>
      </c>
      <c r="E417" s="13" t="s">
        <v>96</v>
      </c>
      <c r="F417" s="97" t="s">
        <v>97</v>
      </c>
      <c r="G417" s="97" t="s">
        <v>98</v>
      </c>
      <c r="H417" s="97" t="s">
        <v>99</v>
      </c>
      <c r="I417" s="97" t="s">
        <v>100</v>
      </c>
      <c r="J417" s="97" t="s">
        <v>101</v>
      </c>
      <c r="K417" s="97" t="s">
        <v>102</v>
      </c>
      <c r="L417" s="97" t="s">
        <v>103</v>
      </c>
      <c r="M417" s="97" t="s">
        <v>104</v>
      </c>
      <c r="N417" s="97" t="s">
        <v>105</v>
      </c>
      <c r="O417" s="97" t="s">
        <v>106</v>
      </c>
      <c r="P417" s="97" t="s">
        <v>107</v>
      </c>
      <c r="Q417" s="97" t="s">
        <v>108</v>
      </c>
      <c r="R417" s="97" t="s">
        <v>109</v>
      </c>
      <c r="S417" s="97" t="s">
        <v>110</v>
      </c>
      <c r="T417" s="97" t="s">
        <v>111</v>
      </c>
      <c r="U417" s="97" t="s">
        <v>112</v>
      </c>
      <c r="V417" s="97" t="s">
        <v>113</v>
      </c>
      <c r="W417" s="97" t="s">
        <v>114</v>
      </c>
      <c r="X417" s="97" t="s">
        <v>115</v>
      </c>
      <c r="Y417" s="97" t="s">
        <v>116</v>
      </c>
      <c r="Z417" s="97" t="s">
        <v>117</v>
      </c>
      <c r="AA417" s="97" t="s">
        <v>118</v>
      </c>
      <c r="AB417" s="97" t="s">
        <v>119</v>
      </c>
      <c r="AC417" s="97" t="s">
        <v>120</v>
      </c>
      <c r="AD417" s="97" t="s">
        <v>121</v>
      </c>
      <c r="AE417" s="97" t="s">
        <v>122</v>
      </c>
      <c r="AF417" s="97" t="s">
        <v>123</v>
      </c>
      <c r="AG417" s="97" t="s">
        <v>124</v>
      </c>
      <c r="AH417" s="97" t="s">
        <v>125</v>
      </c>
      <c r="AI417" s="97" t="s">
        <v>126</v>
      </c>
      <c r="AJ417" s="97" t="s">
        <v>127</v>
      </c>
      <c r="AK417" s="97" t="s">
        <v>128</v>
      </c>
      <c r="AL417" s="97" t="s">
        <v>129</v>
      </c>
      <c r="AM417" s="97" t="s">
        <v>130</v>
      </c>
      <c r="AN417" s="97" t="s">
        <v>131</v>
      </c>
      <c r="AO417" s="97" t="s">
        <v>132</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5">
      <c r="A418" s="102"/>
      <c r="B418" s="102" t="s">
        <v>229</v>
      </c>
      <c r="C418" s="102">
        <f>Road_mask</f>
        <v>1</v>
      </c>
      <c r="D418" s="118">
        <f t="shared" ref="D418:AO418" si="169">Dementia_values_road_1db_in</f>
        <v>0</v>
      </c>
      <c r="E418" s="118">
        <f t="shared" si="169"/>
        <v>0</v>
      </c>
      <c r="F418" s="118">
        <f t="shared" si="169"/>
        <v>0</v>
      </c>
      <c r="G418" s="118">
        <f t="shared" si="169"/>
        <v>5.5604684931662325</v>
      </c>
      <c r="H418" s="118">
        <f t="shared" si="169"/>
        <v>5.5723309192830772</v>
      </c>
      <c r="I418" s="118">
        <f t="shared" si="169"/>
        <v>5.5842197310570461</v>
      </c>
      <c r="J418" s="118">
        <f t="shared" si="169"/>
        <v>5.5961349895426427</v>
      </c>
      <c r="K418" s="118">
        <f t="shared" si="169"/>
        <v>5.6080767559404956</v>
      </c>
      <c r="L418" s="118">
        <f t="shared" si="169"/>
        <v>5.6200450915981293</v>
      </c>
      <c r="M418" s="118">
        <f t="shared" si="169"/>
        <v>5.6320400580102508</v>
      </c>
      <c r="N418" s="118">
        <f t="shared" si="169"/>
        <v>5.6440617168191443</v>
      </c>
      <c r="O418" s="118">
        <f t="shared" si="169"/>
        <v>5.6561101298145759</v>
      </c>
      <c r="P418" s="118">
        <f t="shared" si="169"/>
        <v>5.6681853589355677</v>
      </c>
      <c r="Q418" s="118">
        <f t="shared" si="169"/>
        <v>5.6802874662685419</v>
      </c>
      <c r="R418" s="118">
        <f t="shared" si="169"/>
        <v>5.6924165140499028</v>
      </c>
      <c r="S418" s="118">
        <f t="shared" si="169"/>
        <v>5.7045725646649679</v>
      </c>
      <c r="T418" s="118">
        <f t="shared" si="169"/>
        <v>5.7167556806489044</v>
      </c>
      <c r="U418" s="118">
        <f t="shared" si="169"/>
        <v>5.7289659246870492</v>
      </c>
      <c r="V418" s="118">
        <f t="shared" si="169"/>
        <v>5.7412033596150751</v>
      </c>
      <c r="W418" s="118">
        <f t="shared" si="169"/>
        <v>5.7534680484196503</v>
      </c>
      <c r="X418" s="118">
        <f t="shared" si="169"/>
        <v>5.765760054238898</v>
      </c>
      <c r="Y418" s="118">
        <f t="shared" si="169"/>
        <v>5.77807944036197</v>
      </c>
      <c r="Z418" s="118">
        <f t="shared" si="169"/>
        <v>5.7904262702306832</v>
      </c>
      <c r="AA418" s="118">
        <f t="shared" si="169"/>
        <v>5.8028006074384022</v>
      </c>
      <c r="AB418" s="118">
        <f t="shared" si="169"/>
        <v>5.8152025157322251</v>
      </c>
      <c r="AC418" s="118">
        <f t="shared" si="169"/>
        <v>5.8276320590118109</v>
      </c>
      <c r="AD418" s="118">
        <f t="shared" si="169"/>
        <v>5.8400893013299449</v>
      </c>
      <c r="AE418" s="118">
        <f t="shared" si="169"/>
        <v>5.8525743068939855</v>
      </c>
      <c r="AF418" s="118">
        <f t="shared" si="169"/>
        <v>5.865087140065433</v>
      </c>
      <c r="AG418" s="118">
        <f t="shared" si="169"/>
        <v>5.8776278653600595</v>
      </c>
      <c r="AH418" s="118">
        <f t="shared" si="169"/>
        <v>5.8901965474491833</v>
      </c>
      <c r="AI418" s="118">
        <f t="shared" si="169"/>
        <v>5.9027932511585135</v>
      </c>
      <c r="AJ418" s="118">
        <f t="shared" si="169"/>
        <v>5.9027932511585135</v>
      </c>
      <c r="AK418" s="118">
        <f t="shared" si="169"/>
        <v>5.9027932511585135</v>
      </c>
      <c r="AL418" s="118">
        <f t="shared" si="169"/>
        <v>5.9027932511585135</v>
      </c>
      <c r="AM418" s="118">
        <f t="shared" si="169"/>
        <v>5.9027932511585135</v>
      </c>
      <c r="AN418" s="118">
        <f t="shared" si="169"/>
        <v>5.9027932511585135</v>
      </c>
      <c r="AO418" s="118">
        <f t="shared" si="169"/>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5">
      <c r="A419" s="102"/>
      <c r="B419" s="102" t="s">
        <v>230</v>
      </c>
      <c r="C419" s="101">
        <f>Rail_mask</f>
        <v>0</v>
      </c>
      <c r="D419" s="118">
        <f t="shared" ref="D419:AO419" si="170">Dementia_values_rail_1db_in</f>
        <v>0</v>
      </c>
      <c r="E419" s="118">
        <f t="shared" si="170"/>
        <v>0</v>
      </c>
      <c r="F419" s="118">
        <f t="shared" si="170"/>
        <v>0</v>
      </c>
      <c r="G419" s="118">
        <f t="shared" si="170"/>
        <v>0</v>
      </c>
      <c r="H419" s="118">
        <f t="shared" si="170"/>
        <v>0</v>
      </c>
      <c r="I419" s="118">
        <f t="shared" si="170"/>
        <v>0</v>
      </c>
      <c r="J419" s="118">
        <f t="shared" si="170"/>
        <v>6.0557593009490045</v>
      </c>
      <c r="K419" s="118">
        <f t="shared" si="170"/>
        <v>6.0698042728608499</v>
      </c>
      <c r="L419" s="118">
        <f t="shared" si="170"/>
        <v>6.083883207945421</v>
      </c>
      <c r="M419" s="118">
        <f t="shared" si="170"/>
        <v>6.0979961916402177</v>
      </c>
      <c r="N419" s="118">
        <f t="shared" si="170"/>
        <v>6.112143309606183</v>
      </c>
      <c r="O419" s="118">
        <f t="shared" si="170"/>
        <v>6.1263246477271771</v>
      </c>
      <c r="P419" s="118">
        <f t="shared" si="170"/>
        <v>6.1405402921116909</v>
      </c>
      <c r="Q419" s="118">
        <f t="shared" si="170"/>
        <v>6.1547903290914201</v>
      </c>
      <c r="R419" s="118">
        <f t="shared" si="170"/>
        <v>6.1690748452253352</v>
      </c>
      <c r="S419" s="118">
        <f t="shared" si="170"/>
        <v>6.1833939272964757</v>
      </c>
      <c r="T419" s="118">
        <f t="shared" si="170"/>
        <v>6.1977476623153445</v>
      </c>
      <c r="U419" s="118">
        <f t="shared" si="170"/>
        <v>6.2121361375185931</v>
      </c>
      <c r="V419" s="118">
        <f t="shared" si="170"/>
        <v>6.2265594403715916</v>
      </c>
      <c r="W419" s="118">
        <f t="shared" si="170"/>
        <v>6.2410176585668626</v>
      </c>
      <c r="X419" s="118">
        <f t="shared" si="170"/>
        <v>6.2555108800268373</v>
      </c>
      <c r="Y419" s="118">
        <f t="shared" si="170"/>
        <v>6.2700391929026322</v>
      </c>
      <c r="Z419" s="118">
        <f t="shared" si="170"/>
        <v>6.2846026855759929</v>
      </c>
      <c r="AA419" s="118">
        <f t="shared" si="170"/>
        <v>6.2992014466586301</v>
      </c>
      <c r="AB419" s="118">
        <f t="shared" si="170"/>
        <v>6.3138355649952702</v>
      </c>
      <c r="AC419" s="118">
        <f t="shared" si="170"/>
        <v>6.3285051296604076</v>
      </c>
      <c r="AD419" s="118">
        <f t="shared" si="170"/>
        <v>6.3432102299626765</v>
      </c>
      <c r="AE419" s="118">
        <f t="shared" si="170"/>
        <v>6.3579509554436608</v>
      </c>
      <c r="AF419" s="118">
        <f t="shared" si="170"/>
        <v>6.3727273958782362</v>
      </c>
      <c r="AG419" s="118">
        <f t="shared" si="170"/>
        <v>6.3875396412766392</v>
      </c>
      <c r="AH419" s="118">
        <f t="shared" si="170"/>
        <v>6.4023877818832071</v>
      </c>
      <c r="AI419" s="118">
        <f t="shared" si="170"/>
        <v>6.4172719081790657</v>
      </c>
      <c r="AJ419" s="118">
        <f t="shared" si="170"/>
        <v>6.4172719081790657</v>
      </c>
      <c r="AK419" s="118">
        <f t="shared" si="170"/>
        <v>6.4172719081790657</v>
      </c>
      <c r="AL419" s="118">
        <f t="shared" si="170"/>
        <v>6.4172719081790657</v>
      </c>
      <c r="AM419" s="118">
        <f t="shared" si="170"/>
        <v>6.4172719081790657</v>
      </c>
      <c r="AN419" s="118">
        <f t="shared" si="170"/>
        <v>6.4172719081790657</v>
      </c>
      <c r="AO419" s="118">
        <f t="shared" si="170"/>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5">
      <c r="A420" s="102"/>
      <c r="B420" s="102" t="s">
        <v>231</v>
      </c>
      <c r="C420" s="101">
        <f>Aviation_mask</f>
        <v>0</v>
      </c>
      <c r="D420" s="118">
        <f t="shared" ref="D420:AO420" si="171">Dementia_values_aviation_1db_in</f>
        <v>0</v>
      </c>
      <c r="E420" s="118">
        <f t="shared" si="171"/>
        <v>0</v>
      </c>
      <c r="F420" s="118">
        <f t="shared" si="171"/>
        <v>0</v>
      </c>
      <c r="G420" s="118">
        <f t="shared" si="171"/>
        <v>0</v>
      </c>
      <c r="H420" s="118">
        <f t="shared" si="171"/>
        <v>0</v>
      </c>
      <c r="I420" s="118">
        <f t="shared" si="171"/>
        <v>0</v>
      </c>
      <c r="J420" s="118">
        <f t="shared" si="171"/>
        <v>10.7737470973864</v>
      </c>
      <c r="K420" s="118">
        <f t="shared" si="171"/>
        <v>10.818163438389666</v>
      </c>
      <c r="L420" s="118">
        <f t="shared" si="171"/>
        <v>10.862770859994386</v>
      </c>
      <c r="M420" s="118">
        <f t="shared" si="171"/>
        <v>10.907570217995223</v>
      </c>
      <c r="N420" s="118">
        <f t="shared" si="171"/>
        <v>10.952562372162364</v>
      </c>
      <c r="O420" s="118">
        <f t="shared" si="171"/>
        <v>10.997748186261683</v>
      </c>
      <c r="P420" s="118">
        <f t="shared" si="171"/>
        <v>11.043128528071891</v>
      </c>
      <c r="Q420" s="118">
        <f t="shared" si="171"/>
        <v>11.08870426940527</v>
      </c>
      <c r="R420" s="118">
        <f t="shared" si="171"/>
        <v>11.134476286127047</v>
      </c>
      <c r="S420" s="118">
        <f t="shared" si="171"/>
        <v>11.18044545817466</v>
      </c>
      <c r="T420" s="118">
        <f t="shared" si="171"/>
        <v>11.226612669576307</v>
      </c>
      <c r="U420" s="118">
        <f t="shared" si="171"/>
        <v>11.272978808472336</v>
      </c>
      <c r="V420" s="118">
        <f t="shared" si="171"/>
        <v>11.319544767133424</v>
      </c>
      <c r="W420" s="118">
        <f t="shared" si="171"/>
        <v>11.366311441981869</v>
      </c>
      <c r="X420" s="118">
        <f t="shared" si="171"/>
        <v>11.413279733609643</v>
      </c>
      <c r="Y420" s="118">
        <f t="shared" si="171"/>
        <v>11.460450546800622</v>
      </c>
      <c r="Z420" s="118">
        <f t="shared" si="171"/>
        <v>11.507824790549106</v>
      </c>
      <c r="AA420" s="118">
        <f t="shared" si="171"/>
        <v>11.555403378080758</v>
      </c>
      <c r="AB420" s="118">
        <f t="shared" si="171"/>
        <v>11.603187226872244</v>
      </c>
      <c r="AC420" s="118">
        <f t="shared" si="171"/>
        <v>11.651177258673407</v>
      </c>
      <c r="AD420" s="118">
        <f t="shared" si="171"/>
        <v>11.699374399525089</v>
      </c>
      <c r="AE420" s="118">
        <f t="shared" si="171"/>
        <v>11.747779579782469</v>
      </c>
      <c r="AF420" s="118">
        <f t="shared" si="171"/>
        <v>11.796393734134195</v>
      </c>
      <c r="AG420" s="118">
        <f t="shared" si="171"/>
        <v>11.845217801623152</v>
      </c>
      <c r="AH420" s="118">
        <f t="shared" si="171"/>
        <v>11.894252725669256</v>
      </c>
      <c r="AI420" s="118">
        <f t="shared" si="171"/>
        <v>11.943499454087371</v>
      </c>
      <c r="AJ420" s="118">
        <f t="shared" si="171"/>
        <v>11.943499454087371</v>
      </c>
      <c r="AK420" s="118">
        <f t="shared" si="171"/>
        <v>11.943499454087371</v>
      </c>
      <c r="AL420" s="118">
        <f t="shared" si="171"/>
        <v>11.943499454087371</v>
      </c>
      <c r="AM420" s="118">
        <f t="shared" si="171"/>
        <v>11.943499454087371</v>
      </c>
      <c r="AN420" s="118">
        <f t="shared" si="171"/>
        <v>11.943499454087371</v>
      </c>
      <c r="AO420" s="118">
        <f t="shared" si="171"/>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5">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5">
      <c r="A422" s="102"/>
      <c r="B422" s="151" t="s">
        <v>141</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5">
      <c r="A423" s="102"/>
      <c r="B423" s="151"/>
      <c r="C423" s="102"/>
      <c r="D423" s="12" t="s">
        <v>95</v>
      </c>
      <c r="E423" s="13" t="s">
        <v>96</v>
      </c>
      <c r="F423" s="97" t="s">
        <v>97</v>
      </c>
      <c r="G423" s="97" t="s">
        <v>98</v>
      </c>
      <c r="H423" s="97" t="s">
        <v>99</v>
      </c>
      <c r="I423" s="97" t="s">
        <v>100</v>
      </c>
      <c r="J423" s="97" t="s">
        <v>101</v>
      </c>
      <c r="K423" s="97" t="s">
        <v>102</v>
      </c>
      <c r="L423" s="97" t="s">
        <v>103</v>
      </c>
      <c r="M423" s="97" t="s">
        <v>104</v>
      </c>
      <c r="N423" s="97" t="s">
        <v>105</v>
      </c>
      <c r="O423" s="97" t="s">
        <v>106</v>
      </c>
      <c r="P423" s="97" t="s">
        <v>107</v>
      </c>
      <c r="Q423" s="97" t="s">
        <v>108</v>
      </c>
      <c r="R423" s="97" t="s">
        <v>109</v>
      </c>
      <c r="S423" s="97" t="s">
        <v>110</v>
      </c>
      <c r="T423" s="97" t="s">
        <v>111</v>
      </c>
      <c r="U423" s="97" t="s">
        <v>112</v>
      </c>
      <c r="V423" s="97" t="s">
        <v>113</v>
      </c>
      <c r="W423" s="97" t="s">
        <v>114</v>
      </c>
      <c r="X423" s="97" t="s">
        <v>115</v>
      </c>
      <c r="Y423" s="97" t="s">
        <v>116</v>
      </c>
      <c r="Z423" s="97" t="s">
        <v>117</v>
      </c>
      <c r="AA423" s="97" t="s">
        <v>118</v>
      </c>
      <c r="AB423" s="97" t="s">
        <v>119</v>
      </c>
      <c r="AC423" s="97" t="s">
        <v>120</v>
      </c>
      <c r="AD423" s="97" t="s">
        <v>121</v>
      </c>
      <c r="AE423" s="97" t="s">
        <v>122</v>
      </c>
      <c r="AF423" s="97" t="s">
        <v>123</v>
      </c>
      <c r="AG423" s="97" t="s">
        <v>124</v>
      </c>
      <c r="AH423" s="97" t="s">
        <v>125</v>
      </c>
      <c r="AI423" s="97" t="s">
        <v>126</v>
      </c>
      <c r="AJ423" s="97" t="s">
        <v>127</v>
      </c>
      <c r="AK423" s="97" t="s">
        <v>128</v>
      </c>
      <c r="AL423" s="97" t="s">
        <v>129</v>
      </c>
      <c r="AM423" s="97" t="s">
        <v>130</v>
      </c>
      <c r="AN423" s="97" t="s">
        <v>131</v>
      </c>
      <c r="AO423" s="97" t="s">
        <v>132</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5">
      <c r="A424" s="102"/>
      <c r="B424" s="102" t="s">
        <v>228</v>
      </c>
      <c r="C424" s="102"/>
      <c r="D424" s="118">
        <f t="shared" ref="D424:AO424" si="172">Dementia_values_road_1dB*Road_mask +Dementia_values_rail_1dB*Rail_mask +Dementia_values_aviation_1dB*Aviation_mask</f>
        <v>0</v>
      </c>
      <c r="E424" s="118">
        <f t="shared" si="172"/>
        <v>0</v>
      </c>
      <c r="F424" s="118">
        <f t="shared" si="172"/>
        <v>0</v>
      </c>
      <c r="G424" s="118">
        <f t="shared" si="172"/>
        <v>5.5604684931662325</v>
      </c>
      <c r="H424" s="118">
        <f t="shared" si="172"/>
        <v>5.5723309192830772</v>
      </c>
      <c r="I424" s="118">
        <f t="shared" si="172"/>
        <v>5.5842197310570461</v>
      </c>
      <c r="J424" s="118">
        <f t="shared" si="172"/>
        <v>5.5961349895426427</v>
      </c>
      <c r="K424" s="118">
        <f t="shared" si="172"/>
        <v>5.6080767559404956</v>
      </c>
      <c r="L424" s="118">
        <f t="shared" si="172"/>
        <v>5.6200450915981293</v>
      </c>
      <c r="M424" s="118">
        <f t="shared" si="172"/>
        <v>5.6320400580102508</v>
      </c>
      <c r="N424" s="118">
        <f t="shared" si="172"/>
        <v>5.6440617168191443</v>
      </c>
      <c r="O424" s="118">
        <f t="shared" si="172"/>
        <v>5.6561101298145759</v>
      </c>
      <c r="P424" s="118">
        <f t="shared" si="172"/>
        <v>5.6681853589355677</v>
      </c>
      <c r="Q424" s="118">
        <f t="shared" si="172"/>
        <v>5.6802874662685419</v>
      </c>
      <c r="R424" s="118">
        <f t="shared" si="172"/>
        <v>5.6924165140499028</v>
      </c>
      <c r="S424" s="118">
        <f t="shared" si="172"/>
        <v>5.7045725646649679</v>
      </c>
      <c r="T424" s="118">
        <f t="shared" si="172"/>
        <v>5.7167556806489044</v>
      </c>
      <c r="U424" s="118">
        <f t="shared" si="172"/>
        <v>5.7289659246870492</v>
      </c>
      <c r="V424" s="118">
        <f t="shared" si="172"/>
        <v>5.7412033596150751</v>
      </c>
      <c r="W424" s="118">
        <f t="shared" si="172"/>
        <v>5.7534680484196503</v>
      </c>
      <c r="X424" s="118">
        <f t="shared" si="172"/>
        <v>5.765760054238898</v>
      </c>
      <c r="Y424" s="118">
        <f t="shared" si="172"/>
        <v>5.77807944036197</v>
      </c>
      <c r="Z424" s="118">
        <f t="shared" si="172"/>
        <v>5.7904262702306832</v>
      </c>
      <c r="AA424" s="118">
        <f t="shared" si="172"/>
        <v>5.8028006074384022</v>
      </c>
      <c r="AB424" s="118">
        <f t="shared" si="172"/>
        <v>5.8152025157322251</v>
      </c>
      <c r="AC424" s="118">
        <f t="shared" si="172"/>
        <v>5.8276320590118109</v>
      </c>
      <c r="AD424" s="118">
        <f t="shared" si="172"/>
        <v>5.8400893013299449</v>
      </c>
      <c r="AE424" s="118">
        <f t="shared" si="172"/>
        <v>5.8525743068939855</v>
      </c>
      <c r="AF424" s="118">
        <f t="shared" si="172"/>
        <v>5.865087140065433</v>
      </c>
      <c r="AG424" s="118">
        <f t="shared" si="172"/>
        <v>5.8776278653600595</v>
      </c>
      <c r="AH424" s="118">
        <f t="shared" si="172"/>
        <v>5.8901965474491833</v>
      </c>
      <c r="AI424" s="118">
        <f t="shared" si="172"/>
        <v>5.9027932511585135</v>
      </c>
      <c r="AJ424" s="118">
        <f t="shared" si="172"/>
        <v>5.9027932511585135</v>
      </c>
      <c r="AK424" s="118">
        <f t="shared" si="172"/>
        <v>5.9027932511585135</v>
      </c>
      <c r="AL424" s="118">
        <f t="shared" si="172"/>
        <v>5.9027932511585135</v>
      </c>
      <c r="AM424" s="118">
        <f t="shared" si="172"/>
        <v>5.9027932511585135</v>
      </c>
      <c r="AN424" s="118">
        <f t="shared" si="172"/>
        <v>5.9027932511585135</v>
      </c>
      <c r="AO424" s="118">
        <f t="shared" si="172"/>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5">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4"/>
      <c r="C426" s="49" t="s">
        <v>94</v>
      </c>
      <c r="D426" s="70" t="s">
        <v>95</v>
      </c>
      <c r="E426" s="108" t="s">
        <v>96</v>
      </c>
      <c r="F426" s="108" t="s">
        <v>97</v>
      </c>
      <c r="G426" s="108" t="s">
        <v>98</v>
      </c>
      <c r="H426" s="108" t="s">
        <v>99</v>
      </c>
      <c r="I426" s="108" t="s">
        <v>100</v>
      </c>
      <c r="J426" s="108" t="s">
        <v>101</v>
      </c>
      <c r="K426" s="108" t="s">
        <v>102</v>
      </c>
      <c r="L426" s="108" t="s">
        <v>103</v>
      </c>
      <c r="M426" s="108" t="s">
        <v>104</v>
      </c>
      <c r="N426" s="108" t="s">
        <v>105</v>
      </c>
      <c r="O426" s="108" t="s">
        <v>106</v>
      </c>
      <c r="P426" s="108" t="s">
        <v>107</v>
      </c>
      <c r="Q426" s="108" t="s">
        <v>108</v>
      </c>
      <c r="R426" s="108" t="s">
        <v>109</v>
      </c>
      <c r="S426" s="108" t="s">
        <v>110</v>
      </c>
      <c r="T426" s="108" t="s">
        <v>111</v>
      </c>
      <c r="U426" s="108" t="s">
        <v>112</v>
      </c>
      <c r="V426" s="108" t="s">
        <v>113</v>
      </c>
      <c r="W426" s="108" t="s">
        <v>114</v>
      </c>
      <c r="X426" s="108" t="s">
        <v>115</v>
      </c>
      <c r="Y426" s="108" t="s">
        <v>116</v>
      </c>
      <c r="Z426" s="108" t="s">
        <v>117</v>
      </c>
      <c r="AA426" s="108" t="s">
        <v>118</v>
      </c>
      <c r="AB426" s="108" t="s">
        <v>119</v>
      </c>
      <c r="AC426" s="108" t="s">
        <v>120</v>
      </c>
      <c r="AD426" s="108" t="s">
        <v>121</v>
      </c>
      <c r="AE426" s="108" t="s">
        <v>122</v>
      </c>
      <c r="AF426" s="108" t="s">
        <v>123</v>
      </c>
      <c r="AG426" s="108" t="s">
        <v>124</v>
      </c>
      <c r="AH426" s="108" t="s">
        <v>125</v>
      </c>
      <c r="AI426" s="108" t="s">
        <v>126</v>
      </c>
      <c r="AJ426" s="108" t="s">
        <v>127</v>
      </c>
      <c r="AK426" s="108" t="s">
        <v>128</v>
      </c>
      <c r="AL426" s="108" t="s">
        <v>129</v>
      </c>
      <c r="AM426" s="108" t="s">
        <v>130</v>
      </c>
      <c r="AN426" s="108" t="s">
        <v>131</v>
      </c>
      <c r="AO426" s="108"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133</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8" t="s">
        <v>95</v>
      </c>
      <c r="C428" s="125"/>
      <c r="D428" s="134">
        <f>IF(D$426=$B428,0,IF(D$426&gt;$B428,-0.5*D$424-0.5*C$424+C428,0.5*HLOOKUP($B428,$D$423:$AO$424,2,FALSE)+0.5*HLOOKUP($B427,$D$423:$AO$424,2,FALSE)+D427))</f>
        <v>0</v>
      </c>
      <c r="E428" s="134">
        <f t="shared" ref="E428:AO428" si="173">IF(E$426=$B428,0,IF(E$426&gt;$B428,-0.5*E$424-0.5*D$424+D428,0.5*HLOOKUP($B428,$D$423:$AO$424,2,FALSE)+0.5*HLOOKUP($B427,$D$423:$AO$424,2,FALSE)+E427))</f>
        <v>0</v>
      </c>
      <c r="F428" s="134">
        <f t="shared" si="173"/>
        <v>0</v>
      </c>
      <c r="G428" s="134">
        <f t="shared" si="173"/>
        <v>-2.7802342465831162</v>
      </c>
      <c r="H428" s="134">
        <f t="shared" si="173"/>
        <v>-8.3466339528077711</v>
      </c>
      <c r="I428" s="134">
        <f t="shared" si="173"/>
        <v>-13.924909277977832</v>
      </c>
      <c r="J428" s="134">
        <f t="shared" si="173"/>
        <v>-19.515086638277676</v>
      </c>
      <c r="K428" s="134">
        <f t="shared" si="173"/>
        <v>-25.117192511019248</v>
      </c>
      <c r="L428" s="134">
        <f t="shared" si="173"/>
        <v>-30.73125343478856</v>
      </c>
      <c r="M428" s="134">
        <f t="shared" si="173"/>
        <v>-36.357296009592751</v>
      </c>
      <c r="N428" s="134">
        <f t="shared" si="173"/>
        <v>-41.995346897007451</v>
      </c>
      <c r="O428" s="134">
        <f t="shared" si="173"/>
        <v>-47.645432820324309</v>
      </c>
      <c r="P428" s="134">
        <f t="shared" si="173"/>
        <v>-53.307580564699379</v>
      </c>
      <c r="Q428" s="134">
        <f t="shared" si="173"/>
        <v>-58.981816977301435</v>
      </c>
      <c r="R428" s="134">
        <f t="shared" si="173"/>
        <v>-64.668168967460659</v>
      </c>
      <c r="S428" s="134">
        <f t="shared" si="173"/>
        <v>-70.366663506818099</v>
      </c>
      <c r="T428" s="134">
        <f t="shared" si="173"/>
        <v>-76.077327629475036</v>
      </c>
      <c r="U428" s="134">
        <f t="shared" si="173"/>
        <v>-81.800188432143017</v>
      </c>
      <c r="V428" s="134">
        <f t="shared" si="173"/>
        <v>-87.535273074294082</v>
      </c>
      <c r="W428" s="134">
        <f t="shared" si="173"/>
        <v>-93.282608778311442</v>
      </c>
      <c r="X428" s="134">
        <f t="shared" si="173"/>
        <v>-99.042222829640721</v>
      </c>
      <c r="Y428" s="134">
        <f t="shared" si="173"/>
        <v>-104.81414257694115</v>
      </c>
      <c r="Z428" s="134">
        <f t="shared" si="173"/>
        <v>-110.59839543223748</v>
      </c>
      <c r="AA428" s="134">
        <f t="shared" si="173"/>
        <v>-116.39500887107202</v>
      </c>
      <c r="AB428" s="134">
        <f t="shared" si="173"/>
        <v>-122.20401043265734</v>
      </c>
      <c r="AC428" s="134">
        <f t="shared" si="173"/>
        <v>-128.02542772002937</v>
      </c>
      <c r="AD428" s="134">
        <f t="shared" si="173"/>
        <v>-133.85928840020026</v>
      </c>
      <c r="AE428" s="134">
        <f t="shared" si="173"/>
        <v>-139.70562020431223</v>
      </c>
      <c r="AF428" s="134">
        <f t="shared" si="173"/>
        <v>-145.56445092779194</v>
      </c>
      <c r="AG428" s="134">
        <f t="shared" si="173"/>
        <v>-151.43580843050469</v>
      </c>
      <c r="AH428" s="134">
        <f t="shared" si="173"/>
        <v>-157.31972063690932</v>
      </c>
      <c r="AI428" s="134">
        <f t="shared" si="173"/>
        <v>-163.21621553621318</v>
      </c>
      <c r="AJ428" s="134">
        <f t="shared" si="173"/>
        <v>-169.11900878737168</v>
      </c>
      <c r="AK428" s="134">
        <f t="shared" si="173"/>
        <v>-175.02180203853021</v>
      </c>
      <c r="AL428" s="134">
        <f t="shared" si="173"/>
        <v>-180.92459528968874</v>
      </c>
      <c r="AM428" s="134">
        <f t="shared" si="173"/>
        <v>-186.82738854084727</v>
      </c>
      <c r="AN428" s="134">
        <f t="shared" si="173"/>
        <v>-192.73018179200579</v>
      </c>
      <c r="AO428" s="134">
        <f t="shared" si="173"/>
        <v>-198.63297504316432</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2" t="s">
        <v>96</v>
      </c>
      <c r="C429" s="135"/>
      <c r="D429" s="134">
        <f t="shared" ref="D429:AO429" si="174">IF(D$426=$B429,0,IF(D$426&gt;$B429,-0.5*D$424-0.5*C$424+C429,0.5*HLOOKUP($B429,$D$423:$AO$424,2,FALSE)+0.5*HLOOKUP($B428,$D$423:$AO$424,2,FALSE)+D428))</f>
        <v>0</v>
      </c>
      <c r="E429" s="134">
        <f t="shared" si="174"/>
        <v>0</v>
      </c>
      <c r="F429" s="134">
        <f t="shared" si="174"/>
        <v>0</v>
      </c>
      <c r="G429" s="134">
        <f t="shared" si="174"/>
        <v>-2.7802342465831162</v>
      </c>
      <c r="H429" s="134">
        <f t="shared" si="174"/>
        <v>-8.3466339528077711</v>
      </c>
      <c r="I429" s="134">
        <f t="shared" si="174"/>
        <v>-13.924909277977832</v>
      </c>
      <c r="J429" s="134">
        <f t="shared" si="174"/>
        <v>-19.515086638277676</v>
      </c>
      <c r="K429" s="134">
        <f t="shared" si="174"/>
        <v>-25.117192511019248</v>
      </c>
      <c r="L429" s="134">
        <f t="shared" si="174"/>
        <v>-30.73125343478856</v>
      </c>
      <c r="M429" s="134">
        <f t="shared" si="174"/>
        <v>-36.357296009592751</v>
      </c>
      <c r="N429" s="134">
        <f t="shared" si="174"/>
        <v>-41.995346897007451</v>
      </c>
      <c r="O429" s="134">
        <f t="shared" si="174"/>
        <v>-47.645432820324309</v>
      </c>
      <c r="P429" s="134">
        <f t="shared" si="174"/>
        <v>-53.307580564699379</v>
      </c>
      <c r="Q429" s="134">
        <f t="shared" si="174"/>
        <v>-58.981816977301435</v>
      </c>
      <c r="R429" s="134">
        <f t="shared" si="174"/>
        <v>-64.668168967460659</v>
      </c>
      <c r="S429" s="134">
        <f t="shared" si="174"/>
        <v>-70.366663506818099</v>
      </c>
      <c r="T429" s="134">
        <f t="shared" si="174"/>
        <v>-76.077327629475036</v>
      </c>
      <c r="U429" s="134">
        <f t="shared" si="174"/>
        <v>-81.800188432143017</v>
      </c>
      <c r="V429" s="134">
        <f t="shared" si="174"/>
        <v>-87.535273074294082</v>
      </c>
      <c r="W429" s="134">
        <f t="shared" si="174"/>
        <v>-93.282608778311442</v>
      </c>
      <c r="X429" s="134">
        <f t="shared" si="174"/>
        <v>-99.042222829640721</v>
      </c>
      <c r="Y429" s="134">
        <f t="shared" si="174"/>
        <v>-104.81414257694115</v>
      </c>
      <c r="Z429" s="134">
        <f t="shared" si="174"/>
        <v>-110.59839543223748</v>
      </c>
      <c r="AA429" s="134">
        <f t="shared" si="174"/>
        <v>-116.39500887107202</v>
      </c>
      <c r="AB429" s="134">
        <f t="shared" si="174"/>
        <v>-122.20401043265734</v>
      </c>
      <c r="AC429" s="134">
        <f t="shared" si="174"/>
        <v>-128.02542772002937</v>
      </c>
      <c r="AD429" s="134">
        <f t="shared" si="174"/>
        <v>-133.85928840020026</v>
      </c>
      <c r="AE429" s="134">
        <f t="shared" si="174"/>
        <v>-139.70562020431223</v>
      </c>
      <c r="AF429" s="134">
        <f t="shared" si="174"/>
        <v>-145.56445092779194</v>
      </c>
      <c r="AG429" s="134">
        <f t="shared" si="174"/>
        <v>-151.43580843050469</v>
      </c>
      <c r="AH429" s="134">
        <f t="shared" si="174"/>
        <v>-157.31972063690932</v>
      </c>
      <c r="AI429" s="134">
        <f t="shared" si="174"/>
        <v>-163.21621553621318</v>
      </c>
      <c r="AJ429" s="134">
        <f t="shared" si="174"/>
        <v>-169.11900878737168</v>
      </c>
      <c r="AK429" s="134">
        <f t="shared" si="174"/>
        <v>-175.02180203853021</v>
      </c>
      <c r="AL429" s="134">
        <f t="shared" si="174"/>
        <v>-180.92459528968874</v>
      </c>
      <c r="AM429" s="134">
        <f t="shared" si="174"/>
        <v>-186.82738854084727</v>
      </c>
      <c r="AN429" s="134">
        <f t="shared" si="174"/>
        <v>-192.73018179200579</v>
      </c>
      <c r="AO429" s="134">
        <f t="shared" si="174"/>
        <v>-198.63297504316432</v>
      </c>
      <c r="AP429" s="99"/>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2" t="s">
        <v>97</v>
      </c>
      <c r="C430" s="135"/>
      <c r="D430" s="134">
        <f t="shared" ref="D430:AO430" si="175">IF(D$426=$B430,0,IF(D$426&gt;$B430,-0.5*D$424-0.5*C$424+C430,0.5*HLOOKUP($B430,$D$423:$AO$424,2,FALSE)+0.5*HLOOKUP($B429,$D$423:$AO$424,2,FALSE)+D429))</f>
        <v>0</v>
      </c>
      <c r="E430" s="134">
        <f t="shared" si="175"/>
        <v>0</v>
      </c>
      <c r="F430" s="134">
        <f t="shared" si="175"/>
        <v>0</v>
      </c>
      <c r="G430" s="134">
        <f t="shared" si="175"/>
        <v>-2.7802342465831162</v>
      </c>
      <c r="H430" s="134">
        <f t="shared" si="175"/>
        <v>-8.3466339528077711</v>
      </c>
      <c r="I430" s="134">
        <f t="shared" si="175"/>
        <v>-13.924909277977832</v>
      </c>
      <c r="J430" s="134">
        <f t="shared" si="175"/>
        <v>-19.515086638277676</v>
      </c>
      <c r="K430" s="134">
        <f t="shared" si="175"/>
        <v>-25.117192511019248</v>
      </c>
      <c r="L430" s="134">
        <f t="shared" si="175"/>
        <v>-30.73125343478856</v>
      </c>
      <c r="M430" s="134">
        <f t="shared" si="175"/>
        <v>-36.357296009592751</v>
      </c>
      <c r="N430" s="134">
        <f t="shared" si="175"/>
        <v>-41.995346897007451</v>
      </c>
      <c r="O430" s="134">
        <f t="shared" si="175"/>
        <v>-47.645432820324309</v>
      </c>
      <c r="P430" s="134">
        <f t="shared" si="175"/>
        <v>-53.307580564699379</v>
      </c>
      <c r="Q430" s="134">
        <f t="shared" si="175"/>
        <v>-58.981816977301435</v>
      </c>
      <c r="R430" s="134">
        <f t="shared" si="175"/>
        <v>-64.668168967460659</v>
      </c>
      <c r="S430" s="134">
        <f t="shared" si="175"/>
        <v>-70.366663506818099</v>
      </c>
      <c r="T430" s="134">
        <f t="shared" si="175"/>
        <v>-76.077327629475036</v>
      </c>
      <c r="U430" s="134">
        <f t="shared" si="175"/>
        <v>-81.800188432143017</v>
      </c>
      <c r="V430" s="134">
        <f t="shared" si="175"/>
        <v>-87.535273074294082</v>
      </c>
      <c r="W430" s="134">
        <f t="shared" si="175"/>
        <v>-93.282608778311442</v>
      </c>
      <c r="X430" s="134">
        <f t="shared" si="175"/>
        <v>-99.042222829640721</v>
      </c>
      <c r="Y430" s="134">
        <f t="shared" si="175"/>
        <v>-104.81414257694115</v>
      </c>
      <c r="Z430" s="134">
        <f t="shared" si="175"/>
        <v>-110.59839543223748</v>
      </c>
      <c r="AA430" s="134">
        <f t="shared" si="175"/>
        <v>-116.39500887107202</v>
      </c>
      <c r="AB430" s="134">
        <f t="shared" si="175"/>
        <v>-122.20401043265734</v>
      </c>
      <c r="AC430" s="134">
        <f t="shared" si="175"/>
        <v>-128.02542772002937</v>
      </c>
      <c r="AD430" s="134">
        <f t="shared" si="175"/>
        <v>-133.85928840020026</v>
      </c>
      <c r="AE430" s="134">
        <f t="shared" si="175"/>
        <v>-139.70562020431223</v>
      </c>
      <c r="AF430" s="134">
        <f t="shared" si="175"/>
        <v>-145.56445092779194</v>
      </c>
      <c r="AG430" s="134">
        <f t="shared" si="175"/>
        <v>-151.43580843050469</v>
      </c>
      <c r="AH430" s="134">
        <f t="shared" si="175"/>
        <v>-157.31972063690932</v>
      </c>
      <c r="AI430" s="134">
        <f t="shared" si="175"/>
        <v>-163.21621553621318</v>
      </c>
      <c r="AJ430" s="134">
        <f t="shared" si="175"/>
        <v>-169.11900878737168</v>
      </c>
      <c r="AK430" s="134">
        <f t="shared" si="175"/>
        <v>-175.02180203853021</v>
      </c>
      <c r="AL430" s="134">
        <f t="shared" si="175"/>
        <v>-180.92459528968874</v>
      </c>
      <c r="AM430" s="134">
        <f t="shared" si="175"/>
        <v>-186.82738854084727</v>
      </c>
      <c r="AN430" s="134">
        <f t="shared" si="175"/>
        <v>-192.73018179200579</v>
      </c>
      <c r="AO430" s="134">
        <f t="shared" si="175"/>
        <v>-198.63297504316432</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2" t="s">
        <v>98</v>
      </c>
      <c r="C431" s="135"/>
      <c r="D431" s="134">
        <f t="shared" ref="D431:AO431" si="176">IF(D$426=$B431,0,IF(D$426&gt;$B431,-0.5*D$424-0.5*C$424+C431,0.5*HLOOKUP($B431,$D$423:$AO$424,2,FALSE)+0.5*HLOOKUP($B430,$D$423:$AO$424,2,FALSE)+D430))</f>
        <v>2.7802342465831162</v>
      </c>
      <c r="E431" s="134">
        <f t="shared" si="176"/>
        <v>2.7802342465831162</v>
      </c>
      <c r="F431" s="134">
        <f t="shared" si="176"/>
        <v>2.7802342465831162</v>
      </c>
      <c r="G431" s="134">
        <f t="shared" si="176"/>
        <v>0</v>
      </c>
      <c r="H431" s="134">
        <f t="shared" si="176"/>
        <v>-5.5663997062246544</v>
      </c>
      <c r="I431" s="134">
        <f t="shared" si="176"/>
        <v>-11.144675031394716</v>
      </c>
      <c r="J431" s="134">
        <f t="shared" si="176"/>
        <v>-16.73485239169456</v>
      </c>
      <c r="K431" s="134">
        <f t="shared" si="176"/>
        <v>-22.336958264436127</v>
      </c>
      <c r="L431" s="134">
        <f t="shared" si="176"/>
        <v>-27.951019188205439</v>
      </c>
      <c r="M431" s="134">
        <f t="shared" si="176"/>
        <v>-33.577061763009631</v>
      </c>
      <c r="N431" s="134">
        <f t="shared" si="176"/>
        <v>-39.215112650424331</v>
      </c>
      <c r="O431" s="134">
        <f t="shared" si="176"/>
        <v>-44.865198573741189</v>
      </c>
      <c r="P431" s="134">
        <f t="shared" si="176"/>
        <v>-50.527346318116258</v>
      </c>
      <c r="Q431" s="134">
        <f t="shared" si="176"/>
        <v>-56.201582730718314</v>
      </c>
      <c r="R431" s="134">
        <f t="shared" si="176"/>
        <v>-61.887934720877539</v>
      </c>
      <c r="S431" s="134">
        <f t="shared" si="176"/>
        <v>-67.586429260234979</v>
      </c>
      <c r="T431" s="134">
        <f t="shared" si="176"/>
        <v>-73.297093382891916</v>
      </c>
      <c r="U431" s="134">
        <f t="shared" si="176"/>
        <v>-79.019954185559897</v>
      </c>
      <c r="V431" s="134">
        <f t="shared" si="176"/>
        <v>-84.755038827710962</v>
      </c>
      <c r="W431" s="134">
        <f t="shared" si="176"/>
        <v>-90.502374531728321</v>
      </c>
      <c r="X431" s="134">
        <f t="shared" si="176"/>
        <v>-96.261988583057601</v>
      </c>
      <c r="Y431" s="134">
        <f t="shared" si="176"/>
        <v>-102.03390833035803</v>
      </c>
      <c r="Z431" s="134">
        <f t="shared" si="176"/>
        <v>-107.81816118565436</v>
      </c>
      <c r="AA431" s="134">
        <f t="shared" si="176"/>
        <v>-113.6147746244889</v>
      </c>
      <c r="AB431" s="134">
        <f t="shared" si="176"/>
        <v>-119.42377618607422</v>
      </c>
      <c r="AC431" s="134">
        <f t="shared" si="176"/>
        <v>-125.24519347344624</v>
      </c>
      <c r="AD431" s="134">
        <f t="shared" si="176"/>
        <v>-131.07905415361711</v>
      </c>
      <c r="AE431" s="134">
        <f t="shared" si="176"/>
        <v>-136.92538595772908</v>
      </c>
      <c r="AF431" s="134">
        <f t="shared" si="176"/>
        <v>-142.78421668120879</v>
      </c>
      <c r="AG431" s="134">
        <f t="shared" si="176"/>
        <v>-148.65557418392154</v>
      </c>
      <c r="AH431" s="134">
        <f t="shared" si="176"/>
        <v>-154.53948639032618</v>
      </c>
      <c r="AI431" s="134">
        <f t="shared" si="176"/>
        <v>-160.43598128963004</v>
      </c>
      <c r="AJ431" s="134">
        <f t="shared" si="176"/>
        <v>-166.33877454078856</v>
      </c>
      <c r="AK431" s="134">
        <f t="shared" si="176"/>
        <v>-172.24156779194709</v>
      </c>
      <c r="AL431" s="134">
        <f t="shared" si="176"/>
        <v>-178.14436104310562</v>
      </c>
      <c r="AM431" s="134">
        <f t="shared" si="176"/>
        <v>-184.04715429426415</v>
      </c>
      <c r="AN431" s="134">
        <f t="shared" si="176"/>
        <v>-189.94994754542267</v>
      </c>
      <c r="AO431" s="134">
        <f t="shared" si="176"/>
        <v>-195.8527407965812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2" t="s">
        <v>99</v>
      </c>
      <c r="C432" s="135"/>
      <c r="D432" s="134">
        <f t="shared" ref="D432:AO432" si="177">IF(D$426=$B432,0,IF(D$426&gt;$B432,-0.5*D$424-0.5*C$424+C432,0.5*HLOOKUP($B432,$D$423:$AO$424,2,FALSE)+0.5*HLOOKUP($B431,$D$423:$AO$424,2,FALSE)+D431))</f>
        <v>8.3466339528077711</v>
      </c>
      <c r="E432" s="134">
        <f t="shared" si="177"/>
        <v>8.3466339528077711</v>
      </c>
      <c r="F432" s="134">
        <f t="shared" si="177"/>
        <v>8.3466339528077711</v>
      </c>
      <c r="G432" s="134">
        <f t="shared" si="177"/>
        <v>5.5663997062246544</v>
      </c>
      <c r="H432" s="134">
        <f t="shared" si="177"/>
        <v>0</v>
      </c>
      <c r="I432" s="134">
        <f t="shared" si="177"/>
        <v>-5.5782753251700612</v>
      </c>
      <c r="J432" s="134">
        <f t="shared" si="177"/>
        <v>-11.168452685469905</v>
      </c>
      <c r="K432" s="134">
        <f t="shared" si="177"/>
        <v>-16.770558558211476</v>
      </c>
      <c r="L432" s="134">
        <f t="shared" si="177"/>
        <v>-22.384619481980788</v>
      </c>
      <c r="M432" s="134">
        <f t="shared" si="177"/>
        <v>-28.01066205678498</v>
      </c>
      <c r="N432" s="134">
        <f t="shared" si="177"/>
        <v>-33.64871294419968</v>
      </c>
      <c r="O432" s="134">
        <f t="shared" si="177"/>
        <v>-39.298798867516538</v>
      </c>
      <c r="P432" s="134">
        <f t="shared" si="177"/>
        <v>-44.960946611891607</v>
      </c>
      <c r="Q432" s="134">
        <f t="shared" si="177"/>
        <v>-50.635183024493664</v>
      </c>
      <c r="R432" s="134">
        <f t="shared" si="177"/>
        <v>-56.321535014652888</v>
      </c>
      <c r="S432" s="134">
        <f t="shared" si="177"/>
        <v>-62.020029554010321</v>
      </c>
      <c r="T432" s="134">
        <f t="shared" si="177"/>
        <v>-67.730693676667258</v>
      </c>
      <c r="U432" s="134">
        <f t="shared" si="177"/>
        <v>-73.453554479335239</v>
      </c>
      <c r="V432" s="134">
        <f t="shared" si="177"/>
        <v>-79.188639121486304</v>
      </c>
      <c r="W432" s="134">
        <f t="shared" si="177"/>
        <v>-84.935974825503664</v>
      </c>
      <c r="X432" s="134">
        <f t="shared" si="177"/>
        <v>-90.695588876832943</v>
      </c>
      <c r="Y432" s="134">
        <f t="shared" si="177"/>
        <v>-96.467508624133373</v>
      </c>
      <c r="Z432" s="134">
        <f t="shared" si="177"/>
        <v>-102.2517614794297</v>
      </c>
      <c r="AA432" s="134">
        <f t="shared" si="177"/>
        <v>-108.04837491826424</v>
      </c>
      <c r="AB432" s="134">
        <f t="shared" si="177"/>
        <v>-113.85737647984956</v>
      </c>
      <c r="AC432" s="134">
        <f t="shared" si="177"/>
        <v>-119.67879376722158</v>
      </c>
      <c r="AD432" s="134">
        <f t="shared" si="177"/>
        <v>-125.51265444739245</v>
      </c>
      <c r="AE432" s="134">
        <f t="shared" si="177"/>
        <v>-131.3589862515044</v>
      </c>
      <c r="AF432" s="134">
        <f t="shared" si="177"/>
        <v>-137.21781697498412</v>
      </c>
      <c r="AG432" s="134">
        <f t="shared" si="177"/>
        <v>-143.08917447769687</v>
      </c>
      <c r="AH432" s="134">
        <f t="shared" si="177"/>
        <v>-148.9730866841015</v>
      </c>
      <c r="AI432" s="134">
        <f t="shared" si="177"/>
        <v>-154.86958158340536</v>
      </c>
      <c r="AJ432" s="134">
        <f t="shared" si="177"/>
        <v>-160.77237483456389</v>
      </c>
      <c r="AK432" s="134">
        <f t="shared" si="177"/>
        <v>-166.67516808572242</v>
      </c>
      <c r="AL432" s="134">
        <f t="shared" si="177"/>
        <v>-172.57796133688095</v>
      </c>
      <c r="AM432" s="134">
        <f t="shared" si="177"/>
        <v>-178.48075458803947</v>
      </c>
      <c r="AN432" s="134">
        <f t="shared" si="177"/>
        <v>-184.383547839198</v>
      </c>
      <c r="AO432" s="134">
        <f t="shared" si="177"/>
        <v>-190.28634109035653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2" t="s">
        <v>100</v>
      </c>
      <c r="C433" s="135"/>
      <c r="D433" s="134">
        <f t="shared" ref="D433:AO433" si="178">IF(D$426=$B433,0,IF(D$426&gt;$B433,-0.5*D$424-0.5*C$424+C433,0.5*HLOOKUP($B433,$D$423:$AO$424,2,FALSE)+0.5*HLOOKUP($B432,$D$423:$AO$424,2,FALSE)+D432))</f>
        <v>13.924909277977832</v>
      </c>
      <c r="E433" s="134">
        <f t="shared" si="178"/>
        <v>13.924909277977832</v>
      </c>
      <c r="F433" s="134">
        <f t="shared" si="178"/>
        <v>13.924909277977832</v>
      </c>
      <c r="G433" s="134">
        <f t="shared" si="178"/>
        <v>11.144675031394716</v>
      </c>
      <c r="H433" s="134">
        <f t="shared" si="178"/>
        <v>5.5782753251700612</v>
      </c>
      <c r="I433" s="134">
        <f t="shared" si="178"/>
        <v>0</v>
      </c>
      <c r="J433" s="134">
        <f t="shared" si="178"/>
        <v>-5.5901773602998439</v>
      </c>
      <c r="K433" s="134">
        <f t="shared" si="178"/>
        <v>-11.192283233041413</v>
      </c>
      <c r="L433" s="134">
        <f t="shared" si="178"/>
        <v>-16.806344156810724</v>
      </c>
      <c r="M433" s="134">
        <f t="shared" si="178"/>
        <v>-22.432386731614912</v>
      </c>
      <c r="N433" s="134">
        <f t="shared" si="178"/>
        <v>-28.070437619029612</v>
      </c>
      <c r="O433" s="134">
        <f t="shared" si="178"/>
        <v>-33.72052354234647</v>
      </c>
      <c r="P433" s="134">
        <f t="shared" si="178"/>
        <v>-39.382671286721539</v>
      </c>
      <c r="Q433" s="134">
        <f t="shared" si="178"/>
        <v>-45.056907699323595</v>
      </c>
      <c r="R433" s="134">
        <f t="shared" si="178"/>
        <v>-50.743259689482819</v>
      </c>
      <c r="S433" s="134">
        <f t="shared" si="178"/>
        <v>-56.441754228840253</v>
      </c>
      <c r="T433" s="134">
        <f t="shared" si="178"/>
        <v>-62.15241835149719</v>
      </c>
      <c r="U433" s="134">
        <f t="shared" si="178"/>
        <v>-67.87527915416517</v>
      </c>
      <c r="V433" s="134">
        <f t="shared" si="178"/>
        <v>-73.610363796316236</v>
      </c>
      <c r="W433" s="134">
        <f t="shared" si="178"/>
        <v>-79.357699500333595</v>
      </c>
      <c r="X433" s="134">
        <f t="shared" si="178"/>
        <v>-85.117313551662875</v>
      </c>
      <c r="Y433" s="134">
        <f t="shared" si="178"/>
        <v>-90.889233298963305</v>
      </c>
      <c r="Z433" s="134">
        <f t="shared" si="178"/>
        <v>-96.673486154259635</v>
      </c>
      <c r="AA433" s="134">
        <f t="shared" si="178"/>
        <v>-102.47009959309418</v>
      </c>
      <c r="AB433" s="134">
        <f t="shared" si="178"/>
        <v>-108.27910115467949</v>
      </c>
      <c r="AC433" s="134">
        <f t="shared" si="178"/>
        <v>-114.10051844205151</v>
      </c>
      <c r="AD433" s="134">
        <f t="shared" si="178"/>
        <v>-119.93437912222238</v>
      </c>
      <c r="AE433" s="134">
        <f t="shared" si="178"/>
        <v>-125.78071092633435</v>
      </c>
      <c r="AF433" s="134">
        <f t="shared" si="178"/>
        <v>-131.63954164981405</v>
      </c>
      <c r="AG433" s="134">
        <f t="shared" si="178"/>
        <v>-137.5108991525268</v>
      </c>
      <c r="AH433" s="134">
        <f t="shared" si="178"/>
        <v>-143.39481135893143</v>
      </c>
      <c r="AI433" s="134">
        <f t="shared" si="178"/>
        <v>-149.29130625823529</v>
      </c>
      <c r="AJ433" s="134">
        <f t="shared" si="178"/>
        <v>-155.19409950939382</v>
      </c>
      <c r="AK433" s="134">
        <f t="shared" si="178"/>
        <v>-161.09689276055235</v>
      </c>
      <c r="AL433" s="134">
        <f t="shared" si="178"/>
        <v>-166.99968601171088</v>
      </c>
      <c r="AM433" s="134">
        <f t="shared" si="178"/>
        <v>-172.90247926286941</v>
      </c>
      <c r="AN433" s="134">
        <f t="shared" si="178"/>
        <v>-178.80527251402793</v>
      </c>
      <c r="AO433" s="134">
        <f t="shared" si="178"/>
        <v>-184.70806576518646</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2" t="s">
        <v>101</v>
      </c>
      <c r="C434" s="135"/>
      <c r="D434" s="134">
        <f t="shared" ref="D434:AO434" si="179">IF(D$426=$B434,0,IF(D$426&gt;$B434,-0.5*D$424-0.5*C$424+C434,0.5*HLOOKUP($B434,$D$423:$AO$424,2,FALSE)+0.5*HLOOKUP($B433,$D$423:$AO$424,2,FALSE)+D433))</f>
        <v>19.515086638277676</v>
      </c>
      <c r="E434" s="134">
        <f t="shared" si="179"/>
        <v>19.515086638277676</v>
      </c>
      <c r="F434" s="134">
        <f t="shared" si="179"/>
        <v>19.515086638277676</v>
      </c>
      <c r="G434" s="134">
        <f t="shared" si="179"/>
        <v>16.73485239169456</v>
      </c>
      <c r="H434" s="134">
        <f t="shared" si="179"/>
        <v>11.168452685469905</v>
      </c>
      <c r="I434" s="134">
        <f t="shared" si="179"/>
        <v>5.5901773602998439</v>
      </c>
      <c r="J434" s="134">
        <f t="shared" si="179"/>
        <v>0</v>
      </c>
      <c r="K434" s="134">
        <f t="shared" si="179"/>
        <v>-5.6021058727415696</v>
      </c>
      <c r="L434" s="134">
        <f t="shared" si="179"/>
        <v>-11.216166796510882</v>
      </c>
      <c r="M434" s="134">
        <f t="shared" si="179"/>
        <v>-16.842209371315072</v>
      </c>
      <c r="N434" s="134">
        <f t="shared" si="179"/>
        <v>-22.480260258729771</v>
      </c>
      <c r="O434" s="134">
        <f t="shared" si="179"/>
        <v>-28.13034618204663</v>
      </c>
      <c r="P434" s="134">
        <f t="shared" si="179"/>
        <v>-33.792493926421699</v>
      </c>
      <c r="Q434" s="134">
        <f t="shared" si="179"/>
        <v>-39.466730339023755</v>
      </c>
      <c r="R434" s="134">
        <f t="shared" si="179"/>
        <v>-45.153082329182979</v>
      </c>
      <c r="S434" s="134">
        <f t="shared" si="179"/>
        <v>-50.851576868540413</v>
      </c>
      <c r="T434" s="134">
        <f t="shared" si="179"/>
        <v>-56.562240991197349</v>
      </c>
      <c r="U434" s="134">
        <f t="shared" si="179"/>
        <v>-62.285101793865323</v>
      </c>
      <c r="V434" s="134">
        <f t="shared" si="179"/>
        <v>-68.020186436016388</v>
      </c>
      <c r="W434" s="134">
        <f t="shared" si="179"/>
        <v>-73.767522140033748</v>
      </c>
      <c r="X434" s="134">
        <f t="shared" si="179"/>
        <v>-79.527136191363027</v>
      </c>
      <c r="Y434" s="134">
        <f t="shared" si="179"/>
        <v>-85.299055938663457</v>
      </c>
      <c r="Z434" s="134">
        <f t="shared" si="179"/>
        <v>-91.083308793959787</v>
      </c>
      <c r="AA434" s="134">
        <f t="shared" si="179"/>
        <v>-96.879922232794328</v>
      </c>
      <c r="AB434" s="134">
        <f t="shared" si="179"/>
        <v>-102.68892379437965</v>
      </c>
      <c r="AC434" s="134">
        <f t="shared" si="179"/>
        <v>-108.51034108175166</v>
      </c>
      <c r="AD434" s="134">
        <f t="shared" si="179"/>
        <v>-114.34420176192253</v>
      </c>
      <c r="AE434" s="134">
        <f t="shared" si="179"/>
        <v>-120.1905335660345</v>
      </c>
      <c r="AF434" s="134">
        <f t="shared" si="179"/>
        <v>-126.04936428951422</v>
      </c>
      <c r="AG434" s="134">
        <f t="shared" si="179"/>
        <v>-131.92072179222697</v>
      </c>
      <c r="AH434" s="134">
        <f t="shared" si="179"/>
        <v>-137.8046339986316</v>
      </c>
      <c r="AI434" s="134">
        <f t="shared" si="179"/>
        <v>-143.70112889793546</v>
      </c>
      <c r="AJ434" s="134">
        <f t="shared" si="179"/>
        <v>-149.60392214909399</v>
      </c>
      <c r="AK434" s="134">
        <f t="shared" si="179"/>
        <v>-155.50671540025252</v>
      </c>
      <c r="AL434" s="134">
        <f t="shared" si="179"/>
        <v>-161.40950865141104</v>
      </c>
      <c r="AM434" s="134">
        <f t="shared" si="179"/>
        <v>-167.31230190256957</v>
      </c>
      <c r="AN434" s="134">
        <f t="shared" si="179"/>
        <v>-173.2150951537281</v>
      </c>
      <c r="AO434" s="134">
        <f t="shared" si="179"/>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2" t="s">
        <v>102</v>
      </c>
      <c r="C435" s="135"/>
      <c r="D435" s="134">
        <f t="shared" ref="D435:AO435" si="180">IF(D$426=$B435,0,IF(D$426&gt;$B435,-0.5*D$424-0.5*C$424+C435,0.5*HLOOKUP($B435,$D$423:$AO$424,2,FALSE)+0.5*HLOOKUP($B434,$D$423:$AO$424,2,FALSE)+D434))</f>
        <v>25.117192511019248</v>
      </c>
      <c r="E435" s="134">
        <f t="shared" si="180"/>
        <v>25.117192511019248</v>
      </c>
      <c r="F435" s="134">
        <f t="shared" si="180"/>
        <v>25.117192511019248</v>
      </c>
      <c r="G435" s="134">
        <f t="shared" si="180"/>
        <v>22.336958264436127</v>
      </c>
      <c r="H435" s="134">
        <f t="shared" si="180"/>
        <v>16.770558558211476</v>
      </c>
      <c r="I435" s="134">
        <f t="shared" si="180"/>
        <v>11.192283233041413</v>
      </c>
      <c r="J435" s="134">
        <f t="shared" si="180"/>
        <v>5.6021058727415696</v>
      </c>
      <c r="K435" s="134">
        <f t="shared" si="180"/>
        <v>0</v>
      </c>
      <c r="L435" s="134">
        <f t="shared" si="180"/>
        <v>-5.614060923769312</v>
      </c>
      <c r="M435" s="134">
        <f t="shared" si="180"/>
        <v>-11.240103498573502</v>
      </c>
      <c r="N435" s="134">
        <f t="shared" si="180"/>
        <v>-16.8781543859882</v>
      </c>
      <c r="O435" s="134">
        <f t="shared" si="180"/>
        <v>-22.528240309305062</v>
      </c>
      <c r="P435" s="134">
        <f t="shared" si="180"/>
        <v>-28.190388053680135</v>
      </c>
      <c r="Q435" s="134">
        <f t="shared" si="180"/>
        <v>-33.864624466282187</v>
      </c>
      <c r="R435" s="134">
        <f t="shared" si="180"/>
        <v>-39.550976456441411</v>
      </c>
      <c r="S435" s="134">
        <f t="shared" si="180"/>
        <v>-45.249470995798845</v>
      </c>
      <c r="T435" s="134">
        <f t="shared" si="180"/>
        <v>-50.960135118455781</v>
      </c>
      <c r="U435" s="134">
        <f t="shared" si="180"/>
        <v>-56.682995921123762</v>
      </c>
      <c r="V435" s="134">
        <f t="shared" si="180"/>
        <v>-62.418080563274827</v>
      </c>
      <c r="W435" s="134">
        <f t="shared" si="180"/>
        <v>-68.165416267292187</v>
      </c>
      <c r="X435" s="134">
        <f t="shared" si="180"/>
        <v>-73.925030318621467</v>
      </c>
      <c r="Y435" s="134">
        <f t="shared" si="180"/>
        <v>-79.696950065921897</v>
      </c>
      <c r="Z435" s="134">
        <f t="shared" si="180"/>
        <v>-85.481202921218227</v>
      </c>
      <c r="AA435" s="134">
        <f t="shared" si="180"/>
        <v>-91.277816360052768</v>
      </c>
      <c r="AB435" s="134">
        <f t="shared" si="180"/>
        <v>-97.086817921638087</v>
      </c>
      <c r="AC435" s="134">
        <f t="shared" si="180"/>
        <v>-102.9082352090101</v>
      </c>
      <c r="AD435" s="134">
        <f t="shared" si="180"/>
        <v>-108.74209588918097</v>
      </c>
      <c r="AE435" s="134">
        <f t="shared" si="180"/>
        <v>-114.58842769329294</v>
      </c>
      <c r="AF435" s="134">
        <f t="shared" si="180"/>
        <v>-120.44725841677266</v>
      </c>
      <c r="AG435" s="134">
        <f t="shared" si="180"/>
        <v>-126.3186159194854</v>
      </c>
      <c r="AH435" s="134">
        <f t="shared" si="180"/>
        <v>-132.20252812589001</v>
      </c>
      <c r="AI435" s="134">
        <f t="shared" si="180"/>
        <v>-138.09902302519387</v>
      </c>
      <c r="AJ435" s="134">
        <f t="shared" si="180"/>
        <v>-144.00181627635237</v>
      </c>
      <c r="AK435" s="134">
        <f t="shared" si="180"/>
        <v>-149.9046095275109</v>
      </c>
      <c r="AL435" s="134">
        <f t="shared" si="180"/>
        <v>-155.80740277866943</v>
      </c>
      <c r="AM435" s="134">
        <f t="shared" si="180"/>
        <v>-161.71019602982796</v>
      </c>
      <c r="AN435" s="134">
        <f t="shared" si="180"/>
        <v>-167.61298928098648</v>
      </c>
      <c r="AO435" s="134">
        <f t="shared" si="180"/>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2" t="s">
        <v>103</v>
      </c>
      <c r="C436" s="135"/>
      <c r="D436" s="134">
        <f t="shared" ref="D436:AO436" si="181">IF(D$426=$B436,0,IF(D$426&gt;$B436,-0.5*D$424-0.5*C$424+C436,0.5*HLOOKUP($B436,$D$423:$AO$424,2,FALSE)+0.5*HLOOKUP($B435,$D$423:$AO$424,2,FALSE)+D435))</f>
        <v>30.73125343478856</v>
      </c>
      <c r="E436" s="134">
        <f t="shared" si="181"/>
        <v>30.73125343478856</v>
      </c>
      <c r="F436" s="134">
        <f t="shared" si="181"/>
        <v>30.73125343478856</v>
      </c>
      <c r="G436" s="134">
        <f t="shared" si="181"/>
        <v>27.951019188205439</v>
      </c>
      <c r="H436" s="134">
        <f t="shared" si="181"/>
        <v>22.384619481980788</v>
      </c>
      <c r="I436" s="134">
        <f t="shared" si="181"/>
        <v>16.806344156810724</v>
      </c>
      <c r="J436" s="134">
        <f t="shared" si="181"/>
        <v>11.216166796510882</v>
      </c>
      <c r="K436" s="134">
        <f t="shared" si="181"/>
        <v>5.614060923769312</v>
      </c>
      <c r="L436" s="134">
        <f t="shared" si="181"/>
        <v>0</v>
      </c>
      <c r="M436" s="134">
        <f t="shared" si="181"/>
        <v>-5.62604257480419</v>
      </c>
      <c r="N436" s="134">
        <f t="shared" si="181"/>
        <v>-11.264093462218888</v>
      </c>
      <c r="O436" s="134">
        <f t="shared" si="181"/>
        <v>-16.914179385535746</v>
      </c>
      <c r="P436" s="134">
        <f t="shared" si="181"/>
        <v>-22.576327129910819</v>
      </c>
      <c r="Q436" s="134">
        <f t="shared" si="181"/>
        <v>-28.250563542512872</v>
      </c>
      <c r="R436" s="134">
        <f t="shared" si="181"/>
        <v>-33.936915532672096</v>
      </c>
      <c r="S436" s="134">
        <f t="shared" si="181"/>
        <v>-39.635410072029529</v>
      </c>
      <c r="T436" s="134">
        <f t="shared" si="181"/>
        <v>-45.346074194686466</v>
      </c>
      <c r="U436" s="134">
        <f t="shared" si="181"/>
        <v>-51.068934997354447</v>
      </c>
      <c r="V436" s="134">
        <f t="shared" si="181"/>
        <v>-56.804019639505512</v>
      </c>
      <c r="W436" s="134">
        <f t="shared" si="181"/>
        <v>-62.551355343522872</v>
      </c>
      <c r="X436" s="134">
        <f t="shared" si="181"/>
        <v>-68.310969394852151</v>
      </c>
      <c r="Y436" s="134">
        <f t="shared" si="181"/>
        <v>-74.082889142152581</v>
      </c>
      <c r="Z436" s="134">
        <f t="shared" si="181"/>
        <v>-79.867141997448911</v>
      </c>
      <c r="AA436" s="134">
        <f t="shared" si="181"/>
        <v>-85.663755436283452</v>
      </c>
      <c r="AB436" s="134">
        <f t="shared" si="181"/>
        <v>-91.472756997868771</v>
      </c>
      <c r="AC436" s="134">
        <f t="shared" si="181"/>
        <v>-97.294174285240786</v>
      </c>
      <c r="AD436" s="134">
        <f t="shared" si="181"/>
        <v>-103.12803496541166</v>
      </c>
      <c r="AE436" s="134">
        <f t="shared" si="181"/>
        <v>-108.97436676952363</v>
      </c>
      <c r="AF436" s="134">
        <f t="shared" si="181"/>
        <v>-114.83319749300334</v>
      </c>
      <c r="AG436" s="134">
        <f t="shared" si="181"/>
        <v>-120.70455499571608</v>
      </c>
      <c r="AH436" s="134">
        <f t="shared" si="181"/>
        <v>-126.5884672021207</v>
      </c>
      <c r="AI436" s="134">
        <f t="shared" si="181"/>
        <v>-132.48496210142454</v>
      </c>
      <c r="AJ436" s="134">
        <f t="shared" si="181"/>
        <v>-138.38775535258304</v>
      </c>
      <c r="AK436" s="134">
        <f t="shared" si="181"/>
        <v>-144.29054860374157</v>
      </c>
      <c r="AL436" s="134">
        <f t="shared" si="181"/>
        <v>-150.1933418549001</v>
      </c>
      <c r="AM436" s="134">
        <f t="shared" si="181"/>
        <v>-156.09613510605863</v>
      </c>
      <c r="AN436" s="134">
        <f t="shared" si="181"/>
        <v>-161.99892835721715</v>
      </c>
      <c r="AO436" s="134">
        <f t="shared" si="181"/>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2" t="s">
        <v>104</v>
      </c>
      <c r="C437" s="135"/>
      <c r="D437" s="134">
        <f t="shared" ref="D437:AO437" si="182">IF(D$426=$B437,0,IF(D$426&gt;$B437,-0.5*D$424-0.5*C$424+C437,0.5*HLOOKUP($B437,$D$423:$AO$424,2,FALSE)+0.5*HLOOKUP($B436,$D$423:$AO$424,2,FALSE)+D436))</f>
        <v>36.357296009592751</v>
      </c>
      <c r="E437" s="134">
        <f t="shared" si="182"/>
        <v>36.357296009592751</v>
      </c>
      <c r="F437" s="134">
        <f t="shared" si="182"/>
        <v>36.357296009592751</v>
      </c>
      <c r="G437" s="134">
        <f t="shared" si="182"/>
        <v>33.577061763009631</v>
      </c>
      <c r="H437" s="134">
        <f t="shared" si="182"/>
        <v>28.01066205678498</v>
      </c>
      <c r="I437" s="134">
        <f t="shared" si="182"/>
        <v>22.432386731614912</v>
      </c>
      <c r="J437" s="134">
        <f t="shared" si="182"/>
        <v>16.842209371315072</v>
      </c>
      <c r="K437" s="134">
        <f t="shared" si="182"/>
        <v>11.240103498573502</v>
      </c>
      <c r="L437" s="134">
        <f t="shared" si="182"/>
        <v>5.62604257480419</v>
      </c>
      <c r="M437" s="134">
        <f t="shared" si="182"/>
        <v>0</v>
      </c>
      <c r="N437" s="134">
        <f t="shared" si="182"/>
        <v>-5.638050887414698</v>
      </c>
      <c r="O437" s="134">
        <f t="shared" si="182"/>
        <v>-11.288136810731558</v>
      </c>
      <c r="P437" s="134">
        <f t="shared" si="182"/>
        <v>-16.950284555106631</v>
      </c>
      <c r="Q437" s="134">
        <f t="shared" si="182"/>
        <v>-22.624520967708683</v>
      </c>
      <c r="R437" s="134">
        <f t="shared" si="182"/>
        <v>-28.310872957867907</v>
      </c>
      <c r="S437" s="134">
        <f t="shared" si="182"/>
        <v>-34.009367497225341</v>
      </c>
      <c r="T437" s="134">
        <f t="shared" si="182"/>
        <v>-39.720031619882278</v>
      </c>
      <c r="U437" s="134">
        <f t="shared" si="182"/>
        <v>-45.442892422550258</v>
      </c>
      <c r="V437" s="134">
        <f t="shared" si="182"/>
        <v>-51.177977064701324</v>
      </c>
      <c r="W437" s="134">
        <f t="shared" si="182"/>
        <v>-56.925312768718683</v>
      </c>
      <c r="X437" s="134">
        <f t="shared" si="182"/>
        <v>-62.684926820047956</v>
      </c>
      <c r="Y437" s="134">
        <f t="shared" si="182"/>
        <v>-68.456846567348393</v>
      </c>
      <c r="Z437" s="134">
        <f t="shared" si="182"/>
        <v>-74.241099422644723</v>
      </c>
      <c r="AA437" s="134">
        <f t="shared" si="182"/>
        <v>-80.037712861479264</v>
      </c>
      <c r="AB437" s="134">
        <f t="shared" si="182"/>
        <v>-85.846714423064583</v>
      </c>
      <c r="AC437" s="134">
        <f t="shared" si="182"/>
        <v>-91.668131710436597</v>
      </c>
      <c r="AD437" s="134">
        <f t="shared" si="182"/>
        <v>-97.501992390607469</v>
      </c>
      <c r="AE437" s="134">
        <f t="shared" si="182"/>
        <v>-103.34832419471944</v>
      </c>
      <c r="AF437" s="134">
        <f t="shared" si="182"/>
        <v>-109.20715491819915</v>
      </c>
      <c r="AG437" s="134">
        <f t="shared" si="182"/>
        <v>-115.07851242091189</v>
      </c>
      <c r="AH437" s="134">
        <f t="shared" si="182"/>
        <v>-120.96242462731651</v>
      </c>
      <c r="AI437" s="134">
        <f t="shared" si="182"/>
        <v>-126.85891952662035</v>
      </c>
      <c r="AJ437" s="134">
        <f t="shared" si="182"/>
        <v>-132.76171277777888</v>
      </c>
      <c r="AK437" s="134">
        <f t="shared" si="182"/>
        <v>-138.66450602893741</v>
      </c>
      <c r="AL437" s="134">
        <f t="shared" si="182"/>
        <v>-144.56729928009594</v>
      </c>
      <c r="AM437" s="134">
        <f t="shared" si="182"/>
        <v>-150.47009253125447</v>
      </c>
      <c r="AN437" s="134">
        <f t="shared" si="182"/>
        <v>-156.37288578241299</v>
      </c>
      <c r="AO437" s="134">
        <f t="shared" si="182"/>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2" t="s">
        <v>105</v>
      </c>
      <c r="C438" s="135"/>
      <c r="D438" s="134">
        <f t="shared" ref="D438:AO438" si="183">IF(D$426=$B438,0,IF(D$426&gt;$B438,-0.5*D$424-0.5*C$424+C438,0.5*HLOOKUP($B438,$D$423:$AO$424,2,FALSE)+0.5*HLOOKUP($B437,$D$423:$AO$424,2,FALSE)+D437))</f>
        <v>41.995346897007451</v>
      </c>
      <c r="E438" s="134">
        <f t="shared" si="183"/>
        <v>41.995346897007451</v>
      </c>
      <c r="F438" s="134">
        <f t="shared" si="183"/>
        <v>41.995346897007451</v>
      </c>
      <c r="G438" s="134">
        <f t="shared" si="183"/>
        <v>39.215112650424331</v>
      </c>
      <c r="H438" s="134">
        <f t="shared" si="183"/>
        <v>33.64871294419968</v>
      </c>
      <c r="I438" s="134">
        <f t="shared" si="183"/>
        <v>28.070437619029612</v>
      </c>
      <c r="J438" s="134">
        <f t="shared" si="183"/>
        <v>22.480260258729771</v>
      </c>
      <c r="K438" s="134">
        <f t="shared" si="183"/>
        <v>16.8781543859882</v>
      </c>
      <c r="L438" s="134">
        <f t="shared" si="183"/>
        <v>11.264093462218888</v>
      </c>
      <c r="M438" s="134">
        <f t="shared" si="183"/>
        <v>5.638050887414698</v>
      </c>
      <c r="N438" s="134">
        <f t="shared" si="183"/>
        <v>0</v>
      </c>
      <c r="O438" s="134">
        <f t="shared" si="183"/>
        <v>-5.6500859233168601</v>
      </c>
      <c r="P438" s="134">
        <f t="shared" si="183"/>
        <v>-11.312233667691931</v>
      </c>
      <c r="Q438" s="134">
        <f t="shared" si="183"/>
        <v>-16.986470080293984</v>
      </c>
      <c r="R438" s="134">
        <f t="shared" si="183"/>
        <v>-22.672822070453208</v>
      </c>
      <c r="S438" s="134">
        <f t="shared" si="183"/>
        <v>-28.371316609810641</v>
      </c>
      <c r="T438" s="134">
        <f t="shared" si="183"/>
        <v>-34.081980732467578</v>
      </c>
      <c r="U438" s="134">
        <f t="shared" si="183"/>
        <v>-39.804841535135552</v>
      </c>
      <c r="V438" s="134">
        <f t="shared" si="183"/>
        <v>-45.539926177286617</v>
      </c>
      <c r="W438" s="134">
        <f t="shared" si="183"/>
        <v>-51.287261881303976</v>
      </c>
      <c r="X438" s="134">
        <f t="shared" si="183"/>
        <v>-57.046875932633249</v>
      </c>
      <c r="Y438" s="134">
        <f t="shared" si="183"/>
        <v>-62.818795679933686</v>
      </c>
      <c r="Z438" s="134">
        <f t="shared" si="183"/>
        <v>-68.603048535230016</v>
      </c>
      <c r="AA438" s="134">
        <f t="shared" si="183"/>
        <v>-74.399661974064557</v>
      </c>
      <c r="AB438" s="134">
        <f t="shared" si="183"/>
        <v>-80.208663535649876</v>
      </c>
      <c r="AC438" s="134">
        <f t="shared" si="183"/>
        <v>-86.030080823021891</v>
      </c>
      <c r="AD438" s="134">
        <f t="shared" si="183"/>
        <v>-91.863941503192763</v>
      </c>
      <c r="AE438" s="134">
        <f t="shared" si="183"/>
        <v>-97.710273307304732</v>
      </c>
      <c r="AF438" s="134">
        <f t="shared" si="183"/>
        <v>-103.56910403078444</v>
      </c>
      <c r="AG438" s="134">
        <f t="shared" si="183"/>
        <v>-109.44046153349719</v>
      </c>
      <c r="AH438" s="134">
        <f t="shared" si="183"/>
        <v>-115.3243737399018</v>
      </c>
      <c r="AI438" s="134">
        <f t="shared" si="183"/>
        <v>-121.22086863920565</v>
      </c>
      <c r="AJ438" s="134">
        <f t="shared" si="183"/>
        <v>-127.12366189036416</v>
      </c>
      <c r="AK438" s="134">
        <f t="shared" si="183"/>
        <v>-133.02645514152266</v>
      </c>
      <c r="AL438" s="134">
        <f t="shared" si="183"/>
        <v>-138.92924839268119</v>
      </c>
      <c r="AM438" s="134">
        <f t="shared" si="183"/>
        <v>-144.83204164383972</v>
      </c>
      <c r="AN438" s="134">
        <f t="shared" si="183"/>
        <v>-150.73483489499824</v>
      </c>
      <c r="AO438" s="134">
        <f t="shared" si="183"/>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2" t="s">
        <v>106</v>
      </c>
      <c r="C439" s="135"/>
      <c r="D439" s="134">
        <f t="shared" ref="D439:AO439" si="184">IF(D$426=$B439,0,IF(D$426&gt;$B439,-0.5*D$424-0.5*C$424+C439,0.5*HLOOKUP($B439,$D$423:$AO$424,2,FALSE)+0.5*HLOOKUP($B438,$D$423:$AO$424,2,FALSE)+D438))</f>
        <v>47.645432820324309</v>
      </c>
      <c r="E439" s="134">
        <f t="shared" si="184"/>
        <v>47.645432820324309</v>
      </c>
      <c r="F439" s="134">
        <f t="shared" si="184"/>
        <v>47.645432820324309</v>
      </c>
      <c r="G439" s="134">
        <f t="shared" si="184"/>
        <v>44.865198573741189</v>
      </c>
      <c r="H439" s="134">
        <f t="shared" si="184"/>
        <v>39.298798867516538</v>
      </c>
      <c r="I439" s="134">
        <f t="shared" si="184"/>
        <v>33.72052354234647</v>
      </c>
      <c r="J439" s="134">
        <f t="shared" si="184"/>
        <v>28.13034618204663</v>
      </c>
      <c r="K439" s="134">
        <f t="shared" si="184"/>
        <v>22.528240309305062</v>
      </c>
      <c r="L439" s="134">
        <f t="shared" si="184"/>
        <v>16.914179385535746</v>
      </c>
      <c r="M439" s="134">
        <f t="shared" si="184"/>
        <v>11.288136810731558</v>
      </c>
      <c r="N439" s="134">
        <f t="shared" si="184"/>
        <v>5.6500859233168601</v>
      </c>
      <c r="O439" s="134">
        <f t="shared" si="184"/>
        <v>0</v>
      </c>
      <c r="P439" s="134">
        <f t="shared" si="184"/>
        <v>-5.6621477443750718</v>
      </c>
      <c r="Q439" s="134">
        <f t="shared" si="184"/>
        <v>-11.336384156977125</v>
      </c>
      <c r="R439" s="134">
        <f t="shared" si="184"/>
        <v>-17.022736147136349</v>
      </c>
      <c r="S439" s="134">
        <f t="shared" si="184"/>
        <v>-22.721230686493783</v>
      </c>
      <c r="T439" s="134">
        <f t="shared" si="184"/>
        <v>-28.43189480915072</v>
      </c>
      <c r="U439" s="134">
        <f t="shared" si="184"/>
        <v>-34.1547556118187</v>
      </c>
      <c r="V439" s="134">
        <f t="shared" si="184"/>
        <v>-39.889840253969766</v>
      </c>
      <c r="W439" s="134">
        <f t="shared" si="184"/>
        <v>-45.637175957987125</v>
      </c>
      <c r="X439" s="134">
        <f t="shared" si="184"/>
        <v>-51.396790009316398</v>
      </c>
      <c r="Y439" s="134">
        <f t="shared" si="184"/>
        <v>-57.168709756616835</v>
      </c>
      <c r="Z439" s="134">
        <f t="shared" si="184"/>
        <v>-62.952962611913165</v>
      </c>
      <c r="AA439" s="134">
        <f t="shared" si="184"/>
        <v>-68.749576050747706</v>
      </c>
      <c r="AB439" s="134">
        <f t="shared" si="184"/>
        <v>-74.558577612333025</v>
      </c>
      <c r="AC439" s="134">
        <f t="shared" si="184"/>
        <v>-80.379994899705039</v>
      </c>
      <c r="AD439" s="134">
        <f t="shared" si="184"/>
        <v>-86.213855579875911</v>
      </c>
      <c r="AE439" s="134">
        <f t="shared" si="184"/>
        <v>-92.060187383987881</v>
      </c>
      <c r="AF439" s="134">
        <f t="shared" si="184"/>
        <v>-97.919018107467593</v>
      </c>
      <c r="AG439" s="134">
        <f t="shared" si="184"/>
        <v>-103.79037561018033</v>
      </c>
      <c r="AH439" s="134">
        <f t="shared" si="184"/>
        <v>-109.67428781658495</v>
      </c>
      <c r="AI439" s="134">
        <f t="shared" si="184"/>
        <v>-115.5707827158888</v>
      </c>
      <c r="AJ439" s="134">
        <f t="shared" si="184"/>
        <v>-121.47357596704731</v>
      </c>
      <c r="AK439" s="134">
        <f t="shared" si="184"/>
        <v>-127.37636921820582</v>
      </c>
      <c r="AL439" s="134">
        <f t="shared" si="184"/>
        <v>-133.27916246936434</v>
      </c>
      <c r="AM439" s="134">
        <f t="shared" si="184"/>
        <v>-139.18195572052286</v>
      </c>
      <c r="AN439" s="134">
        <f t="shared" si="184"/>
        <v>-145.08474897168139</v>
      </c>
      <c r="AO439" s="134">
        <f t="shared" si="184"/>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2" t="s">
        <v>107</v>
      </c>
      <c r="C440" s="135"/>
      <c r="D440" s="134">
        <f t="shared" ref="D440:AO440" si="185">IF(D$426=$B440,0,IF(D$426&gt;$B440,-0.5*D$424-0.5*C$424+C440,0.5*HLOOKUP($B440,$D$423:$AO$424,2,FALSE)+0.5*HLOOKUP($B439,$D$423:$AO$424,2,FALSE)+D439))</f>
        <v>53.307580564699379</v>
      </c>
      <c r="E440" s="134">
        <f t="shared" si="185"/>
        <v>53.307580564699379</v>
      </c>
      <c r="F440" s="134">
        <f t="shared" si="185"/>
        <v>53.307580564699379</v>
      </c>
      <c r="G440" s="134">
        <f t="shared" si="185"/>
        <v>50.527346318116258</v>
      </c>
      <c r="H440" s="134">
        <f t="shared" si="185"/>
        <v>44.960946611891607</v>
      </c>
      <c r="I440" s="134">
        <f t="shared" si="185"/>
        <v>39.382671286721539</v>
      </c>
      <c r="J440" s="134">
        <f t="shared" si="185"/>
        <v>33.792493926421699</v>
      </c>
      <c r="K440" s="134">
        <f t="shared" si="185"/>
        <v>28.190388053680135</v>
      </c>
      <c r="L440" s="134">
        <f t="shared" si="185"/>
        <v>22.576327129910819</v>
      </c>
      <c r="M440" s="134">
        <f t="shared" si="185"/>
        <v>16.950284555106631</v>
      </c>
      <c r="N440" s="134">
        <f t="shared" si="185"/>
        <v>11.312233667691931</v>
      </c>
      <c r="O440" s="134">
        <f t="shared" si="185"/>
        <v>5.6621477443750718</v>
      </c>
      <c r="P440" s="134">
        <f t="shared" si="185"/>
        <v>0</v>
      </c>
      <c r="Q440" s="134">
        <f t="shared" si="185"/>
        <v>-5.6742364126020544</v>
      </c>
      <c r="R440" s="134">
        <f t="shared" si="185"/>
        <v>-11.360588402761277</v>
      </c>
      <c r="S440" s="134">
        <f t="shared" si="185"/>
        <v>-17.059082942118714</v>
      </c>
      <c r="T440" s="134">
        <f t="shared" si="185"/>
        <v>-22.76974706477565</v>
      </c>
      <c r="U440" s="134">
        <f t="shared" si="185"/>
        <v>-28.492607867443628</v>
      </c>
      <c r="V440" s="134">
        <f t="shared" si="185"/>
        <v>-34.227692509594689</v>
      </c>
      <c r="W440" s="134">
        <f t="shared" si="185"/>
        <v>-39.975028213612049</v>
      </c>
      <c r="X440" s="134">
        <f t="shared" si="185"/>
        <v>-45.734642264941321</v>
      </c>
      <c r="Y440" s="134">
        <f t="shared" si="185"/>
        <v>-51.506562012241758</v>
      </c>
      <c r="Z440" s="134">
        <f t="shared" si="185"/>
        <v>-57.290814867538089</v>
      </c>
      <c r="AA440" s="134">
        <f t="shared" si="185"/>
        <v>-63.08742830637263</v>
      </c>
      <c r="AB440" s="134">
        <f t="shared" si="185"/>
        <v>-68.896429867957949</v>
      </c>
      <c r="AC440" s="134">
        <f t="shared" si="185"/>
        <v>-74.717847155329963</v>
      </c>
      <c r="AD440" s="134">
        <f t="shared" si="185"/>
        <v>-80.551707835500835</v>
      </c>
      <c r="AE440" s="134">
        <f t="shared" si="185"/>
        <v>-86.398039639612804</v>
      </c>
      <c r="AF440" s="134">
        <f t="shared" si="185"/>
        <v>-92.256870363092517</v>
      </c>
      <c r="AG440" s="134">
        <f t="shared" si="185"/>
        <v>-98.128227865805258</v>
      </c>
      <c r="AH440" s="134">
        <f t="shared" si="185"/>
        <v>-104.01214007220987</v>
      </c>
      <c r="AI440" s="134">
        <f t="shared" si="185"/>
        <v>-109.90863497151372</v>
      </c>
      <c r="AJ440" s="134">
        <f t="shared" si="185"/>
        <v>-115.81142822267223</v>
      </c>
      <c r="AK440" s="134">
        <f t="shared" si="185"/>
        <v>-121.71422147383075</v>
      </c>
      <c r="AL440" s="134">
        <f t="shared" si="185"/>
        <v>-127.61701472498926</v>
      </c>
      <c r="AM440" s="134">
        <f t="shared" si="185"/>
        <v>-133.51980797614777</v>
      </c>
      <c r="AN440" s="134">
        <f t="shared" si="185"/>
        <v>-139.4226012273063</v>
      </c>
      <c r="AO440" s="134">
        <f t="shared" si="185"/>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2" t="s">
        <v>108</v>
      </c>
      <c r="C441" s="135"/>
      <c r="D441" s="134">
        <f t="shared" ref="D441:AO441" si="186">IF(D$426=$B441,0,IF(D$426&gt;$B441,-0.5*D$424-0.5*C$424+C441,0.5*HLOOKUP($B441,$D$423:$AO$424,2,FALSE)+0.5*HLOOKUP($B440,$D$423:$AO$424,2,FALSE)+D440))</f>
        <v>58.981816977301435</v>
      </c>
      <c r="E441" s="134">
        <f t="shared" si="186"/>
        <v>58.981816977301435</v>
      </c>
      <c r="F441" s="134">
        <f t="shared" si="186"/>
        <v>58.981816977301435</v>
      </c>
      <c r="G441" s="134">
        <f t="shared" si="186"/>
        <v>56.201582730718314</v>
      </c>
      <c r="H441" s="134">
        <f t="shared" si="186"/>
        <v>50.635183024493664</v>
      </c>
      <c r="I441" s="134">
        <f t="shared" si="186"/>
        <v>45.056907699323595</v>
      </c>
      <c r="J441" s="134">
        <f t="shared" si="186"/>
        <v>39.466730339023755</v>
      </c>
      <c r="K441" s="134">
        <f t="shared" si="186"/>
        <v>33.864624466282187</v>
      </c>
      <c r="L441" s="134">
        <f t="shared" si="186"/>
        <v>28.250563542512872</v>
      </c>
      <c r="M441" s="134">
        <f t="shared" si="186"/>
        <v>22.624520967708683</v>
      </c>
      <c r="N441" s="134">
        <f t="shared" si="186"/>
        <v>16.986470080293984</v>
      </c>
      <c r="O441" s="134">
        <f t="shared" si="186"/>
        <v>11.336384156977125</v>
      </c>
      <c r="P441" s="134">
        <f t="shared" si="186"/>
        <v>5.6742364126020544</v>
      </c>
      <c r="Q441" s="134">
        <f t="shared" si="186"/>
        <v>0</v>
      </c>
      <c r="R441" s="134">
        <f t="shared" si="186"/>
        <v>-5.6863519901592223</v>
      </c>
      <c r="S441" s="134">
        <f t="shared" si="186"/>
        <v>-11.384846529516658</v>
      </c>
      <c r="T441" s="134">
        <f t="shared" si="186"/>
        <v>-17.095510652173594</v>
      </c>
      <c r="U441" s="134">
        <f t="shared" si="186"/>
        <v>-22.818371454841571</v>
      </c>
      <c r="V441" s="134">
        <f t="shared" si="186"/>
        <v>-28.553456096992633</v>
      </c>
      <c r="W441" s="134">
        <f t="shared" si="186"/>
        <v>-34.300791801009993</v>
      </c>
      <c r="X441" s="134">
        <f t="shared" si="186"/>
        <v>-40.060405852339265</v>
      </c>
      <c r="Y441" s="134">
        <f t="shared" si="186"/>
        <v>-45.832325599639702</v>
      </c>
      <c r="Z441" s="134">
        <f t="shared" si="186"/>
        <v>-51.616578454936032</v>
      </c>
      <c r="AA441" s="134">
        <f t="shared" si="186"/>
        <v>-57.413191893770573</v>
      </c>
      <c r="AB441" s="134">
        <f t="shared" si="186"/>
        <v>-63.222193455355885</v>
      </c>
      <c r="AC441" s="134">
        <f t="shared" si="186"/>
        <v>-69.043610742727907</v>
      </c>
      <c r="AD441" s="134">
        <f t="shared" si="186"/>
        <v>-74.877471422898779</v>
      </c>
      <c r="AE441" s="134">
        <f t="shared" si="186"/>
        <v>-80.723803227010748</v>
      </c>
      <c r="AF441" s="134">
        <f t="shared" si="186"/>
        <v>-86.582633950490461</v>
      </c>
      <c r="AG441" s="134">
        <f t="shared" si="186"/>
        <v>-92.453991453203201</v>
      </c>
      <c r="AH441" s="134">
        <f t="shared" si="186"/>
        <v>-98.337903659607818</v>
      </c>
      <c r="AI441" s="134">
        <f t="shared" si="186"/>
        <v>-104.23439855891166</v>
      </c>
      <c r="AJ441" s="134">
        <f t="shared" si="186"/>
        <v>-110.13719181007018</v>
      </c>
      <c r="AK441" s="134">
        <f t="shared" si="186"/>
        <v>-116.03998506122869</v>
      </c>
      <c r="AL441" s="134">
        <f t="shared" si="186"/>
        <v>-121.9427783123872</v>
      </c>
      <c r="AM441" s="134">
        <f t="shared" si="186"/>
        <v>-127.84557156354572</v>
      </c>
      <c r="AN441" s="134">
        <f t="shared" si="186"/>
        <v>-133.74836481470425</v>
      </c>
      <c r="AO441" s="134">
        <f t="shared" si="186"/>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2" t="s">
        <v>109</v>
      </c>
      <c r="C442" s="135"/>
      <c r="D442" s="134">
        <f t="shared" ref="D442:AO442" si="187">IF(D$426=$B442,0,IF(D$426&gt;$B442,-0.5*D$424-0.5*C$424+C442,0.5*HLOOKUP($B442,$D$423:$AO$424,2,FALSE)+0.5*HLOOKUP($B441,$D$423:$AO$424,2,FALSE)+D441))</f>
        <v>64.668168967460659</v>
      </c>
      <c r="E442" s="134">
        <f t="shared" si="187"/>
        <v>64.668168967460659</v>
      </c>
      <c r="F442" s="134">
        <f t="shared" si="187"/>
        <v>64.668168967460659</v>
      </c>
      <c r="G442" s="134">
        <f t="shared" si="187"/>
        <v>61.887934720877539</v>
      </c>
      <c r="H442" s="134">
        <f t="shared" si="187"/>
        <v>56.321535014652888</v>
      </c>
      <c r="I442" s="134">
        <f t="shared" si="187"/>
        <v>50.743259689482819</v>
      </c>
      <c r="J442" s="134">
        <f t="shared" si="187"/>
        <v>45.153082329182979</v>
      </c>
      <c r="K442" s="134">
        <f t="shared" si="187"/>
        <v>39.550976456441411</v>
      </c>
      <c r="L442" s="134">
        <f t="shared" si="187"/>
        <v>33.936915532672096</v>
      </c>
      <c r="M442" s="134">
        <f t="shared" si="187"/>
        <v>28.310872957867907</v>
      </c>
      <c r="N442" s="134">
        <f t="shared" si="187"/>
        <v>22.672822070453208</v>
      </c>
      <c r="O442" s="134">
        <f t="shared" si="187"/>
        <v>17.022736147136349</v>
      </c>
      <c r="P442" s="134">
        <f t="shared" si="187"/>
        <v>11.360588402761277</v>
      </c>
      <c r="Q442" s="134">
        <f t="shared" si="187"/>
        <v>5.6863519901592223</v>
      </c>
      <c r="R442" s="134">
        <f t="shared" si="187"/>
        <v>0</v>
      </c>
      <c r="S442" s="134">
        <f t="shared" si="187"/>
        <v>-5.6984945393574353</v>
      </c>
      <c r="T442" s="134">
        <f t="shared" si="187"/>
        <v>-11.409158662014372</v>
      </c>
      <c r="U442" s="134">
        <f t="shared" si="187"/>
        <v>-17.132019464682351</v>
      </c>
      <c r="V442" s="134">
        <f t="shared" si="187"/>
        <v>-22.867104106833413</v>
      </c>
      <c r="W442" s="134">
        <f t="shared" si="187"/>
        <v>-28.614439810850776</v>
      </c>
      <c r="X442" s="134">
        <f t="shared" si="187"/>
        <v>-34.374053862180048</v>
      </c>
      <c r="Y442" s="134">
        <f t="shared" si="187"/>
        <v>-40.145973609480478</v>
      </c>
      <c r="Z442" s="134">
        <f t="shared" si="187"/>
        <v>-45.930226464776808</v>
      </c>
      <c r="AA442" s="134">
        <f t="shared" si="187"/>
        <v>-51.726839903611349</v>
      </c>
      <c r="AB442" s="134">
        <f t="shared" si="187"/>
        <v>-57.535841465196661</v>
      </c>
      <c r="AC442" s="134">
        <f t="shared" si="187"/>
        <v>-63.357258752568683</v>
      </c>
      <c r="AD442" s="134">
        <f t="shared" si="187"/>
        <v>-69.191119432739555</v>
      </c>
      <c r="AE442" s="134">
        <f t="shared" si="187"/>
        <v>-75.037451236851524</v>
      </c>
      <c r="AF442" s="134">
        <f t="shared" si="187"/>
        <v>-80.896281960331237</v>
      </c>
      <c r="AG442" s="134">
        <f t="shared" si="187"/>
        <v>-86.767639463043977</v>
      </c>
      <c r="AH442" s="134">
        <f t="shared" si="187"/>
        <v>-92.651551669448594</v>
      </c>
      <c r="AI442" s="134">
        <f t="shared" si="187"/>
        <v>-98.54804656875244</v>
      </c>
      <c r="AJ442" s="134">
        <f t="shared" si="187"/>
        <v>-104.45083981991095</v>
      </c>
      <c r="AK442" s="134">
        <f t="shared" si="187"/>
        <v>-110.35363307106947</v>
      </c>
      <c r="AL442" s="134">
        <f t="shared" si="187"/>
        <v>-116.25642632222798</v>
      </c>
      <c r="AM442" s="134">
        <f t="shared" si="187"/>
        <v>-122.15921957338649</v>
      </c>
      <c r="AN442" s="134">
        <f t="shared" si="187"/>
        <v>-128.06201282454501</v>
      </c>
      <c r="AO442" s="134">
        <f t="shared" si="187"/>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2" t="s">
        <v>110</v>
      </c>
      <c r="C443" s="135"/>
      <c r="D443" s="134">
        <f t="shared" ref="D443:AO443" si="188">IF(D$426=$B443,0,IF(D$426&gt;$B443,-0.5*D$424-0.5*C$424+C443,0.5*HLOOKUP($B443,$D$423:$AO$424,2,FALSE)+0.5*HLOOKUP($B442,$D$423:$AO$424,2,FALSE)+D442))</f>
        <v>70.366663506818099</v>
      </c>
      <c r="E443" s="134">
        <f t="shared" si="188"/>
        <v>70.366663506818099</v>
      </c>
      <c r="F443" s="134">
        <f t="shared" si="188"/>
        <v>70.366663506818099</v>
      </c>
      <c r="G443" s="134">
        <f t="shared" si="188"/>
        <v>67.586429260234979</v>
      </c>
      <c r="H443" s="134">
        <f t="shared" si="188"/>
        <v>62.020029554010321</v>
      </c>
      <c r="I443" s="134">
        <f t="shared" si="188"/>
        <v>56.441754228840253</v>
      </c>
      <c r="J443" s="134">
        <f t="shared" si="188"/>
        <v>50.851576868540413</v>
      </c>
      <c r="K443" s="134">
        <f t="shared" si="188"/>
        <v>45.249470995798845</v>
      </c>
      <c r="L443" s="134">
        <f t="shared" si="188"/>
        <v>39.635410072029529</v>
      </c>
      <c r="M443" s="134">
        <f t="shared" si="188"/>
        <v>34.009367497225341</v>
      </c>
      <c r="N443" s="134">
        <f t="shared" si="188"/>
        <v>28.371316609810641</v>
      </c>
      <c r="O443" s="134">
        <f t="shared" si="188"/>
        <v>22.721230686493783</v>
      </c>
      <c r="P443" s="134">
        <f t="shared" si="188"/>
        <v>17.059082942118714</v>
      </c>
      <c r="Q443" s="134">
        <f t="shared" si="188"/>
        <v>11.384846529516658</v>
      </c>
      <c r="R443" s="134">
        <f t="shared" si="188"/>
        <v>5.6984945393574353</v>
      </c>
      <c r="S443" s="134">
        <f t="shared" si="188"/>
        <v>0</v>
      </c>
      <c r="T443" s="134">
        <f t="shared" si="188"/>
        <v>-5.7106641226569366</v>
      </c>
      <c r="U443" s="134">
        <f t="shared" si="188"/>
        <v>-11.433524925324914</v>
      </c>
      <c r="V443" s="134">
        <f t="shared" si="188"/>
        <v>-17.168609567475976</v>
      </c>
      <c r="W443" s="134">
        <f t="shared" si="188"/>
        <v>-22.915945271493339</v>
      </c>
      <c r="X443" s="134">
        <f t="shared" si="188"/>
        <v>-28.675559322822615</v>
      </c>
      <c r="Y443" s="134">
        <f t="shared" si="188"/>
        <v>-34.447479070123052</v>
      </c>
      <c r="Z443" s="134">
        <f t="shared" si="188"/>
        <v>-40.231731925419382</v>
      </c>
      <c r="AA443" s="134">
        <f t="shared" si="188"/>
        <v>-46.028345364253923</v>
      </c>
      <c r="AB443" s="134">
        <f t="shared" si="188"/>
        <v>-51.837346925839235</v>
      </c>
      <c r="AC443" s="134">
        <f t="shared" si="188"/>
        <v>-57.658764213211256</v>
      </c>
      <c r="AD443" s="134">
        <f t="shared" si="188"/>
        <v>-63.492624893382136</v>
      </c>
      <c r="AE443" s="134">
        <f t="shared" si="188"/>
        <v>-69.338956697494098</v>
      </c>
      <c r="AF443" s="134">
        <f t="shared" si="188"/>
        <v>-75.19778742097381</v>
      </c>
      <c r="AG443" s="134">
        <f t="shared" si="188"/>
        <v>-81.069144923686551</v>
      </c>
      <c r="AH443" s="134">
        <f t="shared" si="188"/>
        <v>-86.953057130091167</v>
      </c>
      <c r="AI443" s="134">
        <f t="shared" si="188"/>
        <v>-92.849552029395014</v>
      </c>
      <c r="AJ443" s="134">
        <f t="shared" si="188"/>
        <v>-98.752345280553527</v>
      </c>
      <c r="AK443" s="134">
        <f t="shared" si="188"/>
        <v>-104.65513853171204</v>
      </c>
      <c r="AL443" s="134">
        <f t="shared" si="188"/>
        <v>-110.55793178287055</v>
      </c>
      <c r="AM443" s="134">
        <f t="shared" si="188"/>
        <v>-116.46072503402907</v>
      </c>
      <c r="AN443" s="134">
        <f t="shared" si="188"/>
        <v>-122.36351828518758</v>
      </c>
      <c r="AO443" s="134">
        <f t="shared" si="188"/>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2" t="s">
        <v>111</v>
      </c>
      <c r="C444" s="135"/>
      <c r="D444" s="134">
        <f t="shared" ref="D444:AO444" si="189">IF(D$426=$B444,0,IF(D$426&gt;$B444,-0.5*D$424-0.5*C$424+C444,0.5*HLOOKUP($B444,$D$423:$AO$424,2,FALSE)+0.5*HLOOKUP($B443,$D$423:$AO$424,2,FALSE)+D443))</f>
        <v>76.077327629475036</v>
      </c>
      <c r="E444" s="134">
        <f t="shared" si="189"/>
        <v>76.077327629475036</v>
      </c>
      <c r="F444" s="134">
        <f t="shared" si="189"/>
        <v>76.077327629475036</v>
      </c>
      <c r="G444" s="134">
        <f t="shared" si="189"/>
        <v>73.297093382891916</v>
      </c>
      <c r="H444" s="134">
        <f t="shared" si="189"/>
        <v>67.730693676667258</v>
      </c>
      <c r="I444" s="134">
        <f t="shared" si="189"/>
        <v>62.15241835149719</v>
      </c>
      <c r="J444" s="134">
        <f t="shared" si="189"/>
        <v>56.562240991197349</v>
      </c>
      <c r="K444" s="134">
        <f t="shared" si="189"/>
        <v>50.960135118455781</v>
      </c>
      <c r="L444" s="134">
        <f t="shared" si="189"/>
        <v>45.346074194686466</v>
      </c>
      <c r="M444" s="134">
        <f t="shared" si="189"/>
        <v>39.720031619882278</v>
      </c>
      <c r="N444" s="134">
        <f t="shared" si="189"/>
        <v>34.081980732467578</v>
      </c>
      <c r="O444" s="134">
        <f t="shared" si="189"/>
        <v>28.43189480915072</v>
      </c>
      <c r="P444" s="134">
        <f t="shared" si="189"/>
        <v>22.76974706477565</v>
      </c>
      <c r="Q444" s="134">
        <f t="shared" si="189"/>
        <v>17.095510652173594</v>
      </c>
      <c r="R444" s="134">
        <f t="shared" si="189"/>
        <v>11.409158662014372</v>
      </c>
      <c r="S444" s="134">
        <f t="shared" si="189"/>
        <v>5.7106641226569366</v>
      </c>
      <c r="T444" s="134">
        <f t="shared" si="189"/>
        <v>0</v>
      </c>
      <c r="U444" s="134">
        <f t="shared" si="189"/>
        <v>-5.7228608026679773</v>
      </c>
      <c r="V444" s="134">
        <f t="shared" si="189"/>
        <v>-11.457945444819039</v>
      </c>
      <c r="W444" s="134">
        <f t="shared" si="189"/>
        <v>-17.205281148836402</v>
      </c>
      <c r="X444" s="134">
        <f t="shared" si="189"/>
        <v>-22.964895200165678</v>
      </c>
      <c r="Y444" s="134">
        <f t="shared" si="189"/>
        <v>-28.736814947466112</v>
      </c>
      <c r="Z444" s="134">
        <f t="shared" si="189"/>
        <v>-34.521067802762438</v>
      </c>
      <c r="AA444" s="134">
        <f t="shared" si="189"/>
        <v>-40.317681241596979</v>
      </c>
      <c r="AB444" s="134">
        <f t="shared" si="189"/>
        <v>-46.126682803182291</v>
      </c>
      <c r="AC444" s="134">
        <f t="shared" si="189"/>
        <v>-51.948100090554306</v>
      </c>
      <c r="AD444" s="134">
        <f t="shared" si="189"/>
        <v>-57.781960770725185</v>
      </c>
      <c r="AE444" s="134">
        <f t="shared" si="189"/>
        <v>-63.628292574837147</v>
      </c>
      <c r="AF444" s="134">
        <f t="shared" si="189"/>
        <v>-69.48712329831686</v>
      </c>
      <c r="AG444" s="134">
        <f t="shared" si="189"/>
        <v>-75.3584808010296</v>
      </c>
      <c r="AH444" s="134">
        <f t="shared" si="189"/>
        <v>-81.242393007434217</v>
      </c>
      <c r="AI444" s="134">
        <f t="shared" si="189"/>
        <v>-87.138887906738063</v>
      </c>
      <c r="AJ444" s="134">
        <f t="shared" si="189"/>
        <v>-93.041681157896576</v>
      </c>
      <c r="AK444" s="134">
        <f t="shared" si="189"/>
        <v>-98.94447440905509</v>
      </c>
      <c r="AL444" s="134">
        <f t="shared" si="189"/>
        <v>-104.8472676602136</v>
      </c>
      <c r="AM444" s="134">
        <f t="shared" si="189"/>
        <v>-110.75006091137212</v>
      </c>
      <c r="AN444" s="134">
        <f t="shared" si="189"/>
        <v>-116.65285416253063</v>
      </c>
      <c r="AO444" s="134">
        <f t="shared" si="189"/>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2" t="s">
        <v>112</v>
      </c>
      <c r="C445" s="135"/>
      <c r="D445" s="134">
        <f t="shared" ref="D445:AO445" si="190">IF(D$426=$B445,0,IF(D$426&gt;$B445,-0.5*D$424-0.5*C$424+C445,0.5*HLOOKUP($B445,$D$423:$AO$424,2,FALSE)+0.5*HLOOKUP($B444,$D$423:$AO$424,2,FALSE)+D444))</f>
        <v>81.800188432143017</v>
      </c>
      <c r="E445" s="134">
        <f t="shared" si="190"/>
        <v>81.800188432143017</v>
      </c>
      <c r="F445" s="134">
        <f t="shared" si="190"/>
        <v>81.800188432143017</v>
      </c>
      <c r="G445" s="134">
        <f t="shared" si="190"/>
        <v>79.019954185559897</v>
      </c>
      <c r="H445" s="134">
        <f t="shared" si="190"/>
        <v>73.453554479335239</v>
      </c>
      <c r="I445" s="134">
        <f t="shared" si="190"/>
        <v>67.87527915416517</v>
      </c>
      <c r="J445" s="134">
        <f t="shared" si="190"/>
        <v>62.285101793865323</v>
      </c>
      <c r="K445" s="134">
        <f t="shared" si="190"/>
        <v>56.682995921123762</v>
      </c>
      <c r="L445" s="134">
        <f t="shared" si="190"/>
        <v>51.068934997354447</v>
      </c>
      <c r="M445" s="134">
        <f t="shared" si="190"/>
        <v>45.442892422550258</v>
      </c>
      <c r="N445" s="134">
        <f t="shared" si="190"/>
        <v>39.804841535135552</v>
      </c>
      <c r="O445" s="134">
        <f t="shared" si="190"/>
        <v>34.1547556118187</v>
      </c>
      <c r="P445" s="134">
        <f t="shared" si="190"/>
        <v>28.492607867443628</v>
      </c>
      <c r="Q445" s="134">
        <f t="shared" si="190"/>
        <v>22.818371454841571</v>
      </c>
      <c r="R445" s="134">
        <f t="shared" si="190"/>
        <v>17.132019464682351</v>
      </c>
      <c r="S445" s="134">
        <f t="shared" si="190"/>
        <v>11.433524925324914</v>
      </c>
      <c r="T445" s="134">
        <f t="shared" si="190"/>
        <v>5.7228608026679773</v>
      </c>
      <c r="U445" s="134">
        <f t="shared" si="190"/>
        <v>0</v>
      </c>
      <c r="V445" s="134">
        <f t="shared" si="190"/>
        <v>-5.7350846421510617</v>
      </c>
      <c r="W445" s="134">
        <f t="shared" si="190"/>
        <v>-11.482420346168425</v>
      </c>
      <c r="X445" s="134">
        <f t="shared" si="190"/>
        <v>-17.242034397497697</v>
      </c>
      <c r="Y445" s="134">
        <f t="shared" si="190"/>
        <v>-23.013954144798131</v>
      </c>
      <c r="Z445" s="134">
        <f t="shared" si="190"/>
        <v>-28.798207000094457</v>
      </c>
      <c r="AA445" s="134">
        <f t="shared" si="190"/>
        <v>-34.594820438928998</v>
      </c>
      <c r="AB445" s="134">
        <f t="shared" si="190"/>
        <v>-40.40382200051431</v>
      </c>
      <c r="AC445" s="134">
        <f t="shared" si="190"/>
        <v>-46.225239287886325</v>
      </c>
      <c r="AD445" s="134">
        <f t="shared" si="190"/>
        <v>-52.059099968057204</v>
      </c>
      <c r="AE445" s="134">
        <f t="shared" si="190"/>
        <v>-57.905431772169166</v>
      </c>
      <c r="AF445" s="134">
        <f t="shared" si="190"/>
        <v>-63.764262495648879</v>
      </c>
      <c r="AG445" s="134">
        <f t="shared" si="190"/>
        <v>-69.635619998361619</v>
      </c>
      <c r="AH445" s="134">
        <f t="shared" si="190"/>
        <v>-75.519532204766236</v>
      </c>
      <c r="AI445" s="134">
        <f t="shared" si="190"/>
        <v>-81.416027104070082</v>
      </c>
      <c r="AJ445" s="134">
        <f t="shared" si="190"/>
        <v>-87.318820355228596</v>
      </c>
      <c r="AK445" s="134">
        <f t="shared" si="190"/>
        <v>-93.221613606387109</v>
      </c>
      <c r="AL445" s="134">
        <f t="shared" si="190"/>
        <v>-99.124406857545623</v>
      </c>
      <c r="AM445" s="134">
        <f t="shared" si="190"/>
        <v>-105.02720010870414</v>
      </c>
      <c r="AN445" s="134">
        <f t="shared" si="190"/>
        <v>-110.92999335986265</v>
      </c>
      <c r="AO445" s="134">
        <f t="shared" si="1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2" t="s">
        <v>113</v>
      </c>
      <c r="C446" s="135"/>
      <c r="D446" s="134">
        <f t="shared" ref="D446:AO446" si="191">IF(D$426=$B446,0,IF(D$426&gt;$B446,-0.5*D$424-0.5*C$424+C446,0.5*HLOOKUP($B446,$D$423:$AO$424,2,FALSE)+0.5*HLOOKUP($B445,$D$423:$AO$424,2,FALSE)+D445))</f>
        <v>87.535273074294082</v>
      </c>
      <c r="E446" s="134">
        <f t="shared" si="191"/>
        <v>87.535273074294082</v>
      </c>
      <c r="F446" s="134">
        <f t="shared" si="191"/>
        <v>87.535273074294082</v>
      </c>
      <c r="G446" s="134">
        <f t="shared" si="191"/>
        <v>84.755038827710962</v>
      </c>
      <c r="H446" s="134">
        <f t="shared" si="191"/>
        <v>79.188639121486304</v>
      </c>
      <c r="I446" s="134">
        <f t="shared" si="191"/>
        <v>73.610363796316236</v>
      </c>
      <c r="J446" s="134">
        <f t="shared" si="191"/>
        <v>68.020186436016388</v>
      </c>
      <c r="K446" s="134">
        <f t="shared" si="191"/>
        <v>62.418080563274827</v>
      </c>
      <c r="L446" s="134">
        <f t="shared" si="191"/>
        <v>56.804019639505512</v>
      </c>
      <c r="M446" s="134">
        <f t="shared" si="191"/>
        <v>51.177977064701324</v>
      </c>
      <c r="N446" s="134">
        <f t="shared" si="191"/>
        <v>45.539926177286617</v>
      </c>
      <c r="O446" s="134">
        <f t="shared" si="191"/>
        <v>39.889840253969766</v>
      </c>
      <c r="P446" s="134">
        <f t="shared" si="191"/>
        <v>34.227692509594689</v>
      </c>
      <c r="Q446" s="134">
        <f t="shared" si="191"/>
        <v>28.553456096992633</v>
      </c>
      <c r="R446" s="134">
        <f t="shared" si="191"/>
        <v>22.867104106833413</v>
      </c>
      <c r="S446" s="134">
        <f t="shared" si="191"/>
        <v>17.168609567475976</v>
      </c>
      <c r="T446" s="134">
        <f t="shared" si="191"/>
        <v>11.457945444819039</v>
      </c>
      <c r="U446" s="134">
        <f t="shared" si="191"/>
        <v>5.7350846421510617</v>
      </c>
      <c r="V446" s="134">
        <f t="shared" si="191"/>
        <v>0</v>
      </c>
      <c r="W446" s="134">
        <f t="shared" si="191"/>
        <v>-5.7473357040173632</v>
      </c>
      <c r="X446" s="134">
        <f t="shared" si="191"/>
        <v>-11.506949755346637</v>
      </c>
      <c r="Y446" s="134">
        <f t="shared" si="191"/>
        <v>-17.278869502647069</v>
      </c>
      <c r="Z446" s="134">
        <f t="shared" si="191"/>
        <v>-23.063122357943396</v>
      </c>
      <c r="AA446" s="134">
        <f t="shared" si="191"/>
        <v>-28.85973579677794</v>
      </c>
      <c r="AB446" s="134">
        <f t="shared" si="191"/>
        <v>-34.668737358363252</v>
      </c>
      <c r="AC446" s="134">
        <f t="shared" si="191"/>
        <v>-40.490154645735274</v>
      </c>
      <c r="AD446" s="134">
        <f t="shared" si="191"/>
        <v>-46.324015325906153</v>
      </c>
      <c r="AE446" s="134">
        <f t="shared" si="191"/>
        <v>-52.170347130018115</v>
      </c>
      <c r="AF446" s="134">
        <f t="shared" si="191"/>
        <v>-58.029177853497828</v>
      </c>
      <c r="AG446" s="134">
        <f t="shared" si="191"/>
        <v>-63.900535356210575</v>
      </c>
      <c r="AH446" s="134">
        <f t="shared" si="191"/>
        <v>-69.784447562615199</v>
      </c>
      <c r="AI446" s="134">
        <f t="shared" si="191"/>
        <v>-75.680942461919045</v>
      </c>
      <c r="AJ446" s="134">
        <f t="shared" si="191"/>
        <v>-81.583735713077559</v>
      </c>
      <c r="AK446" s="134">
        <f t="shared" si="191"/>
        <v>-87.486528964236072</v>
      </c>
      <c r="AL446" s="134">
        <f t="shared" si="191"/>
        <v>-93.389322215394586</v>
      </c>
      <c r="AM446" s="134">
        <f t="shared" si="191"/>
        <v>-99.292115466553099</v>
      </c>
      <c r="AN446" s="134">
        <f t="shared" si="191"/>
        <v>-105.19490871771161</v>
      </c>
      <c r="AO446" s="134">
        <f t="shared" si="191"/>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2" t="s">
        <v>114</v>
      </c>
      <c r="C447" s="135"/>
      <c r="D447" s="134">
        <f t="shared" ref="D447:AO447" si="192">IF(D$426=$B447,0,IF(D$426&gt;$B447,-0.5*D$424-0.5*C$424+C447,0.5*HLOOKUP($B447,$D$423:$AO$424,2,FALSE)+0.5*HLOOKUP($B446,$D$423:$AO$424,2,FALSE)+D446))</f>
        <v>93.282608778311442</v>
      </c>
      <c r="E447" s="134">
        <f t="shared" si="192"/>
        <v>93.282608778311442</v>
      </c>
      <c r="F447" s="134">
        <f t="shared" si="192"/>
        <v>93.282608778311442</v>
      </c>
      <c r="G447" s="134">
        <f t="shared" si="192"/>
        <v>90.502374531728321</v>
      </c>
      <c r="H447" s="134">
        <f t="shared" si="192"/>
        <v>84.935974825503664</v>
      </c>
      <c r="I447" s="134">
        <f t="shared" si="192"/>
        <v>79.357699500333595</v>
      </c>
      <c r="J447" s="134">
        <f t="shared" si="192"/>
        <v>73.767522140033748</v>
      </c>
      <c r="K447" s="134">
        <f t="shared" si="192"/>
        <v>68.165416267292187</v>
      </c>
      <c r="L447" s="134">
        <f t="shared" si="192"/>
        <v>62.551355343522872</v>
      </c>
      <c r="M447" s="134">
        <f t="shared" si="192"/>
        <v>56.925312768718683</v>
      </c>
      <c r="N447" s="134">
        <f t="shared" si="192"/>
        <v>51.287261881303976</v>
      </c>
      <c r="O447" s="134">
        <f t="shared" si="192"/>
        <v>45.637175957987125</v>
      </c>
      <c r="P447" s="134">
        <f t="shared" si="192"/>
        <v>39.975028213612049</v>
      </c>
      <c r="Q447" s="134">
        <f t="shared" si="192"/>
        <v>34.300791801009993</v>
      </c>
      <c r="R447" s="134">
        <f t="shared" si="192"/>
        <v>28.614439810850776</v>
      </c>
      <c r="S447" s="134">
        <f t="shared" si="192"/>
        <v>22.915945271493339</v>
      </c>
      <c r="T447" s="134">
        <f t="shared" si="192"/>
        <v>17.205281148836402</v>
      </c>
      <c r="U447" s="134">
        <f t="shared" si="192"/>
        <v>11.482420346168425</v>
      </c>
      <c r="V447" s="134">
        <f t="shared" si="192"/>
        <v>5.7473357040173632</v>
      </c>
      <c r="W447" s="134">
        <f t="shared" si="192"/>
        <v>0</v>
      </c>
      <c r="X447" s="134">
        <f t="shared" si="192"/>
        <v>-5.7596140513292742</v>
      </c>
      <c r="Y447" s="134">
        <f t="shared" si="192"/>
        <v>-11.531533798629708</v>
      </c>
      <c r="Z447" s="134">
        <f t="shared" si="192"/>
        <v>-17.315786653926033</v>
      </c>
      <c r="AA447" s="134">
        <f t="shared" si="192"/>
        <v>-23.112400092760574</v>
      </c>
      <c r="AB447" s="134">
        <f t="shared" si="192"/>
        <v>-28.921401654345885</v>
      </c>
      <c r="AC447" s="134">
        <f t="shared" si="192"/>
        <v>-34.7428189417179</v>
      </c>
      <c r="AD447" s="134">
        <f t="shared" si="192"/>
        <v>-40.576679621888779</v>
      </c>
      <c r="AE447" s="134">
        <f t="shared" si="192"/>
        <v>-46.423011426000741</v>
      </c>
      <c r="AF447" s="134">
        <f t="shared" si="192"/>
        <v>-52.281842149480454</v>
      </c>
      <c r="AG447" s="134">
        <f t="shared" si="192"/>
        <v>-58.153199652193202</v>
      </c>
      <c r="AH447" s="134">
        <f t="shared" si="192"/>
        <v>-64.037111858597825</v>
      </c>
      <c r="AI447" s="134">
        <f t="shared" si="192"/>
        <v>-69.933606757901671</v>
      </c>
      <c r="AJ447" s="134">
        <f t="shared" si="192"/>
        <v>-75.836400009060185</v>
      </c>
      <c r="AK447" s="134">
        <f t="shared" si="192"/>
        <v>-81.739193260218698</v>
      </c>
      <c r="AL447" s="134">
        <f t="shared" si="192"/>
        <v>-87.641986511377212</v>
      </c>
      <c r="AM447" s="134">
        <f t="shared" si="192"/>
        <v>-93.544779762535725</v>
      </c>
      <c r="AN447" s="134">
        <f t="shared" si="192"/>
        <v>-99.447573013694239</v>
      </c>
      <c r="AO447" s="134">
        <f t="shared" si="192"/>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2" t="s">
        <v>115</v>
      </c>
      <c r="C448" s="135"/>
      <c r="D448" s="134">
        <f t="shared" ref="D448:AO448" si="193">IF(D$426=$B448,0,IF(D$426&gt;$B448,-0.5*D$424-0.5*C$424+C448,0.5*HLOOKUP($B448,$D$423:$AO$424,2,FALSE)+0.5*HLOOKUP($B447,$D$423:$AO$424,2,FALSE)+D447))</f>
        <v>99.042222829640721</v>
      </c>
      <c r="E448" s="134">
        <f t="shared" si="193"/>
        <v>99.042222829640721</v>
      </c>
      <c r="F448" s="134">
        <f t="shared" si="193"/>
        <v>99.042222829640721</v>
      </c>
      <c r="G448" s="134">
        <f t="shared" si="193"/>
        <v>96.261988583057601</v>
      </c>
      <c r="H448" s="134">
        <f t="shared" si="193"/>
        <v>90.695588876832943</v>
      </c>
      <c r="I448" s="134">
        <f t="shared" si="193"/>
        <v>85.117313551662875</v>
      </c>
      <c r="J448" s="134">
        <f t="shared" si="193"/>
        <v>79.527136191363027</v>
      </c>
      <c r="K448" s="134">
        <f t="shared" si="193"/>
        <v>73.925030318621467</v>
      </c>
      <c r="L448" s="134">
        <f t="shared" si="193"/>
        <v>68.310969394852151</v>
      </c>
      <c r="M448" s="134">
        <f t="shared" si="193"/>
        <v>62.684926820047956</v>
      </c>
      <c r="N448" s="134">
        <f t="shared" si="193"/>
        <v>57.046875932633249</v>
      </c>
      <c r="O448" s="134">
        <f t="shared" si="193"/>
        <v>51.396790009316398</v>
      </c>
      <c r="P448" s="134">
        <f t="shared" si="193"/>
        <v>45.734642264941321</v>
      </c>
      <c r="Q448" s="134">
        <f t="shared" si="193"/>
        <v>40.060405852339265</v>
      </c>
      <c r="R448" s="134">
        <f t="shared" si="193"/>
        <v>34.374053862180048</v>
      </c>
      <c r="S448" s="134">
        <f t="shared" si="193"/>
        <v>28.675559322822615</v>
      </c>
      <c r="T448" s="134">
        <f t="shared" si="193"/>
        <v>22.964895200165678</v>
      </c>
      <c r="U448" s="134">
        <f t="shared" si="193"/>
        <v>17.242034397497697</v>
      </c>
      <c r="V448" s="134">
        <f t="shared" si="193"/>
        <v>11.506949755346637</v>
      </c>
      <c r="W448" s="134">
        <f t="shared" si="193"/>
        <v>5.7596140513292742</v>
      </c>
      <c r="X448" s="134">
        <f t="shared" si="193"/>
        <v>0</v>
      </c>
      <c r="Y448" s="134">
        <f t="shared" si="193"/>
        <v>-5.7719197473004336</v>
      </c>
      <c r="Z448" s="134">
        <f t="shared" si="193"/>
        <v>-11.55617260259676</v>
      </c>
      <c r="AA448" s="134">
        <f t="shared" si="193"/>
        <v>-17.352786041431301</v>
      </c>
      <c r="AB448" s="134">
        <f t="shared" si="193"/>
        <v>-23.161787603016613</v>
      </c>
      <c r="AC448" s="134">
        <f t="shared" si="193"/>
        <v>-28.983204890388631</v>
      </c>
      <c r="AD448" s="134">
        <f t="shared" si="193"/>
        <v>-34.817065570559507</v>
      </c>
      <c r="AE448" s="134">
        <f t="shared" si="193"/>
        <v>-40.663397374671476</v>
      </c>
      <c r="AF448" s="134">
        <f t="shared" si="193"/>
        <v>-46.522228098151189</v>
      </c>
      <c r="AG448" s="134">
        <f t="shared" si="193"/>
        <v>-52.393585600863936</v>
      </c>
      <c r="AH448" s="134">
        <f t="shared" si="193"/>
        <v>-58.27749780726856</v>
      </c>
      <c r="AI448" s="134">
        <f t="shared" si="193"/>
        <v>-64.173992706572406</v>
      </c>
      <c r="AJ448" s="134">
        <f t="shared" si="193"/>
        <v>-70.07678595773092</v>
      </c>
      <c r="AK448" s="134">
        <f t="shared" si="193"/>
        <v>-75.979579208889433</v>
      </c>
      <c r="AL448" s="134">
        <f t="shared" si="193"/>
        <v>-81.882372460047947</v>
      </c>
      <c r="AM448" s="134">
        <f t="shared" si="193"/>
        <v>-87.78516571120646</v>
      </c>
      <c r="AN448" s="134">
        <f t="shared" si="193"/>
        <v>-93.687958962364974</v>
      </c>
      <c r="AO448" s="134">
        <f t="shared" si="193"/>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2" t="s">
        <v>116</v>
      </c>
      <c r="C449" s="135"/>
      <c r="D449" s="134">
        <f t="shared" ref="D449:AO449" si="194">IF(D$426=$B449,0,IF(D$426&gt;$B449,-0.5*D$424-0.5*C$424+C449,0.5*HLOOKUP($B449,$D$423:$AO$424,2,FALSE)+0.5*HLOOKUP($B448,$D$423:$AO$424,2,FALSE)+D448))</f>
        <v>104.81414257694115</v>
      </c>
      <c r="E449" s="134">
        <f t="shared" si="194"/>
        <v>104.81414257694115</v>
      </c>
      <c r="F449" s="134">
        <f t="shared" si="194"/>
        <v>104.81414257694115</v>
      </c>
      <c r="G449" s="134">
        <f t="shared" si="194"/>
        <v>102.03390833035803</v>
      </c>
      <c r="H449" s="134">
        <f t="shared" si="194"/>
        <v>96.467508624133373</v>
      </c>
      <c r="I449" s="134">
        <f t="shared" si="194"/>
        <v>90.889233298963305</v>
      </c>
      <c r="J449" s="134">
        <f t="shared" si="194"/>
        <v>85.299055938663457</v>
      </c>
      <c r="K449" s="134">
        <f t="shared" si="194"/>
        <v>79.696950065921897</v>
      </c>
      <c r="L449" s="134">
        <f t="shared" si="194"/>
        <v>74.082889142152581</v>
      </c>
      <c r="M449" s="134">
        <f t="shared" si="194"/>
        <v>68.456846567348393</v>
      </c>
      <c r="N449" s="134">
        <f t="shared" si="194"/>
        <v>62.818795679933686</v>
      </c>
      <c r="O449" s="134">
        <f t="shared" si="194"/>
        <v>57.168709756616835</v>
      </c>
      <c r="P449" s="134">
        <f t="shared" si="194"/>
        <v>51.506562012241758</v>
      </c>
      <c r="Q449" s="134">
        <f t="shared" si="194"/>
        <v>45.832325599639702</v>
      </c>
      <c r="R449" s="134">
        <f t="shared" si="194"/>
        <v>40.145973609480478</v>
      </c>
      <c r="S449" s="134">
        <f t="shared" si="194"/>
        <v>34.447479070123052</v>
      </c>
      <c r="T449" s="134">
        <f t="shared" si="194"/>
        <v>28.736814947466112</v>
      </c>
      <c r="U449" s="134">
        <f t="shared" si="194"/>
        <v>23.013954144798131</v>
      </c>
      <c r="V449" s="134">
        <f t="shared" si="194"/>
        <v>17.278869502647069</v>
      </c>
      <c r="W449" s="134">
        <f t="shared" si="194"/>
        <v>11.531533798629708</v>
      </c>
      <c r="X449" s="134">
        <f t="shared" si="194"/>
        <v>5.7719197473004336</v>
      </c>
      <c r="Y449" s="134">
        <f t="shared" si="194"/>
        <v>0</v>
      </c>
      <c r="Z449" s="134">
        <f t="shared" si="194"/>
        <v>-5.7842528552963266</v>
      </c>
      <c r="AA449" s="134">
        <f t="shared" si="194"/>
        <v>-11.580866294130869</v>
      </c>
      <c r="AB449" s="134">
        <f t="shared" si="194"/>
        <v>-17.389867855716183</v>
      </c>
      <c r="AC449" s="134">
        <f t="shared" si="194"/>
        <v>-23.211285143088201</v>
      </c>
      <c r="AD449" s="134">
        <f t="shared" si="194"/>
        <v>-29.045145823259077</v>
      </c>
      <c r="AE449" s="134">
        <f t="shared" si="194"/>
        <v>-34.891477627371046</v>
      </c>
      <c r="AF449" s="134">
        <f t="shared" si="194"/>
        <v>-40.750308350850759</v>
      </c>
      <c r="AG449" s="134">
        <f t="shared" si="194"/>
        <v>-46.621665853563506</v>
      </c>
      <c r="AH449" s="134">
        <f t="shared" si="194"/>
        <v>-52.50557805996813</v>
      </c>
      <c r="AI449" s="134">
        <f t="shared" si="194"/>
        <v>-58.402072959271976</v>
      </c>
      <c r="AJ449" s="134">
        <f t="shared" si="194"/>
        <v>-64.30486621043049</v>
      </c>
      <c r="AK449" s="134">
        <f t="shared" si="194"/>
        <v>-70.207659461589003</v>
      </c>
      <c r="AL449" s="134">
        <f t="shared" si="194"/>
        <v>-76.110452712747517</v>
      </c>
      <c r="AM449" s="134">
        <f t="shared" si="194"/>
        <v>-82.01324596390603</v>
      </c>
      <c r="AN449" s="134">
        <f t="shared" si="194"/>
        <v>-87.916039215064544</v>
      </c>
      <c r="AO449" s="134">
        <f t="shared" si="194"/>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2" t="s">
        <v>117</v>
      </c>
      <c r="C450" s="135"/>
      <c r="D450" s="134">
        <f t="shared" ref="D450:AO450" si="195">IF(D$426=$B450,0,IF(D$426&gt;$B450,-0.5*D$424-0.5*C$424+C450,0.5*HLOOKUP($B450,$D$423:$AO$424,2,FALSE)+0.5*HLOOKUP($B449,$D$423:$AO$424,2,FALSE)+D449))</f>
        <v>110.59839543223748</v>
      </c>
      <c r="E450" s="134">
        <f t="shared" si="195"/>
        <v>110.59839543223748</v>
      </c>
      <c r="F450" s="134">
        <f t="shared" si="195"/>
        <v>110.59839543223748</v>
      </c>
      <c r="G450" s="134">
        <f t="shared" si="195"/>
        <v>107.81816118565436</v>
      </c>
      <c r="H450" s="134">
        <f t="shared" si="195"/>
        <v>102.2517614794297</v>
      </c>
      <c r="I450" s="134">
        <f t="shared" si="195"/>
        <v>96.673486154259635</v>
      </c>
      <c r="J450" s="134">
        <f t="shared" si="195"/>
        <v>91.083308793959787</v>
      </c>
      <c r="K450" s="134">
        <f t="shared" si="195"/>
        <v>85.481202921218227</v>
      </c>
      <c r="L450" s="134">
        <f t="shared" si="195"/>
        <v>79.867141997448911</v>
      </c>
      <c r="M450" s="134">
        <f t="shared" si="195"/>
        <v>74.241099422644723</v>
      </c>
      <c r="N450" s="134">
        <f t="shared" si="195"/>
        <v>68.603048535230016</v>
      </c>
      <c r="O450" s="134">
        <f t="shared" si="195"/>
        <v>62.952962611913165</v>
      </c>
      <c r="P450" s="134">
        <f t="shared" si="195"/>
        <v>57.290814867538089</v>
      </c>
      <c r="Q450" s="134">
        <f t="shared" si="195"/>
        <v>51.616578454936032</v>
      </c>
      <c r="R450" s="134">
        <f t="shared" si="195"/>
        <v>45.930226464776808</v>
      </c>
      <c r="S450" s="134">
        <f t="shared" si="195"/>
        <v>40.231731925419382</v>
      </c>
      <c r="T450" s="134">
        <f t="shared" si="195"/>
        <v>34.521067802762438</v>
      </c>
      <c r="U450" s="134">
        <f t="shared" si="195"/>
        <v>28.798207000094457</v>
      </c>
      <c r="V450" s="134">
        <f t="shared" si="195"/>
        <v>23.063122357943396</v>
      </c>
      <c r="W450" s="134">
        <f t="shared" si="195"/>
        <v>17.315786653926033</v>
      </c>
      <c r="X450" s="134">
        <f t="shared" si="195"/>
        <v>11.55617260259676</v>
      </c>
      <c r="Y450" s="134">
        <f t="shared" si="195"/>
        <v>5.7842528552963266</v>
      </c>
      <c r="Z450" s="134">
        <f t="shared" si="195"/>
        <v>0</v>
      </c>
      <c r="AA450" s="134">
        <f t="shared" si="195"/>
        <v>-5.7966134388345427</v>
      </c>
      <c r="AB450" s="134">
        <f t="shared" si="195"/>
        <v>-11.605615000419856</v>
      </c>
      <c r="AC450" s="134">
        <f t="shared" si="195"/>
        <v>-17.427032287791874</v>
      </c>
      <c r="AD450" s="134">
        <f t="shared" si="195"/>
        <v>-23.260892967962754</v>
      </c>
      <c r="AE450" s="134">
        <f t="shared" si="195"/>
        <v>-29.107224772074719</v>
      </c>
      <c r="AF450" s="134">
        <f t="shared" si="195"/>
        <v>-34.966055495554428</v>
      </c>
      <c r="AG450" s="134">
        <f t="shared" si="195"/>
        <v>-40.837412998267176</v>
      </c>
      <c r="AH450" s="134">
        <f t="shared" si="195"/>
        <v>-46.7213252046718</v>
      </c>
      <c r="AI450" s="134">
        <f t="shared" si="195"/>
        <v>-52.617820103975646</v>
      </c>
      <c r="AJ450" s="134">
        <f t="shared" si="195"/>
        <v>-58.520613355134159</v>
      </c>
      <c r="AK450" s="134">
        <f t="shared" si="195"/>
        <v>-64.423406606292673</v>
      </c>
      <c r="AL450" s="134">
        <f t="shared" si="195"/>
        <v>-70.326199857451186</v>
      </c>
      <c r="AM450" s="134">
        <f t="shared" si="195"/>
        <v>-76.2289931086097</v>
      </c>
      <c r="AN450" s="134">
        <f t="shared" si="195"/>
        <v>-82.131786359768213</v>
      </c>
      <c r="AO450" s="134">
        <f t="shared" si="195"/>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2" t="s">
        <v>118</v>
      </c>
      <c r="C451" s="135"/>
      <c r="D451" s="134">
        <f t="shared" ref="D451:AO451" si="196">IF(D$426=$B451,0,IF(D$426&gt;$B451,-0.5*D$424-0.5*C$424+C451,0.5*HLOOKUP($B451,$D$423:$AO$424,2,FALSE)+0.5*HLOOKUP($B450,$D$423:$AO$424,2,FALSE)+D450))</f>
        <v>116.39500887107202</v>
      </c>
      <c r="E451" s="134">
        <f t="shared" si="196"/>
        <v>116.39500887107202</v>
      </c>
      <c r="F451" s="134">
        <f t="shared" si="196"/>
        <v>116.39500887107202</v>
      </c>
      <c r="G451" s="134">
        <f t="shared" si="196"/>
        <v>113.6147746244889</v>
      </c>
      <c r="H451" s="134">
        <f t="shared" si="196"/>
        <v>108.04837491826424</v>
      </c>
      <c r="I451" s="134">
        <f t="shared" si="196"/>
        <v>102.47009959309418</v>
      </c>
      <c r="J451" s="134">
        <f t="shared" si="196"/>
        <v>96.879922232794328</v>
      </c>
      <c r="K451" s="134">
        <f t="shared" si="196"/>
        <v>91.277816360052768</v>
      </c>
      <c r="L451" s="134">
        <f t="shared" si="196"/>
        <v>85.663755436283452</v>
      </c>
      <c r="M451" s="134">
        <f t="shared" si="196"/>
        <v>80.037712861479264</v>
      </c>
      <c r="N451" s="134">
        <f t="shared" si="196"/>
        <v>74.399661974064557</v>
      </c>
      <c r="O451" s="134">
        <f t="shared" si="196"/>
        <v>68.749576050747706</v>
      </c>
      <c r="P451" s="134">
        <f t="shared" si="196"/>
        <v>63.08742830637263</v>
      </c>
      <c r="Q451" s="134">
        <f t="shared" si="196"/>
        <v>57.413191893770573</v>
      </c>
      <c r="R451" s="134">
        <f t="shared" si="196"/>
        <v>51.726839903611349</v>
      </c>
      <c r="S451" s="134">
        <f t="shared" si="196"/>
        <v>46.028345364253923</v>
      </c>
      <c r="T451" s="134">
        <f t="shared" si="196"/>
        <v>40.317681241596979</v>
      </c>
      <c r="U451" s="134">
        <f t="shared" si="196"/>
        <v>34.594820438928998</v>
      </c>
      <c r="V451" s="134">
        <f t="shared" si="196"/>
        <v>28.85973579677794</v>
      </c>
      <c r="W451" s="134">
        <f t="shared" si="196"/>
        <v>23.112400092760574</v>
      </c>
      <c r="X451" s="134">
        <f t="shared" si="196"/>
        <v>17.352786041431301</v>
      </c>
      <c r="Y451" s="134">
        <f t="shared" si="196"/>
        <v>11.580866294130869</v>
      </c>
      <c r="Z451" s="134">
        <f t="shared" si="196"/>
        <v>5.7966134388345427</v>
      </c>
      <c r="AA451" s="134">
        <f t="shared" si="196"/>
        <v>0</v>
      </c>
      <c r="AB451" s="134">
        <f t="shared" si="196"/>
        <v>-5.8090015615853137</v>
      </c>
      <c r="AC451" s="134">
        <f t="shared" si="196"/>
        <v>-11.630418848957332</v>
      </c>
      <c r="AD451" s="134">
        <f t="shared" si="196"/>
        <v>-17.464279529128209</v>
      </c>
      <c r="AE451" s="134">
        <f t="shared" si="196"/>
        <v>-23.310611333240175</v>
      </c>
      <c r="AF451" s="134">
        <f t="shared" si="196"/>
        <v>-29.169442056719884</v>
      </c>
      <c r="AG451" s="134">
        <f t="shared" si="196"/>
        <v>-35.040799559432628</v>
      </c>
      <c r="AH451" s="134">
        <f t="shared" si="196"/>
        <v>-40.924711765837252</v>
      </c>
      <c r="AI451" s="134">
        <f t="shared" si="196"/>
        <v>-46.821206665141098</v>
      </c>
      <c r="AJ451" s="134">
        <f t="shared" si="196"/>
        <v>-52.723999916299611</v>
      </c>
      <c r="AK451" s="134">
        <f t="shared" si="196"/>
        <v>-58.626793167458125</v>
      </c>
      <c r="AL451" s="134">
        <f t="shared" si="196"/>
        <v>-64.529586418616645</v>
      </c>
      <c r="AM451" s="134">
        <f t="shared" si="196"/>
        <v>-70.432379669775159</v>
      </c>
      <c r="AN451" s="134">
        <f t="shared" si="196"/>
        <v>-76.335172920933672</v>
      </c>
      <c r="AO451" s="134">
        <f t="shared" si="196"/>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2" t="s">
        <v>119</v>
      </c>
      <c r="C452" s="135"/>
      <c r="D452" s="134">
        <f t="shared" ref="D452:AO452" si="197">IF(D$426=$B452,0,IF(D$426&gt;$B452,-0.5*D$424-0.5*C$424+C452,0.5*HLOOKUP($B452,$D$423:$AO$424,2,FALSE)+0.5*HLOOKUP($B451,$D$423:$AO$424,2,FALSE)+D451))</f>
        <v>122.20401043265734</v>
      </c>
      <c r="E452" s="134">
        <f t="shared" si="197"/>
        <v>122.20401043265734</v>
      </c>
      <c r="F452" s="134">
        <f t="shared" si="197"/>
        <v>122.20401043265734</v>
      </c>
      <c r="G452" s="134">
        <f t="shared" si="197"/>
        <v>119.42377618607422</v>
      </c>
      <c r="H452" s="134">
        <f t="shared" si="197"/>
        <v>113.85737647984956</v>
      </c>
      <c r="I452" s="134">
        <f t="shared" si="197"/>
        <v>108.27910115467949</v>
      </c>
      <c r="J452" s="134">
        <f t="shared" si="197"/>
        <v>102.68892379437965</v>
      </c>
      <c r="K452" s="134">
        <f t="shared" si="197"/>
        <v>97.086817921638087</v>
      </c>
      <c r="L452" s="134">
        <f t="shared" si="197"/>
        <v>91.472756997868771</v>
      </c>
      <c r="M452" s="134">
        <f t="shared" si="197"/>
        <v>85.846714423064583</v>
      </c>
      <c r="N452" s="134">
        <f t="shared" si="197"/>
        <v>80.208663535649876</v>
      </c>
      <c r="O452" s="134">
        <f t="shared" si="197"/>
        <v>74.558577612333025</v>
      </c>
      <c r="P452" s="134">
        <f t="shared" si="197"/>
        <v>68.896429867957949</v>
      </c>
      <c r="Q452" s="134">
        <f t="shared" si="197"/>
        <v>63.222193455355885</v>
      </c>
      <c r="R452" s="134">
        <f t="shared" si="197"/>
        <v>57.535841465196661</v>
      </c>
      <c r="S452" s="134">
        <f t="shared" si="197"/>
        <v>51.837346925839235</v>
      </c>
      <c r="T452" s="134">
        <f t="shared" si="197"/>
        <v>46.126682803182291</v>
      </c>
      <c r="U452" s="134">
        <f t="shared" si="197"/>
        <v>40.40382200051431</v>
      </c>
      <c r="V452" s="134">
        <f t="shared" si="197"/>
        <v>34.668737358363252</v>
      </c>
      <c r="W452" s="134">
        <f t="shared" si="197"/>
        <v>28.921401654345885</v>
      </c>
      <c r="X452" s="134">
        <f t="shared" si="197"/>
        <v>23.161787603016613</v>
      </c>
      <c r="Y452" s="134">
        <f t="shared" si="197"/>
        <v>17.389867855716183</v>
      </c>
      <c r="Z452" s="134">
        <f t="shared" si="197"/>
        <v>11.605615000419856</v>
      </c>
      <c r="AA452" s="134">
        <f t="shared" si="197"/>
        <v>5.8090015615853137</v>
      </c>
      <c r="AB452" s="134">
        <f t="shared" si="197"/>
        <v>0</v>
      </c>
      <c r="AC452" s="134">
        <f t="shared" si="197"/>
        <v>-5.821417287372018</v>
      </c>
      <c r="AD452" s="134">
        <f t="shared" si="197"/>
        <v>-11.655277967542895</v>
      </c>
      <c r="AE452" s="134">
        <f t="shared" si="197"/>
        <v>-17.501609771654863</v>
      </c>
      <c r="AF452" s="134">
        <f t="shared" si="197"/>
        <v>-23.360440495134572</v>
      </c>
      <c r="AG452" s="134">
        <f t="shared" si="197"/>
        <v>-29.231797997847316</v>
      </c>
      <c r="AH452" s="134">
        <f t="shared" si="197"/>
        <v>-35.11571020425194</v>
      </c>
      <c r="AI452" s="134">
        <f t="shared" si="197"/>
        <v>-41.012205103555786</v>
      </c>
      <c r="AJ452" s="134">
        <f t="shared" si="197"/>
        <v>-46.914998354714299</v>
      </c>
      <c r="AK452" s="134">
        <f t="shared" si="197"/>
        <v>-52.817791605872813</v>
      </c>
      <c r="AL452" s="134">
        <f t="shared" si="197"/>
        <v>-58.720584857031326</v>
      </c>
      <c r="AM452" s="134">
        <f t="shared" si="197"/>
        <v>-64.62337810818984</v>
      </c>
      <c r="AN452" s="134">
        <f t="shared" si="197"/>
        <v>-70.526171359348353</v>
      </c>
      <c r="AO452" s="134">
        <f t="shared" si="197"/>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2" t="s">
        <v>120</v>
      </c>
      <c r="C453" s="135"/>
      <c r="D453" s="134">
        <f t="shared" ref="D453:AO453" si="198">IF(D$426=$B453,0,IF(D$426&gt;$B453,-0.5*D$424-0.5*C$424+C453,0.5*HLOOKUP($B453,$D$423:$AO$424,2,FALSE)+0.5*HLOOKUP($B452,$D$423:$AO$424,2,FALSE)+D452))</f>
        <v>128.02542772002937</v>
      </c>
      <c r="E453" s="134">
        <f t="shared" si="198"/>
        <v>128.02542772002937</v>
      </c>
      <c r="F453" s="134">
        <f t="shared" si="198"/>
        <v>128.02542772002937</v>
      </c>
      <c r="G453" s="134">
        <f t="shared" si="198"/>
        <v>125.24519347344624</v>
      </c>
      <c r="H453" s="134">
        <f t="shared" si="198"/>
        <v>119.67879376722158</v>
      </c>
      <c r="I453" s="134">
        <f t="shared" si="198"/>
        <v>114.10051844205151</v>
      </c>
      <c r="J453" s="134">
        <f t="shared" si="198"/>
        <v>108.51034108175166</v>
      </c>
      <c r="K453" s="134">
        <f t="shared" si="198"/>
        <v>102.9082352090101</v>
      </c>
      <c r="L453" s="134">
        <f t="shared" si="198"/>
        <v>97.294174285240786</v>
      </c>
      <c r="M453" s="134">
        <f t="shared" si="198"/>
        <v>91.668131710436597</v>
      </c>
      <c r="N453" s="134">
        <f t="shared" si="198"/>
        <v>86.030080823021891</v>
      </c>
      <c r="O453" s="134">
        <f t="shared" si="198"/>
        <v>80.379994899705039</v>
      </c>
      <c r="P453" s="134">
        <f t="shared" si="198"/>
        <v>74.717847155329963</v>
      </c>
      <c r="Q453" s="134">
        <f t="shared" si="198"/>
        <v>69.043610742727907</v>
      </c>
      <c r="R453" s="134">
        <f t="shared" si="198"/>
        <v>63.357258752568683</v>
      </c>
      <c r="S453" s="134">
        <f t="shared" si="198"/>
        <v>57.658764213211256</v>
      </c>
      <c r="T453" s="134">
        <f t="shared" si="198"/>
        <v>51.948100090554306</v>
      </c>
      <c r="U453" s="134">
        <f t="shared" si="198"/>
        <v>46.225239287886325</v>
      </c>
      <c r="V453" s="134">
        <f t="shared" si="198"/>
        <v>40.490154645735274</v>
      </c>
      <c r="W453" s="134">
        <f t="shared" si="198"/>
        <v>34.7428189417179</v>
      </c>
      <c r="X453" s="134">
        <f t="shared" si="198"/>
        <v>28.983204890388631</v>
      </c>
      <c r="Y453" s="134">
        <f t="shared" si="198"/>
        <v>23.211285143088201</v>
      </c>
      <c r="Z453" s="134">
        <f t="shared" si="198"/>
        <v>17.427032287791874</v>
      </c>
      <c r="AA453" s="134">
        <f t="shared" si="198"/>
        <v>11.630418848957332</v>
      </c>
      <c r="AB453" s="134">
        <f t="shared" si="198"/>
        <v>5.821417287372018</v>
      </c>
      <c r="AC453" s="134">
        <f t="shared" si="198"/>
        <v>0</v>
      </c>
      <c r="AD453" s="134">
        <f t="shared" si="198"/>
        <v>-5.8338606801708774</v>
      </c>
      <c r="AE453" s="134">
        <f t="shared" si="198"/>
        <v>-11.680192484282843</v>
      </c>
      <c r="AF453" s="134">
        <f t="shared" si="198"/>
        <v>-17.539023207762554</v>
      </c>
      <c r="AG453" s="134">
        <f t="shared" si="198"/>
        <v>-23.410380710475302</v>
      </c>
      <c r="AH453" s="134">
        <f t="shared" si="198"/>
        <v>-29.294292916879925</v>
      </c>
      <c r="AI453" s="134">
        <f t="shared" si="198"/>
        <v>-35.190787816183771</v>
      </c>
      <c r="AJ453" s="134">
        <f t="shared" si="198"/>
        <v>-41.093581067342285</v>
      </c>
      <c r="AK453" s="134">
        <f t="shared" si="198"/>
        <v>-46.996374318500798</v>
      </c>
      <c r="AL453" s="134">
        <f t="shared" si="198"/>
        <v>-52.899167569659312</v>
      </c>
      <c r="AM453" s="134">
        <f t="shared" si="198"/>
        <v>-58.801960820817825</v>
      </c>
      <c r="AN453" s="134">
        <f t="shared" si="198"/>
        <v>-64.704754071976339</v>
      </c>
      <c r="AO453" s="134">
        <f t="shared" si="198"/>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2" t="s">
        <v>121</v>
      </c>
      <c r="C454" s="135"/>
      <c r="D454" s="134">
        <f t="shared" ref="D454:AO454" si="199">IF(D$426=$B454,0,IF(D$426&gt;$B454,-0.5*D$424-0.5*C$424+C454,0.5*HLOOKUP($B454,$D$423:$AO$424,2,FALSE)+0.5*HLOOKUP($B453,$D$423:$AO$424,2,FALSE)+D453))</f>
        <v>133.85928840020026</v>
      </c>
      <c r="E454" s="134">
        <f t="shared" si="199"/>
        <v>133.85928840020026</v>
      </c>
      <c r="F454" s="134">
        <f t="shared" si="199"/>
        <v>133.85928840020026</v>
      </c>
      <c r="G454" s="134">
        <f t="shared" si="199"/>
        <v>131.07905415361711</v>
      </c>
      <c r="H454" s="134">
        <f t="shared" si="199"/>
        <v>125.51265444739245</v>
      </c>
      <c r="I454" s="134">
        <f t="shared" si="199"/>
        <v>119.93437912222238</v>
      </c>
      <c r="J454" s="134">
        <f t="shared" si="199"/>
        <v>114.34420176192253</v>
      </c>
      <c r="K454" s="134">
        <f t="shared" si="199"/>
        <v>108.74209588918097</v>
      </c>
      <c r="L454" s="134">
        <f t="shared" si="199"/>
        <v>103.12803496541166</v>
      </c>
      <c r="M454" s="134">
        <f t="shared" si="199"/>
        <v>97.501992390607469</v>
      </c>
      <c r="N454" s="134">
        <f t="shared" si="199"/>
        <v>91.863941503192763</v>
      </c>
      <c r="O454" s="134">
        <f t="shared" si="199"/>
        <v>86.213855579875911</v>
      </c>
      <c r="P454" s="134">
        <f t="shared" si="199"/>
        <v>80.551707835500835</v>
      </c>
      <c r="Q454" s="134">
        <f t="shared" si="199"/>
        <v>74.877471422898779</v>
      </c>
      <c r="R454" s="134">
        <f t="shared" si="199"/>
        <v>69.191119432739555</v>
      </c>
      <c r="S454" s="134">
        <f t="shared" si="199"/>
        <v>63.492624893382136</v>
      </c>
      <c r="T454" s="134">
        <f t="shared" si="199"/>
        <v>57.781960770725185</v>
      </c>
      <c r="U454" s="134">
        <f t="shared" si="199"/>
        <v>52.059099968057204</v>
      </c>
      <c r="V454" s="134">
        <f t="shared" si="199"/>
        <v>46.324015325906153</v>
      </c>
      <c r="W454" s="134">
        <f t="shared" si="199"/>
        <v>40.576679621888779</v>
      </c>
      <c r="X454" s="134">
        <f t="shared" si="199"/>
        <v>34.817065570559507</v>
      </c>
      <c r="Y454" s="134">
        <f t="shared" si="199"/>
        <v>29.045145823259077</v>
      </c>
      <c r="Z454" s="134">
        <f t="shared" si="199"/>
        <v>23.260892967962754</v>
      </c>
      <c r="AA454" s="134">
        <f t="shared" si="199"/>
        <v>17.464279529128209</v>
      </c>
      <c r="AB454" s="134">
        <f t="shared" si="199"/>
        <v>11.655277967542895</v>
      </c>
      <c r="AC454" s="134">
        <f t="shared" si="199"/>
        <v>5.8338606801708774</v>
      </c>
      <c r="AD454" s="134">
        <f t="shared" si="199"/>
        <v>0</v>
      </c>
      <c r="AE454" s="134">
        <f t="shared" si="199"/>
        <v>-5.8463318041119656</v>
      </c>
      <c r="AF454" s="134">
        <f t="shared" si="199"/>
        <v>-11.705162527591675</v>
      </c>
      <c r="AG454" s="134">
        <f t="shared" si="199"/>
        <v>-17.576520030304422</v>
      </c>
      <c r="AH454" s="134">
        <f t="shared" si="199"/>
        <v>-23.460432236709046</v>
      </c>
      <c r="AI454" s="134">
        <f t="shared" si="199"/>
        <v>-29.356927136012892</v>
      </c>
      <c r="AJ454" s="134">
        <f t="shared" si="199"/>
        <v>-35.259720387171406</v>
      </c>
      <c r="AK454" s="134">
        <f t="shared" si="199"/>
        <v>-41.162513638329919</v>
      </c>
      <c r="AL454" s="134">
        <f t="shared" si="199"/>
        <v>-47.065306889488433</v>
      </c>
      <c r="AM454" s="134">
        <f t="shared" si="199"/>
        <v>-52.968100140646946</v>
      </c>
      <c r="AN454" s="134">
        <f t="shared" si="199"/>
        <v>-58.87089339180546</v>
      </c>
      <c r="AO454" s="134">
        <f t="shared" si="199"/>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2" t="s">
        <v>122</v>
      </c>
      <c r="C455" s="135"/>
      <c r="D455" s="134">
        <f t="shared" ref="D455:AO455" si="200">IF(D$426=$B455,0,IF(D$426&gt;$B455,-0.5*D$424-0.5*C$424+C455,0.5*HLOOKUP($B455,$D$423:$AO$424,2,FALSE)+0.5*HLOOKUP($B454,$D$423:$AO$424,2,FALSE)+D454))</f>
        <v>139.70562020431223</v>
      </c>
      <c r="E455" s="134">
        <f t="shared" si="200"/>
        <v>139.70562020431223</v>
      </c>
      <c r="F455" s="134">
        <f t="shared" si="200"/>
        <v>139.70562020431223</v>
      </c>
      <c r="G455" s="134">
        <f t="shared" si="200"/>
        <v>136.92538595772908</v>
      </c>
      <c r="H455" s="134">
        <f t="shared" si="200"/>
        <v>131.3589862515044</v>
      </c>
      <c r="I455" s="134">
        <f t="shared" si="200"/>
        <v>125.78071092633435</v>
      </c>
      <c r="J455" s="134">
        <f t="shared" si="200"/>
        <v>120.1905335660345</v>
      </c>
      <c r="K455" s="134">
        <f t="shared" si="200"/>
        <v>114.58842769329294</v>
      </c>
      <c r="L455" s="134">
        <f t="shared" si="200"/>
        <v>108.97436676952363</v>
      </c>
      <c r="M455" s="134">
        <f t="shared" si="200"/>
        <v>103.34832419471944</v>
      </c>
      <c r="N455" s="134">
        <f t="shared" si="200"/>
        <v>97.710273307304732</v>
      </c>
      <c r="O455" s="134">
        <f t="shared" si="200"/>
        <v>92.060187383987881</v>
      </c>
      <c r="P455" s="134">
        <f t="shared" si="200"/>
        <v>86.398039639612804</v>
      </c>
      <c r="Q455" s="134">
        <f t="shared" si="200"/>
        <v>80.723803227010748</v>
      </c>
      <c r="R455" s="134">
        <f t="shared" si="200"/>
        <v>75.037451236851524</v>
      </c>
      <c r="S455" s="134">
        <f t="shared" si="200"/>
        <v>69.338956697494098</v>
      </c>
      <c r="T455" s="134">
        <f t="shared" si="200"/>
        <v>63.628292574837147</v>
      </c>
      <c r="U455" s="134">
        <f t="shared" si="200"/>
        <v>57.905431772169166</v>
      </c>
      <c r="V455" s="134">
        <f t="shared" si="200"/>
        <v>52.170347130018115</v>
      </c>
      <c r="W455" s="134">
        <f t="shared" si="200"/>
        <v>46.423011426000741</v>
      </c>
      <c r="X455" s="134">
        <f t="shared" si="200"/>
        <v>40.663397374671476</v>
      </c>
      <c r="Y455" s="134">
        <f t="shared" si="200"/>
        <v>34.891477627371046</v>
      </c>
      <c r="Z455" s="134">
        <f t="shared" si="200"/>
        <v>29.107224772074719</v>
      </c>
      <c r="AA455" s="134">
        <f t="shared" si="200"/>
        <v>23.310611333240175</v>
      </c>
      <c r="AB455" s="134">
        <f t="shared" si="200"/>
        <v>17.501609771654863</v>
      </c>
      <c r="AC455" s="134">
        <f t="shared" si="200"/>
        <v>11.680192484282843</v>
      </c>
      <c r="AD455" s="134">
        <f t="shared" si="200"/>
        <v>5.8463318041119656</v>
      </c>
      <c r="AE455" s="134">
        <f t="shared" si="200"/>
        <v>0</v>
      </c>
      <c r="AF455" s="134">
        <f t="shared" si="200"/>
        <v>-5.8588307234797092</v>
      </c>
      <c r="AG455" s="134">
        <f t="shared" si="200"/>
        <v>-11.730188226192455</v>
      </c>
      <c r="AH455" s="134">
        <f t="shared" si="200"/>
        <v>-17.614100432597077</v>
      </c>
      <c r="AI455" s="134">
        <f t="shared" si="200"/>
        <v>-23.510595331900923</v>
      </c>
      <c r="AJ455" s="134">
        <f t="shared" si="200"/>
        <v>-29.413388583059437</v>
      </c>
      <c r="AK455" s="134">
        <f t="shared" si="200"/>
        <v>-35.31618183421795</v>
      </c>
      <c r="AL455" s="134">
        <f t="shared" si="200"/>
        <v>-41.218975085376464</v>
      </c>
      <c r="AM455" s="134">
        <f t="shared" si="200"/>
        <v>-47.121768336534977</v>
      </c>
      <c r="AN455" s="134">
        <f t="shared" si="200"/>
        <v>-53.024561587693491</v>
      </c>
      <c r="AO455" s="134">
        <f t="shared" si="200"/>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2" t="s">
        <v>123</v>
      </c>
      <c r="C456" s="135"/>
      <c r="D456" s="134">
        <f t="shared" ref="D456:AO456" si="201">IF(D$426=$B456,0,IF(D$426&gt;$B456,-0.5*D$424-0.5*C$424+C456,0.5*HLOOKUP($B456,$D$423:$AO$424,2,FALSE)+0.5*HLOOKUP($B455,$D$423:$AO$424,2,FALSE)+D455))</f>
        <v>145.56445092779194</v>
      </c>
      <c r="E456" s="134">
        <f t="shared" si="201"/>
        <v>145.56445092779194</v>
      </c>
      <c r="F456" s="134">
        <f t="shared" si="201"/>
        <v>145.56445092779194</v>
      </c>
      <c r="G456" s="134">
        <f t="shared" si="201"/>
        <v>142.78421668120879</v>
      </c>
      <c r="H456" s="134">
        <f t="shared" si="201"/>
        <v>137.21781697498412</v>
      </c>
      <c r="I456" s="134">
        <f t="shared" si="201"/>
        <v>131.63954164981405</v>
      </c>
      <c r="J456" s="134">
        <f t="shared" si="201"/>
        <v>126.04936428951422</v>
      </c>
      <c r="K456" s="134">
        <f t="shared" si="201"/>
        <v>120.44725841677266</v>
      </c>
      <c r="L456" s="134">
        <f t="shared" si="201"/>
        <v>114.83319749300334</v>
      </c>
      <c r="M456" s="134">
        <f t="shared" si="201"/>
        <v>109.20715491819915</v>
      </c>
      <c r="N456" s="134">
        <f t="shared" si="201"/>
        <v>103.56910403078444</v>
      </c>
      <c r="O456" s="134">
        <f t="shared" si="201"/>
        <v>97.919018107467593</v>
      </c>
      <c r="P456" s="134">
        <f t="shared" si="201"/>
        <v>92.256870363092517</v>
      </c>
      <c r="Q456" s="134">
        <f t="shared" si="201"/>
        <v>86.582633950490461</v>
      </c>
      <c r="R456" s="134">
        <f t="shared" si="201"/>
        <v>80.896281960331237</v>
      </c>
      <c r="S456" s="134">
        <f t="shared" si="201"/>
        <v>75.19778742097381</v>
      </c>
      <c r="T456" s="134">
        <f t="shared" si="201"/>
        <v>69.48712329831686</v>
      </c>
      <c r="U456" s="134">
        <f t="shared" si="201"/>
        <v>63.764262495648879</v>
      </c>
      <c r="V456" s="134">
        <f t="shared" si="201"/>
        <v>58.029177853497828</v>
      </c>
      <c r="W456" s="134">
        <f t="shared" si="201"/>
        <v>52.281842149480454</v>
      </c>
      <c r="X456" s="134">
        <f t="shared" si="201"/>
        <v>46.522228098151189</v>
      </c>
      <c r="Y456" s="134">
        <f t="shared" si="201"/>
        <v>40.750308350850759</v>
      </c>
      <c r="Z456" s="134">
        <f t="shared" si="201"/>
        <v>34.966055495554428</v>
      </c>
      <c r="AA456" s="134">
        <f t="shared" si="201"/>
        <v>29.169442056719884</v>
      </c>
      <c r="AB456" s="134">
        <f t="shared" si="201"/>
        <v>23.360440495134572</v>
      </c>
      <c r="AC456" s="134">
        <f t="shared" si="201"/>
        <v>17.539023207762554</v>
      </c>
      <c r="AD456" s="134">
        <f t="shared" si="201"/>
        <v>11.705162527591675</v>
      </c>
      <c r="AE456" s="134">
        <f t="shared" si="201"/>
        <v>5.8588307234797092</v>
      </c>
      <c r="AF456" s="134">
        <f t="shared" si="201"/>
        <v>0</v>
      </c>
      <c r="AG456" s="134">
        <f t="shared" si="201"/>
        <v>-5.8713575027127458</v>
      </c>
      <c r="AH456" s="134">
        <f t="shared" si="201"/>
        <v>-11.755269709117368</v>
      </c>
      <c r="AI456" s="134">
        <f t="shared" si="201"/>
        <v>-17.651764608421217</v>
      </c>
      <c r="AJ456" s="134">
        <f t="shared" si="201"/>
        <v>-23.554557859579731</v>
      </c>
      <c r="AK456" s="134">
        <f t="shared" si="201"/>
        <v>-29.457351110738244</v>
      </c>
      <c r="AL456" s="134">
        <f t="shared" si="201"/>
        <v>-35.360144361896758</v>
      </c>
      <c r="AM456" s="134">
        <f t="shared" si="201"/>
        <v>-41.262937613055271</v>
      </c>
      <c r="AN456" s="134">
        <f t="shared" si="201"/>
        <v>-47.165730864213785</v>
      </c>
      <c r="AO456" s="134">
        <f t="shared" si="201"/>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2" t="s">
        <v>124</v>
      </c>
      <c r="C457" s="135"/>
      <c r="D457" s="134">
        <f t="shared" ref="D457:AO457" si="202">IF(D$426=$B457,0,IF(D$426&gt;$B457,-0.5*D$424-0.5*C$424+C457,0.5*HLOOKUP($B457,$D$423:$AO$424,2,FALSE)+0.5*HLOOKUP($B456,$D$423:$AO$424,2,FALSE)+D456))</f>
        <v>151.43580843050469</v>
      </c>
      <c r="E457" s="134">
        <f t="shared" si="202"/>
        <v>151.43580843050469</v>
      </c>
      <c r="F457" s="134">
        <f t="shared" si="202"/>
        <v>151.43580843050469</v>
      </c>
      <c r="G457" s="134">
        <f t="shared" si="202"/>
        <v>148.65557418392154</v>
      </c>
      <c r="H457" s="134">
        <f t="shared" si="202"/>
        <v>143.08917447769687</v>
      </c>
      <c r="I457" s="134">
        <f t="shared" si="202"/>
        <v>137.5108991525268</v>
      </c>
      <c r="J457" s="134">
        <f t="shared" si="202"/>
        <v>131.92072179222697</v>
      </c>
      <c r="K457" s="134">
        <f t="shared" si="202"/>
        <v>126.3186159194854</v>
      </c>
      <c r="L457" s="134">
        <f t="shared" si="202"/>
        <v>120.70455499571608</v>
      </c>
      <c r="M457" s="134">
        <f t="shared" si="202"/>
        <v>115.07851242091189</v>
      </c>
      <c r="N457" s="134">
        <f t="shared" si="202"/>
        <v>109.44046153349719</v>
      </c>
      <c r="O457" s="134">
        <f t="shared" si="202"/>
        <v>103.79037561018033</v>
      </c>
      <c r="P457" s="134">
        <f t="shared" si="202"/>
        <v>98.128227865805258</v>
      </c>
      <c r="Q457" s="134">
        <f t="shared" si="202"/>
        <v>92.453991453203201</v>
      </c>
      <c r="R457" s="134">
        <f t="shared" si="202"/>
        <v>86.767639463043977</v>
      </c>
      <c r="S457" s="134">
        <f t="shared" si="202"/>
        <v>81.069144923686551</v>
      </c>
      <c r="T457" s="134">
        <f t="shared" si="202"/>
        <v>75.3584808010296</v>
      </c>
      <c r="U457" s="134">
        <f t="shared" si="202"/>
        <v>69.635619998361619</v>
      </c>
      <c r="V457" s="134">
        <f t="shared" si="202"/>
        <v>63.900535356210575</v>
      </c>
      <c r="W457" s="134">
        <f t="shared" si="202"/>
        <v>58.153199652193202</v>
      </c>
      <c r="X457" s="134">
        <f t="shared" si="202"/>
        <v>52.393585600863936</v>
      </c>
      <c r="Y457" s="134">
        <f t="shared" si="202"/>
        <v>46.621665853563506</v>
      </c>
      <c r="Z457" s="134">
        <f t="shared" si="202"/>
        <v>40.837412998267176</v>
      </c>
      <c r="AA457" s="134">
        <f t="shared" si="202"/>
        <v>35.040799559432628</v>
      </c>
      <c r="AB457" s="134">
        <f t="shared" si="202"/>
        <v>29.231797997847316</v>
      </c>
      <c r="AC457" s="134">
        <f t="shared" si="202"/>
        <v>23.410380710475302</v>
      </c>
      <c r="AD457" s="134">
        <f t="shared" si="202"/>
        <v>17.576520030304422</v>
      </c>
      <c r="AE457" s="134">
        <f t="shared" si="202"/>
        <v>11.730188226192455</v>
      </c>
      <c r="AF457" s="134">
        <f t="shared" si="202"/>
        <v>5.8713575027127458</v>
      </c>
      <c r="AG457" s="134">
        <f t="shared" si="202"/>
        <v>0</v>
      </c>
      <c r="AH457" s="134">
        <f t="shared" si="202"/>
        <v>-5.8839122064046219</v>
      </c>
      <c r="AI457" s="134">
        <f t="shared" si="202"/>
        <v>-11.78040710570847</v>
      </c>
      <c r="AJ457" s="134">
        <f t="shared" si="202"/>
        <v>-17.683200356866983</v>
      </c>
      <c r="AK457" s="134">
        <f t="shared" si="202"/>
        <v>-23.585993608025497</v>
      </c>
      <c r="AL457" s="134">
        <f t="shared" si="202"/>
        <v>-29.48878685918401</v>
      </c>
      <c r="AM457" s="134">
        <f t="shared" si="202"/>
        <v>-35.391580110342524</v>
      </c>
      <c r="AN457" s="134">
        <f t="shared" si="202"/>
        <v>-41.294373361501037</v>
      </c>
      <c r="AO457" s="134">
        <f t="shared" si="202"/>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2" t="s">
        <v>125</v>
      </c>
      <c r="C458" s="135"/>
      <c r="D458" s="134">
        <f t="shared" ref="D458:AO458" si="203">IF(D$426=$B458,0,IF(D$426&gt;$B458,-0.5*D$424-0.5*C$424+C458,0.5*HLOOKUP($B458,$D$423:$AO$424,2,FALSE)+0.5*HLOOKUP($B457,$D$423:$AO$424,2,FALSE)+D457))</f>
        <v>157.31972063690932</v>
      </c>
      <c r="E458" s="134">
        <f t="shared" si="203"/>
        <v>157.31972063690932</v>
      </c>
      <c r="F458" s="134">
        <f t="shared" si="203"/>
        <v>157.31972063690932</v>
      </c>
      <c r="G458" s="134">
        <f t="shared" si="203"/>
        <v>154.53948639032618</v>
      </c>
      <c r="H458" s="134">
        <f t="shared" si="203"/>
        <v>148.9730866841015</v>
      </c>
      <c r="I458" s="134">
        <f t="shared" si="203"/>
        <v>143.39481135893143</v>
      </c>
      <c r="J458" s="134">
        <f t="shared" si="203"/>
        <v>137.8046339986316</v>
      </c>
      <c r="K458" s="134">
        <f t="shared" si="203"/>
        <v>132.20252812589001</v>
      </c>
      <c r="L458" s="134">
        <f t="shared" si="203"/>
        <v>126.5884672021207</v>
      </c>
      <c r="M458" s="134">
        <f t="shared" si="203"/>
        <v>120.96242462731651</v>
      </c>
      <c r="N458" s="134">
        <f t="shared" si="203"/>
        <v>115.3243737399018</v>
      </c>
      <c r="O458" s="134">
        <f t="shared" si="203"/>
        <v>109.67428781658495</v>
      </c>
      <c r="P458" s="134">
        <f t="shared" si="203"/>
        <v>104.01214007220987</v>
      </c>
      <c r="Q458" s="134">
        <f t="shared" si="203"/>
        <v>98.337903659607818</v>
      </c>
      <c r="R458" s="134">
        <f t="shared" si="203"/>
        <v>92.651551669448594</v>
      </c>
      <c r="S458" s="134">
        <f t="shared" si="203"/>
        <v>86.953057130091167</v>
      </c>
      <c r="T458" s="134">
        <f t="shared" si="203"/>
        <v>81.242393007434217</v>
      </c>
      <c r="U458" s="134">
        <f t="shared" si="203"/>
        <v>75.519532204766236</v>
      </c>
      <c r="V458" s="134">
        <f t="shared" si="203"/>
        <v>69.784447562615199</v>
      </c>
      <c r="W458" s="134">
        <f t="shared" si="203"/>
        <v>64.037111858597825</v>
      </c>
      <c r="X458" s="134">
        <f t="shared" si="203"/>
        <v>58.27749780726856</v>
      </c>
      <c r="Y458" s="134">
        <f t="shared" si="203"/>
        <v>52.50557805996813</v>
      </c>
      <c r="Z458" s="134">
        <f t="shared" si="203"/>
        <v>46.7213252046718</v>
      </c>
      <c r="AA458" s="134">
        <f t="shared" si="203"/>
        <v>40.924711765837252</v>
      </c>
      <c r="AB458" s="134">
        <f t="shared" si="203"/>
        <v>35.11571020425194</v>
      </c>
      <c r="AC458" s="134">
        <f t="shared" si="203"/>
        <v>29.294292916879925</v>
      </c>
      <c r="AD458" s="134">
        <f t="shared" si="203"/>
        <v>23.460432236709046</v>
      </c>
      <c r="AE458" s="134">
        <f t="shared" si="203"/>
        <v>17.614100432597077</v>
      </c>
      <c r="AF458" s="134">
        <f t="shared" si="203"/>
        <v>11.755269709117368</v>
      </c>
      <c r="AG458" s="134">
        <f t="shared" si="203"/>
        <v>5.8839122064046219</v>
      </c>
      <c r="AH458" s="134">
        <f t="shared" si="203"/>
        <v>0</v>
      </c>
      <c r="AI458" s="134">
        <f t="shared" si="203"/>
        <v>-5.896494899303848</v>
      </c>
      <c r="AJ458" s="134">
        <f t="shared" si="203"/>
        <v>-11.799288150462361</v>
      </c>
      <c r="AK458" s="134">
        <f t="shared" si="203"/>
        <v>-17.702081401620873</v>
      </c>
      <c r="AL458" s="134">
        <f t="shared" si="203"/>
        <v>-23.604874652779387</v>
      </c>
      <c r="AM458" s="134">
        <f t="shared" si="203"/>
        <v>-29.5076679039379</v>
      </c>
      <c r="AN458" s="134">
        <f t="shared" si="203"/>
        <v>-35.410461155096414</v>
      </c>
      <c r="AO458" s="134">
        <f t="shared" si="203"/>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2" t="s">
        <v>126</v>
      </c>
      <c r="C459" s="135"/>
      <c r="D459" s="134">
        <f t="shared" ref="D459:AO459" si="204">IF(D$426=$B459,0,IF(D$426&gt;$B459,-0.5*D$424-0.5*C$424+C459,0.5*HLOOKUP($B459,$D$423:$AO$424,2,FALSE)+0.5*HLOOKUP($B458,$D$423:$AO$424,2,FALSE)+D458))</f>
        <v>163.21621553621318</v>
      </c>
      <c r="E459" s="134">
        <f t="shared" si="204"/>
        <v>163.21621553621318</v>
      </c>
      <c r="F459" s="134">
        <f t="shared" si="204"/>
        <v>163.21621553621318</v>
      </c>
      <c r="G459" s="134">
        <f t="shared" si="204"/>
        <v>160.43598128963004</v>
      </c>
      <c r="H459" s="134">
        <f t="shared" si="204"/>
        <v>154.86958158340536</v>
      </c>
      <c r="I459" s="134">
        <f t="shared" si="204"/>
        <v>149.29130625823529</v>
      </c>
      <c r="J459" s="134">
        <f t="shared" si="204"/>
        <v>143.70112889793546</v>
      </c>
      <c r="K459" s="134">
        <f t="shared" si="204"/>
        <v>138.09902302519387</v>
      </c>
      <c r="L459" s="134">
        <f t="shared" si="204"/>
        <v>132.48496210142454</v>
      </c>
      <c r="M459" s="134">
        <f t="shared" si="204"/>
        <v>126.85891952662035</v>
      </c>
      <c r="N459" s="134">
        <f t="shared" si="204"/>
        <v>121.22086863920565</v>
      </c>
      <c r="O459" s="134">
        <f t="shared" si="204"/>
        <v>115.5707827158888</v>
      </c>
      <c r="P459" s="134">
        <f t="shared" si="204"/>
        <v>109.90863497151372</v>
      </c>
      <c r="Q459" s="134">
        <f t="shared" si="204"/>
        <v>104.23439855891166</v>
      </c>
      <c r="R459" s="134">
        <f t="shared" si="204"/>
        <v>98.54804656875244</v>
      </c>
      <c r="S459" s="134">
        <f t="shared" si="204"/>
        <v>92.849552029395014</v>
      </c>
      <c r="T459" s="134">
        <f t="shared" si="204"/>
        <v>87.138887906738063</v>
      </c>
      <c r="U459" s="134">
        <f t="shared" si="204"/>
        <v>81.416027104070082</v>
      </c>
      <c r="V459" s="134">
        <f t="shared" si="204"/>
        <v>75.680942461919045</v>
      </c>
      <c r="W459" s="134">
        <f t="shared" si="204"/>
        <v>69.933606757901671</v>
      </c>
      <c r="X459" s="134">
        <f t="shared" si="204"/>
        <v>64.173992706572406</v>
      </c>
      <c r="Y459" s="134">
        <f t="shared" si="204"/>
        <v>58.402072959271976</v>
      </c>
      <c r="Z459" s="134">
        <f t="shared" si="204"/>
        <v>52.617820103975646</v>
      </c>
      <c r="AA459" s="134">
        <f t="shared" si="204"/>
        <v>46.821206665141098</v>
      </c>
      <c r="AB459" s="134">
        <f t="shared" si="204"/>
        <v>41.012205103555786</v>
      </c>
      <c r="AC459" s="134">
        <f t="shared" si="204"/>
        <v>35.190787816183771</v>
      </c>
      <c r="AD459" s="134">
        <f t="shared" si="204"/>
        <v>29.356927136012892</v>
      </c>
      <c r="AE459" s="134">
        <f t="shared" si="204"/>
        <v>23.510595331900923</v>
      </c>
      <c r="AF459" s="134">
        <f t="shared" si="204"/>
        <v>17.651764608421217</v>
      </c>
      <c r="AG459" s="134">
        <f t="shared" si="204"/>
        <v>11.78040710570847</v>
      </c>
      <c r="AH459" s="134">
        <f t="shared" si="204"/>
        <v>5.896494899303848</v>
      </c>
      <c r="AI459" s="134">
        <f t="shared" si="204"/>
        <v>0</v>
      </c>
      <c r="AJ459" s="134">
        <f t="shared" si="204"/>
        <v>-5.9027932511585135</v>
      </c>
      <c r="AK459" s="134">
        <f t="shared" si="204"/>
        <v>-11.805586502317027</v>
      </c>
      <c r="AL459" s="134">
        <f t="shared" si="204"/>
        <v>-17.70837975347554</v>
      </c>
      <c r="AM459" s="134">
        <f t="shared" si="204"/>
        <v>-23.611173004634054</v>
      </c>
      <c r="AN459" s="134">
        <f t="shared" si="204"/>
        <v>-29.513966255792567</v>
      </c>
      <c r="AO459" s="134">
        <f t="shared" si="20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2" t="s">
        <v>127</v>
      </c>
      <c r="C460" s="135"/>
      <c r="D460" s="134">
        <f t="shared" ref="D460:AO460" si="205">IF(D$426=$B460,0,IF(D$426&gt;$B460,-0.5*D$424-0.5*C$424+C460,0.5*HLOOKUP($B460,$D$423:$AO$424,2,FALSE)+0.5*HLOOKUP($B459,$D$423:$AO$424,2,FALSE)+D459))</f>
        <v>169.11900878737168</v>
      </c>
      <c r="E460" s="134">
        <f t="shared" si="205"/>
        <v>169.11900878737168</v>
      </c>
      <c r="F460" s="134">
        <f t="shared" si="205"/>
        <v>169.11900878737168</v>
      </c>
      <c r="G460" s="134">
        <f t="shared" si="205"/>
        <v>166.33877454078856</v>
      </c>
      <c r="H460" s="134">
        <f t="shared" si="205"/>
        <v>160.77237483456389</v>
      </c>
      <c r="I460" s="134">
        <f t="shared" si="205"/>
        <v>155.19409950939382</v>
      </c>
      <c r="J460" s="134">
        <f t="shared" si="205"/>
        <v>149.60392214909399</v>
      </c>
      <c r="K460" s="134">
        <f t="shared" si="205"/>
        <v>144.00181627635237</v>
      </c>
      <c r="L460" s="134">
        <f t="shared" si="205"/>
        <v>138.38775535258304</v>
      </c>
      <c r="M460" s="134">
        <f t="shared" si="205"/>
        <v>132.76171277777888</v>
      </c>
      <c r="N460" s="134">
        <f t="shared" si="205"/>
        <v>127.12366189036416</v>
      </c>
      <c r="O460" s="134">
        <f t="shared" si="205"/>
        <v>121.47357596704731</v>
      </c>
      <c r="P460" s="134">
        <f t="shared" si="205"/>
        <v>115.81142822267223</v>
      </c>
      <c r="Q460" s="134">
        <f t="shared" si="205"/>
        <v>110.13719181007018</v>
      </c>
      <c r="R460" s="134">
        <f t="shared" si="205"/>
        <v>104.45083981991095</v>
      </c>
      <c r="S460" s="134">
        <f t="shared" si="205"/>
        <v>98.752345280553527</v>
      </c>
      <c r="T460" s="134">
        <f t="shared" si="205"/>
        <v>93.041681157896576</v>
      </c>
      <c r="U460" s="134">
        <f t="shared" si="205"/>
        <v>87.318820355228596</v>
      </c>
      <c r="V460" s="134">
        <f t="shared" si="205"/>
        <v>81.583735713077559</v>
      </c>
      <c r="W460" s="134">
        <f t="shared" si="205"/>
        <v>75.836400009060185</v>
      </c>
      <c r="X460" s="134">
        <f t="shared" si="205"/>
        <v>70.07678595773092</v>
      </c>
      <c r="Y460" s="134">
        <f t="shared" si="205"/>
        <v>64.30486621043049</v>
      </c>
      <c r="Z460" s="134">
        <f t="shared" si="205"/>
        <v>58.520613355134159</v>
      </c>
      <c r="AA460" s="134">
        <f t="shared" si="205"/>
        <v>52.723999916299611</v>
      </c>
      <c r="AB460" s="134">
        <f t="shared" si="205"/>
        <v>46.914998354714299</v>
      </c>
      <c r="AC460" s="134">
        <f t="shared" si="205"/>
        <v>41.093581067342285</v>
      </c>
      <c r="AD460" s="134">
        <f t="shared" si="205"/>
        <v>35.259720387171406</v>
      </c>
      <c r="AE460" s="134">
        <f t="shared" si="205"/>
        <v>29.413388583059437</v>
      </c>
      <c r="AF460" s="134">
        <f t="shared" si="205"/>
        <v>23.554557859579731</v>
      </c>
      <c r="AG460" s="134">
        <f t="shared" si="205"/>
        <v>17.683200356866983</v>
      </c>
      <c r="AH460" s="134">
        <f t="shared" si="205"/>
        <v>11.799288150462361</v>
      </c>
      <c r="AI460" s="134">
        <f t="shared" si="205"/>
        <v>5.9027932511585135</v>
      </c>
      <c r="AJ460" s="134">
        <f t="shared" si="205"/>
        <v>0</v>
      </c>
      <c r="AK460" s="134">
        <f t="shared" si="205"/>
        <v>-5.9027932511585135</v>
      </c>
      <c r="AL460" s="134">
        <f t="shared" si="205"/>
        <v>-11.805586502317027</v>
      </c>
      <c r="AM460" s="134">
        <f t="shared" si="205"/>
        <v>-17.70837975347554</v>
      </c>
      <c r="AN460" s="134">
        <f t="shared" si="205"/>
        <v>-23.611173004634054</v>
      </c>
      <c r="AO460" s="134">
        <f t="shared" si="205"/>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2" t="s">
        <v>128</v>
      </c>
      <c r="C461" s="135"/>
      <c r="D461" s="134">
        <f t="shared" ref="D461:AO461" si="206">IF(D$426=$B461,0,IF(D$426&gt;$B461,-0.5*D$424-0.5*C$424+C461,0.5*HLOOKUP($B461,$D$423:$AO$424,2,FALSE)+0.5*HLOOKUP($B460,$D$423:$AO$424,2,FALSE)+D460))</f>
        <v>175.02180203853021</v>
      </c>
      <c r="E461" s="134">
        <f t="shared" si="206"/>
        <v>175.02180203853021</v>
      </c>
      <c r="F461" s="134">
        <f t="shared" si="206"/>
        <v>175.02180203853021</v>
      </c>
      <c r="G461" s="134">
        <f t="shared" si="206"/>
        <v>172.24156779194709</v>
      </c>
      <c r="H461" s="134">
        <f t="shared" si="206"/>
        <v>166.67516808572242</v>
      </c>
      <c r="I461" s="134">
        <f t="shared" si="206"/>
        <v>161.09689276055235</v>
      </c>
      <c r="J461" s="134">
        <f t="shared" si="206"/>
        <v>155.50671540025252</v>
      </c>
      <c r="K461" s="134">
        <f t="shared" si="206"/>
        <v>149.9046095275109</v>
      </c>
      <c r="L461" s="134">
        <f t="shared" si="206"/>
        <v>144.29054860374157</v>
      </c>
      <c r="M461" s="134">
        <f t="shared" si="206"/>
        <v>138.66450602893741</v>
      </c>
      <c r="N461" s="134">
        <f t="shared" si="206"/>
        <v>133.02645514152266</v>
      </c>
      <c r="O461" s="134">
        <f t="shared" si="206"/>
        <v>127.37636921820582</v>
      </c>
      <c r="P461" s="134">
        <f t="shared" si="206"/>
        <v>121.71422147383075</v>
      </c>
      <c r="Q461" s="134">
        <f t="shared" si="206"/>
        <v>116.03998506122869</v>
      </c>
      <c r="R461" s="134">
        <f t="shared" si="206"/>
        <v>110.35363307106947</v>
      </c>
      <c r="S461" s="134">
        <f t="shared" si="206"/>
        <v>104.65513853171204</v>
      </c>
      <c r="T461" s="134">
        <f t="shared" si="206"/>
        <v>98.94447440905509</v>
      </c>
      <c r="U461" s="134">
        <f t="shared" si="206"/>
        <v>93.221613606387109</v>
      </c>
      <c r="V461" s="134">
        <f t="shared" si="206"/>
        <v>87.486528964236072</v>
      </c>
      <c r="W461" s="134">
        <f t="shared" si="206"/>
        <v>81.739193260218698</v>
      </c>
      <c r="X461" s="134">
        <f t="shared" si="206"/>
        <v>75.979579208889433</v>
      </c>
      <c r="Y461" s="134">
        <f t="shared" si="206"/>
        <v>70.207659461589003</v>
      </c>
      <c r="Z461" s="134">
        <f t="shared" si="206"/>
        <v>64.423406606292673</v>
      </c>
      <c r="AA461" s="134">
        <f t="shared" si="206"/>
        <v>58.626793167458125</v>
      </c>
      <c r="AB461" s="134">
        <f t="shared" si="206"/>
        <v>52.817791605872813</v>
      </c>
      <c r="AC461" s="134">
        <f t="shared" si="206"/>
        <v>46.996374318500798</v>
      </c>
      <c r="AD461" s="134">
        <f t="shared" si="206"/>
        <v>41.162513638329919</v>
      </c>
      <c r="AE461" s="134">
        <f t="shared" si="206"/>
        <v>35.31618183421795</v>
      </c>
      <c r="AF461" s="134">
        <f t="shared" si="206"/>
        <v>29.457351110738244</v>
      </c>
      <c r="AG461" s="134">
        <f t="shared" si="206"/>
        <v>23.585993608025497</v>
      </c>
      <c r="AH461" s="134">
        <f t="shared" si="206"/>
        <v>17.702081401620873</v>
      </c>
      <c r="AI461" s="134">
        <f t="shared" si="206"/>
        <v>11.805586502317027</v>
      </c>
      <c r="AJ461" s="134">
        <f t="shared" si="206"/>
        <v>5.9027932511585135</v>
      </c>
      <c r="AK461" s="134">
        <f t="shared" si="206"/>
        <v>0</v>
      </c>
      <c r="AL461" s="134">
        <f t="shared" si="206"/>
        <v>-5.9027932511585135</v>
      </c>
      <c r="AM461" s="134">
        <f t="shared" si="206"/>
        <v>-11.805586502317027</v>
      </c>
      <c r="AN461" s="134">
        <f t="shared" si="206"/>
        <v>-17.70837975347554</v>
      </c>
      <c r="AO461" s="134">
        <f t="shared" si="206"/>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2"/>
      <c r="B462" s="112" t="s">
        <v>129</v>
      </c>
      <c r="C462" s="135"/>
      <c r="D462" s="134">
        <f t="shared" ref="D462:AO462" si="207">IF(D$426=$B462,0,IF(D$426&gt;$B462,-0.5*D$424-0.5*C$424+C462,0.5*HLOOKUP($B462,$D$423:$AO$424,2,FALSE)+0.5*HLOOKUP($B461,$D$423:$AO$424,2,FALSE)+D461))</f>
        <v>180.92459528968874</v>
      </c>
      <c r="E462" s="134">
        <f t="shared" si="207"/>
        <v>180.92459528968874</v>
      </c>
      <c r="F462" s="134">
        <f t="shared" si="207"/>
        <v>180.92459528968874</v>
      </c>
      <c r="G462" s="134">
        <f t="shared" si="207"/>
        <v>178.14436104310562</v>
      </c>
      <c r="H462" s="134">
        <f t="shared" si="207"/>
        <v>172.57796133688095</v>
      </c>
      <c r="I462" s="134">
        <f t="shared" si="207"/>
        <v>166.99968601171088</v>
      </c>
      <c r="J462" s="134">
        <f t="shared" si="207"/>
        <v>161.40950865141104</v>
      </c>
      <c r="K462" s="134">
        <f t="shared" si="207"/>
        <v>155.80740277866943</v>
      </c>
      <c r="L462" s="134">
        <f t="shared" si="207"/>
        <v>150.1933418549001</v>
      </c>
      <c r="M462" s="134">
        <f t="shared" si="207"/>
        <v>144.56729928009594</v>
      </c>
      <c r="N462" s="134">
        <f t="shared" si="207"/>
        <v>138.92924839268119</v>
      </c>
      <c r="O462" s="134">
        <f t="shared" si="207"/>
        <v>133.27916246936434</v>
      </c>
      <c r="P462" s="134">
        <f t="shared" si="207"/>
        <v>127.61701472498926</v>
      </c>
      <c r="Q462" s="134">
        <f t="shared" si="207"/>
        <v>121.9427783123872</v>
      </c>
      <c r="R462" s="134">
        <f t="shared" si="207"/>
        <v>116.25642632222798</v>
      </c>
      <c r="S462" s="134">
        <f t="shared" si="207"/>
        <v>110.55793178287055</v>
      </c>
      <c r="T462" s="134">
        <f t="shared" si="207"/>
        <v>104.8472676602136</v>
      </c>
      <c r="U462" s="134">
        <f t="shared" si="207"/>
        <v>99.124406857545623</v>
      </c>
      <c r="V462" s="134">
        <f t="shared" si="207"/>
        <v>93.389322215394586</v>
      </c>
      <c r="W462" s="134">
        <f t="shared" si="207"/>
        <v>87.641986511377212</v>
      </c>
      <c r="X462" s="134">
        <f t="shared" si="207"/>
        <v>81.882372460047947</v>
      </c>
      <c r="Y462" s="134">
        <f t="shared" si="207"/>
        <v>76.110452712747517</v>
      </c>
      <c r="Z462" s="134">
        <f t="shared" si="207"/>
        <v>70.326199857451186</v>
      </c>
      <c r="AA462" s="134">
        <f t="shared" si="207"/>
        <v>64.529586418616645</v>
      </c>
      <c r="AB462" s="134">
        <f t="shared" si="207"/>
        <v>58.720584857031326</v>
      </c>
      <c r="AC462" s="134">
        <f t="shared" si="207"/>
        <v>52.899167569659312</v>
      </c>
      <c r="AD462" s="134">
        <f t="shared" si="207"/>
        <v>47.065306889488433</v>
      </c>
      <c r="AE462" s="134">
        <f t="shared" si="207"/>
        <v>41.218975085376464</v>
      </c>
      <c r="AF462" s="134">
        <f t="shared" si="207"/>
        <v>35.360144361896758</v>
      </c>
      <c r="AG462" s="134">
        <f t="shared" si="207"/>
        <v>29.48878685918401</v>
      </c>
      <c r="AH462" s="134">
        <f t="shared" si="207"/>
        <v>23.604874652779387</v>
      </c>
      <c r="AI462" s="134">
        <f t="shared" si="207"/>
        <v>17.70837975347554</v>
      </c>
      <c r="AJ462" s="134">
        <f t="shared" si="207"/>
        <v>11.805586502317027</v>
      </c>
      <c r="AK462" s="134">
        <f t="shared" si="207"/>
        <v>5.9027932511585135</v>
      </c>
      <c r="AL462" s="134">
        <f t="shared" si="207"/>
        <v>0</v>
      </c>
      <c r="AM462" s="134">
        <f t="shared" si="207"/>
        <v>-5.9027932511585135</v>
      </c>
      <c r="AN462" s="134">
        <f t="shared" si="207"/>
        <v>-11.805586502317027</v>
      </c>
      <c r="AO462" s="134">
        <f t="shared" si="207"/>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5">
      <c r="A463" s="102"/>
      <c r="B463" s="112" t="s">
        <v>130</v>
      </c>
      <c r="C463" s="135"/>
      <c r="D463" s="134">
        <f t="shared" ref="D463:AO463" si="208">IF(D$426=$B463,0,IF(D$426&gt;$B463,-0.5*D$424-0.5*C$424+C463,0.5*HLOOKUP($B463,$D$423:$AO$424,2,FALSE)+0.5*HLOOKUP($B462,$D$423:$AO$424,2,FALSE)+D462))</f>
        <v>186.82738854084727</v>
      </c>
      <c r="E463" s="134">
        <f t="shared" si="208"/>
        <v>186.82738854084727</v>
      </c>
      <c r="F463" s="134">
        <f t="shared" si="208"/>
        <v>186.82738854084727</v>
      </c>
      <c r="G463" s="134">
        <f t="shared" si="208"/>
        <v>184.04715429426415</v>
      </c>
      <c r="H463" s="134">
        <f t="shared" si="208"/>
        <v>178.48075458803947</v>
      </c>
      <c r="I463" s="134">
        <f t="shared" si="208"/>
        <v>172.90247926286941</v>
      </c>
      <c r="J463" s="134">
        <f t="shared" si="208"/>
        <v>167.31230190256957</v>
      </c>
      <c r="K463" s="134">
        <f t="shared" si="208"/>
        <v>161.71019602982796</v>
      </c>
      <c r="L463" s="134">
        <f t="shared" si="208"/>
        <v>156.09613510605863</v>
      </c>
      <c r="M463" s="134">
        <f t="shared" si="208"/>
        <v>150.47009253125447</v>
      </c>
      <c r="N463" s="134">
        <f t="shared" si="208"/>
        <v>144.83204164383972</v>
      </c>
      <c r="O463" s="134">
        <f t="shared" si="208"/>
        <v>139.18195572052286</v>
      </c>
      <c r="P463" s="134">
        <f t="shared" si="208"/>
        <v>133.51980797614777</v>
      </c>
      <c r="Q463" s="134">
        <f t="shared" si="208"/>
        <v>127.84557156354572</v>
      </c>
      <c r="R463" s="134">
        <f t="shared" si="208"/>
        <v>122.15921957338649</v>
      </c>
      <c r="S463" s="134">
        <f t="shared" si="208"/>
        <v>116.46072503402907</v>
      </c>
      <c r="T463" s="134">
        <f t="shared" si="208"/>
        <v>110.75006091137212</v>
      </c>
      <c r="U463" s="134">
        <f t="shared" si="208"/>
        <v>105.02720010870414</v>
      </c>
      <c r="V463" s="134">
        <f t="shared" si="208"/>
        <v>99.292115466553099</v>
      </c>
      <c r="W463" s="134">
        <f t="shared" si="208"/>
        <v>93.544779762535725</v>
      </c>
      <c r="X463" s="134">
        <f t="shared" si="208"/>
        <v>87.78516571120646</v>
      </c>
      <c r="Y463" s="134">
        <f t="shared" si="208"/>
        <v>82.01324596390603</v>
      </c>
      <c r="Z463" s="134">
        <f t="shared" si="208"/>
        <v>76.2289931086097</v>
      </c>
      <c r="AA463" s="134">
        <f t="shared" si="208"/>
        <v>70.432379669775159</v>
      </c>
      <c r="AB463" s="134">
        <f t="shared" si="208"/>
        <v>64.62337810818984</v>
      </c>
      <c r="AC463" s="134">
        <f t="shared" si="208"/>
        <v>58.801960820817825</v>
      </c>
      <c r="AD463" s="134">
        <f t="shared" si="208"/>
        <v>52.968100140646946</v>
      </c>
      <c r="AE463" s="134">
        <f t="shared" si="208"/>
        <v>47.121768336534977</v>
      </c>
      <c r="AF463" s="134">
        <f t="shared" si="208"/>
        <v>41.262937613055271</v>
      </c>
      <c r="AG463" s="134">
        <f t="shared" si="208"/>
        <v>35.391580110342524</v>
      </c>
      <c r="AH463" s="134">
        <f t="shared" si="208"/>
        <v>29.5076679039379</v>
      </c>
      <c r="AI463" s="134">
        <f t="shared" si="208"/>
        <v>23.611173004634054</v>
      </c>
      <c r="AJ463" s="134">
        <f t="shared" si="208"/>
        <v>17.70837975347554</v>
      </c>
      <c r="AK463" s="134">
        <f t="shared" si="208"/>
        <v>11.805586502317027</v>
      </c>
      <c r="AL463" s="134">
        <f t="shared" si="208"/>
        <v>5.9027932511585135</v>
      </c>
      <c r="AM463" s="134">
        <f t="shared" si="208"/>
        <v>0</v>
      </c>
      <c r="AN463" s="134">
        <f t="shared" si="208"/>
        <v>-5.9027932511585135</v>
      </c>
      <c r="AO463" s="134">
        <f t="shared" si="208"/>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5">
      <c r="A464" s="102"/>
      <c r="B464" s="112" t="s">
        <v>131</v>
      </c>
      <c r="C464" s="135"/>
      <c r="D464" s="134">
        <f t="shared" ref="D464:AO464" si="209">IF(D$426=$B464,0,IF(D$426&gt;$B464,-0.5*D$424-0.5*C$424+C464,0.5*HLOOKUP($B464,$D$423:$AO$424,2,FALSE)+0.5*HLOOKUP($B463,$D$423:$AO$424,2,FALSE)+D463))</f>
        <v>192.73018179200579</v>
      </c>
      <c r="E464" s="134">
        <f t="shared" si="209"/>
        <v>192.73018179200579</v>
      </c>
      <c r="F464" s="134">
        <f t="shared" si="209"/>
        <v>192.73018179200579</v>
      </c>
      <c r="G464" s="134">
        <f t="shared" si="209"/>
        <v>189.94994754542267</v>
      </c>
      <c r="H464" s="134">
        <f t="shared" si="209"/>
        <v>184.383547839198</v>
      </c>
      <c r="I464" s="134">
        <f t="shared" si="209"/>
        <v>178.80527251402793</v>
      </c>
      <c r="J464" s="134">
        <f t="shared" si="209"/>
        <v>173.2150951537281</v>
      </c>
      <c r="K464" s="134">
        <f t="shared" si="209"/>
        <v>167.61298928098648</v>
      </c>
      <c r="L464" s="134">
        <f t="shared" si="209"/>
        <v>161.99892835721715</v>
      </c>
      <c r="M464" s="134">
        <f t="shared" si="209"/>
        <v>156.37288578241299</v>
      </c>
      <c r="N464" s="134">
        <f t="shared" si="209"/>
        <v>150.73483489499824</v>
      </c>
      <c r="O464" s="134">
        <f t="shared" si="209"/>
        <v>145.08474897168139</v>
      </c>
      <c r="P464" s="134">
        <f t="shared" si="209"/>
        <v>139.4226012273063</v>
      </c>
      <c r="Q464" s="134">
        <f t="shared" si="209"/>
        <v>133.74836481470425</v>
      </c>
      <c r="R464" s="134">
        <f t="shared" si="209"/>
        <v>128.06201282454501</v>
      </c>
      <c r="S464" s="134">
        <f t="shared" si="209"/>
        <v>122.36351828518758</v>
      </c>
      <c r="T464" s="134">
        <f t="shared" si="209"/>
        <v>116.65285416253063</v>
      </c>
      <c r="U464" s="134">
        <f t="shared" si="209"/>
        <v>110.92999335986265</v>
      </c>
      <c r="V464" s="134">
        <f t="shared" si="209"/>
        <v>105.19490871771161</v>
      </c>
      <c r="W464" s="134">
        <f t="shared" si="209"/>
        <v>99.447573013694239</v>
      </c>
      <c r="X464" s="134">
        <f t="shared" si="209"/>
        <v>93.687958962364974</v>
      </c>
      <c r="Y464" s="134">
        <f t="shared" si="209"/>
        <v>87.916039215064544</v>
      </c>
      <c r="Z464" s="134">
        <f t="shared" si="209"/>
        <v>82.131786359768213</v>
      </c>
      <c r="AA464" s="134">
        <f t="shared" si="209"/>
        <v>76.335172920933672</v>
      </c>
      <c r="AB464" s="134">
        <f t="shared" si="209"/>
        <v>70.526171359348353</v>
      </c>
      <c r="AC464" s="134">
        <f t="shared" si="209"/>
        <v>64.704754071976339</v>
      </c>
      <c r="AD464" s="134">
        <f t="shared" si="209"/>
        <v>58.87089339180546</v>
      </c>
      <c r="AE464" s="134">
        <f t="shared" si="209"/>
        <v>53.024561587693491</v>
      </c>
      <c r="AF464" s="134">
        <f t="shared" si="209"/>
        <v>47.165730864213785</v>
      </c>
      <c r="AG464" s="134">
        <f t="shared" si="209"/>
        <v>41.294373361501037</v>
      </c>
      <c r="AH464" s="134">
        <f t="shared" si="209"/>
        <v>35.410461155096414</v>
      </c>
      <c r="AI464" s="134">
        <f t="shared" si="209"/>
        <v>29.513966255792567</v>
      </c>
      <c r="AJ464" s="134">
        <f t="shared" si="209"/>
        <v>23.611173004634054</v>
      </c>
      <c r="AK464" s="134">
        <f t="shared" si="209"/>
        <v>17.70837975347554</v>
      </c>
      <c r="AL464" s="134">
        <f t="shared" si="209"/>
        <v>11.805586502317027</v>
      </c>
      <c r="AM464" s="134">
        <f t="shared" si="209"/>
        <v>5.9027932511585135</v>
      </c>
      <c r="AN464" s="134">
        <f t="shared" si="209"/>
        <v>0</v>
      </c>
      <c r="AO464" s="134">
        <f t="shared" si="209"/>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5">
      <c r="A465" s="102"/>
      <c r="B465" s="112" t="s">
        <v>132</v>
      </c>
      <c r="C465" s="135"/>
      <c r="D465" s="134">
        <f t="shared" ref="D465:AO465" si="210">IF(D$426=$B465,0,IF(D$426&gt;$B465,-0.5*D$424-0.5*C$424+C465,0.5*HLOOKUP($B465,$D$423:$AO$424,2,FALSE)+0.5*HLOOKUP($B464,$D$423:$AO$424,2,FALSE)+D464))</f>
        <v>198.63297504316432</v>
      </c>
      <c r="E465" s="134">
        <f t="shared" si="210"/>
        <v>198.63297504316432</v>
      </c>
      <c r="F465" s="134">
        <f t="shared" si="210"/>
        <v>198.63297504316432</v>
      </c>
      <c r="G465" s="134">
        <f t="shared" si="210"/>
        <v>195.8527407965812</v>
      </c>
      <c r="H465" s="134">
        <f t="shared" si="210"/>
        <v>190.28634109035653</v>
      </c>
      <c r="I465" s="134">
        <f t="shared" si="210"/>
        <v>184.70806576518646</v>
      </c>
      <c r="J465" s="134">
        <f t="shared" si="210"/>
        <v>179.11788840488663</v>
      </c>
      <c r="K465" s="134">
        <f t="shared" si="210"/>
        <v>173.51578253214501</v>
      </c>
      <c r="L465" s="134">
        <f t="shared" si="210"/>
        <v>167.90172160837568</v>
      </c>
      <c r="M465" s="134">
        <f t="shared" si="210"/>
        <v>162.27567903357152</v>
      </c>
      <c r="N465" s="134">
        <f t="shared" si="210"/>
        <v>156.63762814615677</v>
      </c>
      <c r="O465" s="134">
        <f t="shared" si="210"/>
        <v>150.98754222283992</v>
      </c>
      <c r="P465" s="134">
        <f t="shared" si="210"/>
        <v>145.32539447846483</v>
      </c>
      <c r="Q465" s="134">
        <f t="shared" si="210"/>
        <v>139.65115806586277</v>
      </c>
      <c r="R465" s="134">
        <f t="shared" si="210"/>
        <v>133.96480607570351</v>
      </c>
      <c r="S465" s="134">
        <f t="shared" si="210"/>
        <v>128.26631153634611</v>
      </c>
      <c r="T465" s="134">
        <f t="shared" si="210"/>
        <v>122.55564741368914</v>
      </c>
      <c r="U465" s="134">
        <f t="shared" si="210"/>
        <v>116.83278661102116</v>
      </c>
      <c r="V465" s="134">
        <f t="shared" si="210"/>
        <v>111.09770196887013</v>
      </c>
      <c r="W465" s="134">
        <f t="shared" si="210"/>
        <v>105.35036626485275</v>
      </c>
      <c r="X465" s="134">
        <f t="shared" si="210"/>
        <v>99.590752213523487</v>
      </c>
      <c r="Y465" s="134">
        <f t="shared" si="210"/>
        <v>93.818832466223057</v>
      </c>
      <c r="Z465" s="134">
        <f t="shared" si="210"/>
        <v>88.034579610926727</v>
      </c>
      <c r="AA465" s="134">
        <f t="shared" si="210"/>
        <v>82.237966172092186</v>
      </c>
      <c r="AB465" s="134">
        <f t="shared" si="210"/>
        <v>76.428964610506867</v>
      </c>
      <c r="AC465" s="134">
        <f t="shared" si="210"/>
        <v>70.607547323134852</v>
      </c>
      <c r="AD465" s="134">
        <f t="shared" si="210"/>
        <v>64.77368664296398</v>
      </c>
      <c r="AE465" s="134">
        <f t="shared" si="210"/>
        <v>58.927354838852004</v>
      </c>
      <c r="AF465" s="134">
        <f t="shared" si="210"/>
        <v>53.068524115372298</v>
      </c>
      <c r="AG465" s="134">
        <f t="shared" si="210"/>
        <v>47.197166612659551</v>
      </c>
      <c r="AH465" s="134">
        <f t="shared" si="210"/>
        <v>41.313254406254927</v>
      </c>
      <c r="AI465" s="134">
        <f t="shared" si="210"/>
        <v>35.416759506951081</v>
      </c>
      <c r="AJ465" s="134">
        <f t="shared" si="210"/>
        <v>29.513966255792567</v>
      </c>
      <c r="AK465" s="134">
        <f t="shared" si="210"/>
        <v>23.611173004634054</v>
      </c>
      <c r="AL465" s="134">
        <f t="shared" si="210"/>
        <v>17.70837975347554</v>
      </c>
      <c r="AM465" s="134">
        <f t="shared" si="210"/>
        <v>11.805586502317027</v>
      </c>
      <c r="AN465" s="134">
        <f t="shared" si="210"/>
        <v>5.9027932511585135</v>
      </c>
      <c r="AO465" s="134">
        <f t="shared" si="210"/>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5" x14ac:dyDescent="0.3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5" x14ac:dyDescent="0.45">
      <c r="B467" s="2" t="s">
        <v>232</v>
      </c>
    </row>
    <row r="468" spans="1:95" ht="14.5" x14ac:dyDescent="0.3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5" x14ac:dyDescent="0.35">
      <c r="B469" s="5" t="s">
        <v>233</v>
      </c>
    </row>
    <row r="470" spans="1:95" ht="15" customHeight="1" x14ac:dyDescent="0.35">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5">
      <c r="A471" s="102"/>
      <c r="B471" s="114"/>
      <c r="C471" s="49" t="s">
        <v>94</v>
      </c>
      <c r="D471" s="70" t="s">
        <v>95</v>
      </c>
      <c r="E471" s="108" t="s">
        <v>96</v>
      </c>
      <c r="F471" s="108" t="s">
        <v>97</v>
      </c>
      <c r="G471" s="108" t="s">
        <v>98</v>
      </c>
      <c r="H471" s="108" t="s">
        <v>99</v>
      </c>
      <c r="I471" s="108" t="s">
        <v>100</v>
      </c>
      <c r="J471" s="108" t="s">
        <v>101</v>
      </c>
      <c r="K471" s="108" t="s">
        <v>102</v>
      </c>
      <c r="L471" s="108" t="s">
        <v>103</v>
      </c>
      <c r="M471" s="108" t="s">
        <v>104</v>
      </c>
      <c r="N471" s="108" t="s">
        <v>105</v>
      </c>
      <c r="O471" s="108" t="s">
        <v>106</v>
      </c>
      <c r="P471" s="108" t="s">
        <v>107</v>
      </c>
      <c r="Q471" s="108" t="s">
        <v>108</v>
      </c>
      <c r="R471" s="108" t="s">
        <v>109</v>
      </c>
      <c r="S471" s="108" t="s">
        <v>110</v>
      </c>
      <c r="T471" s="108" t="s">
        <v>111</v>
      </c>
      <c r="U471" s="108" t="s">
        <v>112</v>
      </c>
      <c r="V471" s="108" t="s">
        <v>113</v>
      </c>
      <c r="W471" s="108" t="s">
        <v>114</v>
      </c>
      <c r="X471" s="108" t="s">
        <v>115</v>
      </c>
      <c r="Y471" s="108" t="s">
        <v>116</v>
      </c>
      <c r="Z471" s="108" t="s">
        <v>117</v>
      </c>
      <c r="AA471" s="108" t="s">
        <v>118</v>
      </c>
      <c r="AB471" s="108" t="s">
        <v>119</v>
      </c>
      <c r="AC471" s="108" t="s">
        <v>120</v>
      </c>
      <c r="AD471" s="108" t="s">
        <v>121</v>
      </c>
      <c r="AE471" s="108" t="s">
        <v>122</v>
      </c>
      <c r="AF471" s="108" t="s">
        <v>123</v>
      </c>
      <c r="AG471" s="108" t="s">
        <v>124</v>
      </c>
      <c r="AH471" s="108" t="s">
        <v>125</v>
      </c>
      <c r="AI471" s="108" t="s">
        <v>126</v>
      </c>
      <c r="AJ471" s="108" t="s">
        <v>127</v>
      </c>
      <c r="AK471" s="108" t="s">
        <v>128</v>
      </c>
      <c r="AL471" s="108" t="s">
        <v>129</v>
      </c>
      <c r="AM471" s="108" t="s">
        <v>130</v>
      </c>
      <c r="AN471" s="108" t="s">
        <v>131</v>
      </c>
      <c r="AO471" s="108" t="s">
        <v>132</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5">
      <c r="A472" s="102"/>
      <c r="B472" s="49" t="s">
        <v>133</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5">
      <c r="A473" s="102"/>
      <c r="B473" s="68" t="s">
        <v>95</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5">
      <c r="A474" s="102"/>
      <c r="B474" s="112" t="s">
        <v>96</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5">
      <c r="A475" s="102"/>
      <c r="B475" s="112" t="s">
        <v>97</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5">
      <c r="A476" s="102"/>
      <c r="B476" s="112" t="s">
        <v>98</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5">
      <c r="A477" s="102"/>
      <c r="B477" s="112" t="s">
        <v>99</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5">
      <c r="A478" s="102"/>
      <c r="B478" s="112" t="s">
        <v>100</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5">
      <c r="A479" s="102"/>
      <c r="B479" s="112" t="s">
        <v>101</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5">
      <c r="A480" s="102"/>
      <c r="B480" s="112" t="s">
        <v>102</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5">
      <c r="A481" s="102"/>
      <c r="B481" s="112" t="s">
        <v>103</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5">
      <c r="A482" s="102"/>
      <c r="B482" s="112" t="s">
        <v>104</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5">
      <c r="A483" s="102"/>
      <c r="B483" s="112" t="s">
        <v>105</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5">
      <c r="A484" s="102"/>
      <c r="B484" s="112" t="s">
        <v>106</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5">
      <c r="A485" s="102"/>
      <c r="B485" s="112" t="s">
        <v>107</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5">
      <c r="A486" s="102"/>
      <c r="B486" s="112" t="s">
        <v>108</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5">
      <c r="A487" s="102"/>
      <c r="B487" s="112" t="s">
        <v>109</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5">
      <c r="A488" s="102"/>
      <c r="B488" s="112" t="s">
        <v>110</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5">
      <c r="A489" s="102"/>
      <c r="B489" s="112" t="s">
        <v>111</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5">
      <c r="A490" s="102"/>
      <c r="B490" s="112" t="s">
        <v>112</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5">
      <c r="A491" s="102"/>
      <c r="B491" s="112" t="s">
        <v>113</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5">
      <c r="A492" s="102"/>
      <c r="B492" s="112" t="s">
        <v>114</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5">
      <c r="A493" s="102"/>
      <c r="B493" s="112" t="s">
        <v>115</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5">
      <c r="A494" s="102"/>
      <c r="B494" s="112" t="s">
        <v>116</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5">
      <c r="A495" s="102"/>
      <c r="B495" s="112" t="s">
        <v>117</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5">
      <c r="A496" s="102"/>
      <c r="B496" s="112" t="s">
        <v>118</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5">
      <c r="A497" s="102"/>
      <c r="B497" s="112" t="s">
        <v>119</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5">
      <c r="A498" s="102"/>
      <c r="B498" s="112" t="s">
        <v>120</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5">
      <c r="A499" s="102"/>
      <c r="B499" s="112" t="s">
        <v>121</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5">
      <c r="A500" s="102"/>
      <c r="B500" s="112" t="s">
        <v>122</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5">
      <c r="A501" s="102"/>
      <c r="B501" s="112" t="s">
        <v>123</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5">
      <c r="A502" s="102"/>
      <c r="B502" s="112" t="s">
        <v>124</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5">
      <c r="A503" s="102"/>
      <c r="B503" s="112" t="s">
        <v>125</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5">
      <c r="A504" s="102"/>
      <c r="B504" s="112" t="s">
        <v>126</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5">
      <c r="A505" s="102"/>
      <c r="B505" s="112" t="s">
        <v>127</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5">
      <c r="A506" s="102"/>
      <c r="B506" s="112" t="s">
        <v>128</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5">
      <c r="A507" s="102"/>
      <c r="B507" s="112" t="s">
        <v>129</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5">
      <c r="A508" s="102"/>
      <c r="B508" s="112" t="s">
        <v>130</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5">
      <c r="A509" s="102"/>
      <c r="B509" s="112" t="s">
        <v>131</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5">
      <c r="A510" s="102"/>
      <c r="B510" s="112" t="s">
        <v>132</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5">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5">
      <c r="A512" s="102"/>
      <c r="B512" s="138" t="s">
        <v>234</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5">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5" x14ac:dyDescent="0.35">
      <c r="B514" s="5" t="s">
        <v>235</v>
      </c>
    </row>
    <row r="515" spans="1:95" ht="15" customHeight="1" x14ac:dyDescent="0.35">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5">
      <c r="A516" s="102"/>
      <c r="B516" s="114"/>
      <c r="C516" s="49" t="s">
        <v>94</v>
      </c>
      <c r="D516" s="70" t="s">
        <v>95</v>
      </c>
      <c r="E516" s="108" t="s">
        <v>96</v>
      </c>
      <c r="F516" s="108" t="s">
        <v>97</v>
      </c>
      <c r="G516" s="108" t="s">
        <v>98</v>
      </c>
      <c r="H516" s="108" t="s">
        <v>99</v>
      </c>
      <c r="I516" s="108" t="s">
        <v>100</v>
      </c>
      <c r="J516" s="108" t="s">
        <v>101</v>
      </c>
      <c r="K516" s="108" t="s">
        <v>102</v>
      </c>
      <c r="L516" s="108" t="s">
        <v>103</v>
      </c>
      <c r="M516" s="108" t="s">
        <v>104</v>
      </c>
      <c r="N516" s="108" t="s">
        <v>105</v>
      </c>
      <c r="O516" s="108" t="s">
        <v>106</v>
      </c>
      <c r="P516" s="108" t="s">
        <v>107</v>
      </c>
      <c r="Q516" s="108" t="s">
        <v>108</v>
      </c>
      <c r="R516" s="108" t="s">
        <v>109</v>
      </c>
      <c r="S516" s="108" t="s">
        <v>110</v>
      </c>
      <c r="T516" s="108" t="s">
        <v>111</v>
      </c>
      <c r="U516" s="108" t="s">
        <v>112</v>
      </c>
      <c r="V516" s="108" t="s">
        <v>113</v>
      </c>
      <c r="W516" s="108" t="s">
        <v>114</v>
      </c>
      <c r="X516" s="108" t="s">
        <v>115</v>
      </c>
      <c r="Y516" s="108" t="s">
        <v>116</v>
      </c>
      <c r="Z516" s="108" t="s">
        <v>117</v>
      </c>
      <c r="AA516" s="108" t="s">
        <v>118</v>
      </c>
      <c r="AB516" s="108" t="s">
        <v>119</v>
      </c>
      <c r="AC516" s="108" t="s">
        <v>120</v>
      </c>
      <c r="AD516" s="108" t="s">
        <v>121</v>
      </c>
      <c r="AE516" s="108" t="s">
        <v>122</v>
      </c>
      <c r="AF516" s="108" t="s">
        <v>123</v>
      </c>
      <c r="AG516" s="108" t="s">
        <v>124</v>
      </c>
      <c r="AH516" s="108" t="s">
        <v>125</v>
      </c>
      <c r="AI516" s="108" t="s">
        <v>126</v>
      </c>
      <c r="AJ516" s="108" t="s">
        <v>127</v>
      </c>
      <c r="AK516" s="108" t="s">
        <v>128</v>
      </c>
      <c r="AL516" s="108" t="s">
        <v>129</v>
      </c>
      <c r="AM516" s="108" t="s">
        <v>130</v>
      </c>
      <c r="AN516" s="108" t="s">
        <v>131</v>
      </c>
      <c r="AO516" s="108" t="s">
        <v>132</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5">
      <c r="A517" s="102"/>
      <c r="B517" s="49" t="s">
        <v>133</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5">
      <c r="A518" s="102"/>
      <c r="B518" s="68" t="s">
        <v>95</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5">
      <c r="A519" s="102"/>
      <c r="B519" s="112" t="s">
        <v>96</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5">
      <c r="A520" s="102"/>
      <c r="B520" s="112" t="s">
        <v>97</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5">
      <c r="A521" s="102"/>
      <c r="B521" s="112" t="s">
        <v>98</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5">
      <c r="A522" s="102"/>
      <c r="B522" s="112" t="s">
        <v>99</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5">
      <c r="A523" s="102"/>
      <c r="B523" s="112" t="s">
        <v>100</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5">
      <c r="A524" s="102"/>
      <c r="B524" s="112" t="s">
        <v>101</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5">
      <c r="A525" s="102"/>
      <c r="B525" s="112" t="s">
        <v>102</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5">
      <c r="A526" s="102"/>
      <c r="B526" s="112" t="s">
        <v>103</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5">
      <c r="A527" s="102"/>
      <c r="B527" s="112" t="s">
        <v>104</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5">
      <c r="A528" s="102"/>
      <c r="B528" s="112" t="s">
        <v>105</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5">
      <c r="A529" s="102"/>
      <c r="B529" s="112" t="s">
        <v>106</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5">
      <c r="A530" s="102"/>
      <c r="B530" s="112" t="s">
        <v>107</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5">
      <c r="A531" s="102"/>
      <c r="B531" s="112" t="s">
        <v>108</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5">
      <c r="A532" s="102"/>
      <c r="B532" s="112" t="s">
        <v>109</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5">
      <c r="A533" s="102"/>
      <c r="B533" s="112" t="s">
        <v>110</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5">
      <c r="A534" s="102"/>
      <c r="B534" s="112" t="s">
        <v>111</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5">
      <c r="A535" s="102"/>
      <c r="B535" s="112" t="s">
        <v>112</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5">
      <c r="A536" s="102"/>
      <c r="B536" s="112" t="s">
        <v>113</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5">
      <c r="A537" s="102"/>
      <c r="B537" s="112" t="s">
        <v>114</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5">
      <c r="A538" s="102"/>
      <c r="B538" s="112" t="s">
        <v>115</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5">
      <c r="A539" s="102"/>
      <c r="B539" s="112" t="s">
        <v>116</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5">
      <c r="A540" s="102"/>
      <c r="B540" s="112" t="s">
        <v>117</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5">
      <c r="A541" s="102"/>
      <c r="B541" s="112" t="s">
        <v>118</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5">
      <c r="A542" s="102"/>
      <c r="B542" s="112" t="s">
        <v>119</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5">
      <c r="A543" s="102"/>
      <c r="B543" s="112" t="s">
        <v>120</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5">
      <c r="A544" s="102"/>
      <c r="B544" s="112" t="s">
        <v>121</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5">
      <c r="A545" s="102"/>
      <c r="B545" s="112" t="s">
        <v>122</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5">
      <c r="A546" s="102"/>
      <c r="B546" s="112" t="s">
        <v>123</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5">
      <c r="A547" s="102"/>
      <c r="B547" s="112" t="s">
        <v>124</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5">
      <c r="A548" s="102"/>
      <c r="B548" s="112" t="s">
        <v>125</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5">
      <c r="A549" s="102"/>
      <c r="B549" s="112" t="s">
        <v>126</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5">
      <c r="A550" s="102"/>
      <c r="B550" s="112" t="s">
        <v>127</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5">
      <c r="A551" s="102"/>
      <c r="B551" s="112" t="s">
        <v>128</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5">
      <c r="A552" s="102"/>
      <c r="B552" s="112" t="s">
        <v>129</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5">
      <c r="A553" s="102"/>
      <c r="B553" s="112" t="s">
        <v>130</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5">
      <c r="A554" s="102"/>
      <c r="B554" s="112" t="s">
        <v>131</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5">
      <c r="A555" s="102"/>
      <c r="B555" s="112" t="s">
        <v>132</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5">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5">
      <c r="A557" s="102"/>
      <c r="B557" s="138" t="s">
        <v>236</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5">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5">
      <c r="A559" s="102"/>
      <c r="B559" s="136" t="s">
        <v>237</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5" x14ac:dyDescent="0.3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5" x14ac:dyDescent="0.35">
      <c r="B561" s="5" t="s">
        <v>238</v>
      </c>
    </row>
    <row r="562" spans="1:95" ht="15" customHeight="1" x14ac:dyDescent="0.35">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5">
      <c r="A563" s="102"/>
      <c r="B563" s="114"/>
      <c r="C563" s="49" t="s">
        <v>94</v>
      </c>
      <c r="D563" s="70" t="s">
        <v>95</v>
      </c>
      <c r="E563" s="108" t="s">
        <v>96</v>
      </c>
      <c r="F563" s="108" t="s">
        <v>97</v>
      </c>
      <c r="G563" s="108" t="s">
        <v>98</v>
      </c>
      <c r="H563" s="108" t="s">
        <v>99</v>
      </c>
      <c r="I563" s="108" t="s">
        <v>100</v>
      </c>
      <c r="J563" s="108" t="s">
        <v>101</v>
      </c>
      <c r="K563" s="108" t="s">
        <v>102</v>
      </c>
      <c r="L563" s="108" t="s">
        <v>103</v>
      </c>
      <c r="M563" s="108" t="s">
        <v>104</v>
      </c>
      <c r="N563" s="108" t="s">
        <v>105</v>
      </c>
      <c r="O563" s="108" t="s">
        <v>106</v>
      </c>
      <c r="P563" s="108" t="s">
        <v>107</v>
      </c>
      <c r="Q563" s="108" t="s">
        <v>108</v>
      </c>
      <c r="R563" s="108" t="s">
        <v>109</v>
      </c>
      <c r="S563" s="108" t="s">
        <v>110</v>
      </c>
      <c r="T563" s="108" t="s">
        <v>111</v>
      </c>
      <c r="U563" s="108" t="s">
        <v>112</v>
      </c>
      <c r="V563" s="108" t="s">
        <v>113</v>
      </c>
      <c r="W563" s="108" t="s">
        <v>114</v>
      </c>
      <c r="X563" s="108" t="s">
        <v>115</v>
      </c>
      <c r="Y563" s="108" t="s">
        <v>116</v>
      </c>
      <c r="Z563" s="108" t="s">
        <v>117</v>
      </c>
      <c r="AA563" s="108" t="s">
        <v>118</v>
      </c>
      <c r="AB563" s="108" t="s">
        <v>119</v>
      </c>
      <c r="AC563" s="108" t="s">
        <v>120</v>
      </c>
      <c r="AD563" s="108" t="s">
        <v>121</v>
      </c>
      <c r="AE563" s="108" t="s">
        <v>122</v>
      </c>
      <c r="AF563" s="108" t="s">
        <v>123</v>
      </c>
      <c r="AG563" s="108" t="s">
        <v>124</v>
      </c>
      <c r="AH563" s="108" t="s">
        <v>125</v>
      </c>
      <c r="AI563" s="108" t="s">
        <v>126</v>
      </c>
      <c r="AJ563" s="108" t="s">
        <v>127</v>
      </c>
      <c r="AK563" s="108" t="s">
        <v>128</v>
      </c>
      <c r="AL563" s="108" t="s">
        <v>129</v>
      </c>
      <c r="AM563" s="108" t="s">
        <v>130</v>
      </c>
      <c r="AN563" s="108" t="s">
        <v>131</v>
      </c>
      <c r="AO563" s="108" t="s">
        <v>132</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5">
      <c r="A564" s="102"/>
      <c r="B564" s="49" t="s">
        <v>133</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5">
      <c r="A565" s="102"/>
      <c r="B565" s="68" t="s">
        <v>95</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5">
      <c r="A566" s="102"/>
      <c r="B566" s="112" t="s">
        <v>96</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5">
      <c r="A567" s="102"/>
      <c r="B567" s="112" t="s">
        <v>97</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5">
      <c r="A568" s="102"/>
      <c r="B568" s="112" t="s">
        <v>98</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5">
      <c r="A569" s="102"/>
      <c r="B569" s="112" t="s">
        <v>99</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5">
      <c r="A570" s="102"/>
      <c r="B570" s="112" t="s">
        <v>100</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5">
      <c r="A571" s="102"/>
      <c r="B571" s="112" t="s">
        <v>101</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5">
      <c r="A572" s="102"/>
      <c r="B572" s="112" t="s">
        <v>102</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5">
      <c r="A573" s="102"/>
      <c r="B573" s="112" t="s">
        <v>103</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5">
      <c r="A574" s="102"/>
      <c r="B574" s="112" t="s">
        <v>104</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5">
      <c r="A575" s="102"/>
      <c r="B575" s="112" t="s">
        <v>105</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5">
      <c r="A576" s="102"/>
      <c r="B576" s="112" t="s">
        <v>106</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5">
      <c r="A577" s="102"/>
      <c r="B577" s="112" t="s">
        <v>107</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5">
      <c r="A578" s="102"/>
      <c r="B578" s="112" t="s">
        <v>108</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5">
      <c r="A579" s="102"/>
      <c r="B579" s="112" t="s">
        <v>109</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5">
      <c r="A580" s="102"/>
      <c r="B580" s="112" t="s">
        <v>110</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5">
      <c r="A581" s="102"/>
      <c r="B581" s="112" t="s">
        <v>111</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5">
      <c r="A582" s="102"/>
      <c r="B582" s="112" t="s">
        <v>112</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5">
      <c r="A583" s="102"/>
      <c r="B583" s="112" t="s">
        <v>113</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5">
      <c r="A584" s="102"/>
      <c r="B584" s="112" t="s">
        <v>114</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5">
      <c r="A585" s="102"/>
      <c r="B585" s="112" t="s">
        <v>115</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5">
      <c r="A586" s="102"/>
      <c r="B586" s="112" t="s">
        <v>116</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5">
      <c r="A587" s="102"/>
      <c r="B587" s="112" t="s">
        <v>117</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5">
      <c r="A588" s="102"/>
      <c r="B588" s="112" t="s">
        <v>118</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5">
      <c r="A589" s="102"/>
      <c r="B589" s="112" t="s">
        <v>119</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5">
      <c r="A590" s="102"/>
      <c r="B590" s="112" t="s">
        <v>120</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5">
      <c r="A591" s="102"/>
      <c r="B591" s="112" t="s">
        <v>121</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5">
      <c r="A592" s="102"/>
      <c r="B592" s="112" t="s">
        <v>122</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5">
      <c r="A593" s="102"/>
      <c r="B593" s="112" t="s">
        <v>123</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5">
      <c r="A594" s="102"/>
      <c r="B594" s="112" t="s">
        <v>124</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5">
      <c r="A595" s="102"/>
      <c r="B595" s="112" t="s">
        <v>125</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5">
      <c r="A596" s="102"/>
      <c r="B596" s="112" t="s">
        <v>126</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5">
      <c r="A597" s="102"/>
      <c r="B597" s="112" t="s">
        <v>127</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5">
      <c r="A598" s="102"/>
      <c r="B598" s="112" t="s">
        <v>128</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5">
      <c r="A599" s="102"/>
      <c r="B599" s="112" t="s">
        <v>129</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5">
      <c r="A600" s="102"/>
      <c r="B600" s="112" t="s">
        <v>130</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5">
      <c r="A601" s="102"/>
      <c r="B601" s="112" t="s">
        <v>131</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5">
      <c r="A602" s="102"/>
      <c r="B602" s="112" t="s">
        <v>132</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5">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5">
      <c r="A604" s="102"/>
      <c r="B604" s="140" t="s">
        <v>239</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5">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5" x14ac:dyDescent="0.35">
      <c r="B606" s="5" t="s">
        <v>240</v>
      </c>
    </row>
    <row r="607" spans="1:95" ht="15" customHeight="1" x14ac:dyDescent="0.35">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5">
      <c r="A608" s="102"/>
      <c r="B608" s="114"/>
      <c r="C608" s="49" t="s">
        <v>94</v>
      </c>
      <c r="D608" s="70" t="s">
        <v>95</v>
      </c>
      <c r="E608" s="108" t="s">
        <v>96</v>
      </c>
      <c r="F608" s="108" t="s">
        <v>97</v>
      </c>
      <c r="G608" s="108" t="s">
        <v>98</v>
      </c>
      <c r="H608" s="108" t="s">
        <v>99</v>
      </c>
      <c r="I608" s="108" t="s">
        <v>100</v>
      </c>
      <c r="J608" s="108" t="s">
        <v>101</v>
      </c>
      <c r="K608" s="108" t="s">
        <v>102</v>
      </c>
      <c r="L608" s="108" t="s">
        <v>103</v>
      </c>
      <c r="M608" s="108" t="s">
        <v>104</v>
      </c>
      <c r="N608" s="108" t="s">
        <v>105</v>
      </c>
      <c r="O608" s="108" t="s">
        <v>106</v>
      </c>
      <c r="P608" s="108" t="s">
        <v>107</v>
      </c>
      <c r="Q608" s="108" t="s">
        <v>108</v>
      </c>
      <c r="R608" s="108" t="s">
        <v>109</v>
      </c>
      <c r="S608" s="108" t="s">
        <v>110</v>
      </c>
      <c r="T608" s="108" t="s">
        <v>111</v>
      </c>
      <c r="U608" s="108" t="s">
        <v>112</v>
      </c>
      <c r="V608" s="108" t="s">
        <v>113</v>
      </c>
      <c r="W608" s="108" t="s">
        <v>114</v>
      </c>
      <c r="X608" s="108" t="s">
        <v>115</v>
      </c>
      <c r="Y608" s="108" t="s">
        <v>116</v>
      </c>
      <c r="Z608" s="108" t="s">
        <v>117</v>
      </c>
      <c r="AA608" s="108" t="s">
        <v>118</v>
      </c>
      <c r="AB608" s="108" t="s">
        <v>119</v>
      </c>
      <c r="AC608" s="108" t="s">
        <v>120</v>
      </c>
      <c r="AD608" s="108" t="s">
        <v>121</v>
      </c>
      <c r="AE608" s="108" t="s">
        <v>122</v>
      </c>
      <c r="AF608" s="108" t="s">
        <v>123</v>
      </c>
      <c r="AG608" s="108" t="s">
        <v>124</v>
      </c>
      <c r="AH608" s="108" t="s">
        <v>125</v>
      </c>
      <c r="AI608" s="108" t="s">
        <v>126</v>
      </c>
      <c r="AJ608" s="108" t="s">
        <v>127</v>
      </c>
      <c r="AK608" s="108" t="s">
        <v>128</v>
      </c>
      <c r="AL608" s="108" t="s">
        <v>129</v>
      </c>
      <c r="AM608" s="108" t="s">
        <v>130</v>
      </c>
      <c r="AN608" s="108" t="s">
        <v>131</v>
      </c>
      <c r="AO608" s="108" t="s">
        <v>132</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5">
      <c r="A609" s="102"/>
      <c r="B609" s="49" t="s">
        <v>133</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5">
      <c r="A610" s="102"/>
      <c r="B610" s="68" t="s">
        <v>95</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5">
      <c r="A611" s="102"/>
      <c r="B611" s="112" t="s">
        <v>96</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5">
      <c r="A612" s="102"/>
      <c r="B612" s="112" t="s">
        <v>97</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5">
      <c r="A613" s="102"/>
      <c r="B613" s="112" t="s">
        <v>98</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5">
      <c r="A614" s="102"/>
      <c r="B614" s="112" t="s">
        <v>99</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5">
      <c r="A615" s="102"/>
      <c r="B615" s="112" t="s">
        <v>100</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5">
      <c r="A616" s="102"/>
      <c r="B616" s="112" t="s">
        <v>101</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5">
      <c r="A617" s="102"/>
      <c r="B617" s="112" t="s">
        <v>102</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5">
      <c r="A618" s="102"/>
      <c r="B618" s="112" t="s">
        <v>103</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5">
      <c r="A619" s="102"/>
      <c r="B619" s="112" t="s">
        <v>104</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5">
      <c r="A620" s="102"/>
      <c r="B620" s="112" t="s">
        <v>105</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5">
      <c r="A621" s="102"/>
      <c r="B621" s="112" t="s">
        <v>106</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5">
      <c r="A622" s="102"/>
      <c r="B622" s="112" t="s">
        <v>107</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5">
      <c r="A623" s="102"/>
      <c r="B623" s="112" t="s">
        <v>108</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5">
      <c r="A624" s="102"/>
      <c r="B624" s="112" t="s">
        <v>109</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5">
      <c r="A625" s="102"/>
      <c r="B625" s="112" t="s">
        <v>110</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5">
      <c r="A626" s="102"/>
      <c r="B626" s="112" t="s">
        <v>111</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5">
      <c r="A627" s="102"/>
      <c r="B627" s="112" t="s">
        <v>112</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5">
      <c r="A628" s="102"/>
      <c r="B628" s="112" t="s">
        <v>113</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5">
      <c r="A629" s="102"/>
      <c r="B629" s="112" t="s">
        <v>114</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5">
      <c r="A630" s="102"/>
      <c r="B630" s="112" t="s">
        <v>115</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5">
      <c r="A631" s="102"/>
      <c r="B631" s="112" t="s">
        <v>116</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5">
      <c r="A632" s="102"/>
      <c r="B632" s="112" t="s">
        <v>117</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5">
      <c r="A633" s="102"/>
      <c r="B633" s="112" t="s">
        <v>118</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5">
      <c r="A634" s="102"/>
      <c r="B634" s="112" t="s">
        <v>119</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5">
      <c r="A635" s="102"/>
      <c r="B635" s="112" t="s">
        <v>120</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5">
      <c r="A636" s="102"/>
      <c r="B636" s="112" t="s">
        <v>121</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5">
      <c r="A637" s="102"/>
      <c r="B637" s="112" t="s">
        <v>122</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5">
      <c r="A638" s="102"/>
      <c r="B638" s="112" t="s">
        <v>123</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5">
      <c r="A639" s="102"/>
      <c r="B639" s="112" t="s">
        <v>124</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5">
      <c r="A640" s="102"/>
      <c r="B640" s="112" t="s">
        <v>125</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5">
      <c r="A641" s="102"/>
      <c r="B641" s="112" t="s">
        <v>126</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5">
      <c r="A642" s="102"/>
      <c r="B642" s="112" t="s">
        <v>127</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5">
      <c r="A643" s="102"/>
      <c r="B643" s="112" t="s">
        <v>128</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5">
      <c r="A644" s="102"/>
      <c r="B644" s="112" t="s">
        <v>129</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5">
      <c r="A645" s="102"/>
      <c r="B645" s="112" t="s">
        <v>130</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5">
      <c r="A646" s="102"/>
      <c r="B646" s="112" t="s">
        <v>131</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5">
      <c r="A647" s="102"/>
      <c r="B647" s="112" t="s">
        <v>132</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5">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5">
      <c r="A649" s="102"/>
      <c r="B649" s="140" t="s">
        <v>241</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5">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5">
      <c r="A651" s="102"/>
      <c r="B651" s="136" t="s">
        <v>242</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5" x14ac:dyDescent="0.3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5" x14ac:dyDescent="0.35">
      <c r="B653" s="5" t="s">
        <v>243</v>
      </c>
    </row>
    <row r="654" spans="1:95" ht="15" customHeight="1" x14ac:dyDescent="0.35">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5">
      <c r="A655" s="102"/>
      <c r="B655" s="114"/>
      <c r="C655" s="49" t="s">
        <v>94</v>
      </c>
      <c r="D655" s="70" t="s">
        <v>95</v>
      </c>
      <c r="E655" s="108" t="s">
        <v>96</v>
      </c>
      <c r="F655" s="108" t="s">
        <v>97</v>
      </c>
      <c r="G655" s="108" t="s">
        <v>98</v>
      </c>
      <c r="H655" s="108" t="s">
        <v>99</v>
      </c>
      <c r="I655" s="108" t="s">
        <v>100</v>
      </c>
      <c r="J655" s="108" t="s">
        <v>101</v>
      </c>
      <c r="K655" s="108" t="s">
        <v>102</v>
      </c>
      <c r="L655" s="108" t="s">
        <v>103</v>
      </c>
      <c r="M655" s="108" t="s">
        <v>104</v>
      </c>
      <c r="N655" s="108" t="s">
        <v>105</v>
      </c>
      <c r="O655" s="108" t="s">
        <v>106</v>
      </c>
      <c r="P655" s="108" t="s">
        <v>107</v>
      </c>
      <c r="Q655" s="108" t="s">
        <v>108</v>
      </c>
      <c r="R655" s="108" t="s">
        <v>109</v>
      </c>
      <c r="S655" s="108" t="s">
        <v>110</v>
      </c>
      <c r="T655" s="108" t="s">
        <v>111</v>
      </c>
      <c r="U655" s="108" t="s">
        <v>112</v>
      </c>
      <c r="V655" s="108" t="s">
        <v>113</v>
      </c>
      <c r="W655" s="108" t="s">
        <v>114</v>
      </c>
      <c r="X655" s="108" t="s">
        <v>115</v>
      </c>
      <c r="Y655" s="108" t="s">
        <v>116</v>
      </c>
      <c r="Z655" s="108" t="s">
        <v>117</v>
      </c>
      <c r="AA655" s="108" t="s">
        <v>118</v>
      </c>
      <c r="AB655" s="108" t="s">
        <v>119</v>
      </c>
      <c r="AC655" s="108" t="s">
        <v>120</v>
      </c>
      <c r="AD655" s="108" t="s">
        <v>121</v>
      </c>
      <c r="AE655" s="108" t="s">
        <v>122</v>
      </c>
      <c r="AF655" s="108" t="s">
        <v>123</v>
      </c>
      <c r="AG655" s="108" t="s">
        <v>124</v>
      </c>
      <c r="AH655" s="108" t="s">
        <v>125</v>
      </c>
      <c r="AI655" s="108" t="s">
        <v>126</v>
      </c>
      <c r="AJ655" s="108" t="s">
        <v>127</v>
      </c>
      <c r="AK655" s="108" t="s">
        <v>128</v>
      </c>
      <c r="AL655" s="108" t="s">
        <v>129</v>
      </c>
      <c r="AM655" s="108" t="s">
        <v>130</v>
      </c>
      <c r="AN655" s="108" t="s">
        <v>131</v>
      </c>
      <c r="AO655" s="108" t="s">
        <v>132</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5">
      <c r="A656" s="102"/>
      <c r="B656" s="49" t="s">
        <v>133</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5">
      <c r="A657" s="102"/>
      <c r="B657" s="68" t="s">
        <v>95</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5">
      <c r="A658" s="102"/>
      <c r="B658" s="112" t="s">
        <v>96</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5">
      <c r="A659" s="102"/>
      <c r="B659" s="112" t="s">
        <v>97</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5">
      <c r="A660" s="102"/>
      <c r="B660" s="112" t="s">
        <v>98</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5">
      <c r="A661" s="102"/>
      <c r="B661" s="112" t="s">
        <v>99</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5">
      <c r="A662" s="102"/>
      <c r="B662" s="112" t="s">
        <v>100</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5">
      <c r="A663" s="102"/>
      <c r="B663" s="112" t="s">
        <v>101</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5">
      <c r="A664" s="102"/>
      <c r="B664" s="112" t="s">
        <v>102</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5">
      <c r="A665" s="102"/>
      <c r="B665" s="112" t="s">
        <v>103</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5">
      <c r="A666" s="102"/>
      <c r="B666" s="112" t="s">
        <v>104</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5">
      <c r="A667" s="102"/>
      <c r="B667" s="112" t="s">
        <v>105</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5">
      <c r="A668" s="102"/>
      <c r="B668" s="112" t="s">
        <v>106</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5">
      <c r="A669" s="102"/>
      <c r="B669" s="112" t="s">
        <v>107</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5">
      <c r="A670" s="102"/>
      <c r="B670" s="112" t="s">
        <v>108</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5">
      <c r="A671" s="102"/>
      <c r="B671" s="112" t="s">
        <v>109</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5">
      <c r="A672" s="102"/>
      <c r="B672" s="112" t="s">
        <v>110</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5">
      <c r="A673" s="102"/>
      <c r="B673" s="112" t="s">
        <v>111</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5">
      <c r="A674" s="102"/>
      <c r="B674" s="112" t="s">
        <v>112</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5">
      <c r="A675" s="102"/>
      <c r="B675" s="112" t="s">
        <v>113</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5">
      <c r="A676" s="102"/>
      <c r="B676" s="112" t="s">
        <v>114</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5">
      <c r="A677" s="102"/>
      <c r="B677" s="112" t="s">
        <v>115</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5">
      <c r="A678" s="102"/>
      <c r="B678" s="112" t="s">
        <v>116</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5">
      <c r="A679" s="102"/>
      <c r="B679" s="112" t="s">
        <v>117</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5">
      <c r="A680" s="102"/>
      <c r="B680" s="112" t="s">
        <v>118</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5">
      <c r="A681" s="102"/>
      <c r="B681" s="112" t="s">
        <v>119</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5">
      <c r="A682" s="102"/>
      <c r="B682" s="112" t="s">
        <v>120</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5">
      <c r="A683" s="102"/>
      <c r="B683" s="112" t="s">
        <v>121</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5">
      <c r="A684" s="102"/>
      <c r="B684" s="112" t="s">
        <v>122</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5">
      <c r="A685" s="102"/>
      <c r="B685" s="112" t="s">
        <v>123</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5">
      <c r="A686" s="102"/>
      <c r="B686" s="112" t="s">
        <v>124</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5">
      <c r="A687" s="102"/>
      <c r="B687" s="112" t="s">
        <v>125</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5">
      <c r="A688" s="102"/>
      <c r="B688" s="112" t="s">
        <v>126</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5">
      <c r="A689" s="102"/>
      <c r="B689" s="112" t="s">
        <v>127</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5">
      <c r="A690" s="102"/>
      <c r="B690" s="112" t="s">
        <v>128</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5">
      <c r="A691" s="102"/>
      <c r="B691" s="112" t="s">
        <v>129</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5">
      <c r="A692" s="102"/>
      <c r="B692" s="112" t="s">
        <v>130</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5">
      <c r="A693" s="102"/>
      <c r="B693" s="112" t="s">
        <v>131</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5">
      <c r="A694" s="102"/>
      <c r="B694" s="112" t="s">
        <v>132</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5">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5">
      <c r="A696" s="102"/>
      <c r="B696" s="140" t="s">
        <v>244</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5">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5" x14ac:dyDescent="0.35">
      <c r="B698" s="5" t="s">
        <v>245</v>
      </c>
    </row>
    <row r="699" spans="1:95" ht="15" customHeight="1" x14ac:dyDescent="0.35">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5">
      <c r="A700" s="102"/>
      <c r="B700" s="114"/>
      <c r="C700" s="49" t="s">
        <v>94</v>
      </c>
      <c r="D700" s="70" t="s">
        <v>95</v>
      </c>
      <c r="E700" s="108" t="s">
        <v>96</v>
      </c>
      <c r="F700" s="108" t="s">
        <v>97</v>
      </c>
      <c r="G700" s="108" t="s">
        <v>98</v>
      </c>
      <c r="H700" s="108" t="s">
        <v>99</v>
      </c>
      <c r="I700" s="108" t="s">
        <v>100</v>
      </c>
      <c r="J700" s="108" t="s">
        <v>101</v>
      </c>
      <c r="K700" s="108" t="s">
        <v>102</v>
      </c>
      <c r="L700" s="108" t="s">
        <v>103</v>
      </c>
      <c r="M700" s="108" t="s">
        <v>104</v>
      </c>
      <c r="N700" s="108" t="s">
        <v>105</v>
      </c>
      <c r="O700" s="108" t="s">
        <v>106</v>
      </c>
      <c r="P700" s="108" t="s">
        <v>107</v>
      </c>
      <c r="Q700" s="108" t="s">
        <v>108</v>
      </c>
      <c r="R700" s="108" t="s">
        <v>109</v>
      </c>
      <c r="S700" s="108" t="s">
        <v>110</v>
      </c>
      <c r="T700" s="108" t="s">
        <v>111</v>
      </c>
      <c r="U700" s="108" t="s">
        <v>112</v>
      </c>
      <c r="V700" s="108" t="s">
        <v>113</v>
      </c>
      <c r="W700" s="108" t="s">
        <v>114</v>
      </c>
      <c r="X700" s="108" t="s">
        <v>115</v>
      </c>
      <c r="Y700" s="108" t="s">
        <v>116</v>
      </c>
      <c r="Z700" s="108" t="s">
        <v>117</v>
      </c>
      <c r="AA700" s="108" t="s">
        <v>118</v>
      </c>
      <c r="AB700" s="108" t="s">
        <v>119</v>
      </c>
      <c r="AC700" s="108" t="s">
        <v>120</v>
      </c>
      <c r="AD700" s="108" t="s">
        <v>121</v>
      </c>
      <c r="AE700" s="108" t="s">
        <v>122</v>
      </c>
      <c r="AF700" s="108" t="s">
        <v>123</v>
      </c>
      <c r="AG700" s="108" t="s">
        <v>124</v>
      </c>
      <c r="AH700" s="108" t="s">
        <v>125</v>
      </c>
      <c r="AI700" s="108" t="s">
        <v>126</v>
      </c>
      <c r="AJ700" s="108" t="s">
        <v>127</v>
      </c>
      <c r="AK700" s="108" t="s">
        <v>128</v>
      </c>
      <c r="AL700" s="108" t="s">
        <v>129</v>
      </c>
      <c r="AM700" s="108" t="s">
        <v>130</v>
      </c>
      <c r="AN700" s="108" t="s">
        <v>131</v>
      </c>
      <c r="AO700" s="108" t="s">
        <v>132</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5">
      <c r="A701" s="102"/>
      <c r="B701" s="49" t="s">
        <v>133</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5">
      <c r="A702" s="102"/>
      <c r="B702" s="68" t="s">
        <v>95</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5">
      <c r="A703" s="102"/>
      <c r="B703" s="112" t="s">
        <v>96</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5">
      <c r="A704" s="102"/>
      <c r="B704" s="112" t="s">
        <v>97</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5">
      <c r="A705" s="102"/>
      <c r="B705" s="112" t="s">
        <v>98</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5">
      <c r="A706" s="102"/>
      <c r="B706" s="112" t="s">
        <v>99</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5">
      <c r="A707" s="102"/>
      <c r="B707" s="112" t="s">
        <v>100</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5">
      <c r="A708" s="102"/>
      <c r="B708" s="112" t="s">
        <v>101</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5">
      <c r="A709" s="102"/>
      <c r="B709" s="112" t="s">
        <v>102</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5">
      <c r="A710" s="102"/>
      <c r="B710" s="112" t="s">
        <v>103</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5">
      <c r="A711" s="102"/>
      <c r="B711" s="112" t="s">
        <v>104</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5">
      <c r="A712" s="102"/>
      <c r="B712" s="112" t="s">
        <v>105</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5">
      <c r="A713" s="102"/>
      <c r="B713" s="112" t="s">
        <v>106</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5">
      <c r="A714" s="102"/>
      <c r="B714" s="112" t="s">
        <v>107</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5">
      <c r="A715" s="102"/>
      <c r="B715" s="112" t="s">
        <v>108</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5">
      <c r="A716" s="102"/>
      <c r="B716" s="112" t="s">
        <v>109</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5">
      <c r="A717" s="102"/>
      <c r="B717" s="112" t="s">
        <v>110</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5">
      <c r="A718" s="102"/>
      <c r="B718" s="112" t="s">
        <v>111</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5">
      <c r="A719" s="102"/>
      <c r="B719" s="112" t="s">
        <v>112</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5">
      <c r="A720" s="102"/>
      <c r="B720" s="112" t="s">
        <v>113</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5">
      <c r="A721" s="102"/>
      <c r="B721" s="112" t="s">
        <v>114</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5">
      <c r="A722" s="102"/>
      <c r="B722" s="112" t="s">
        <v>115</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5">
      <c r="A723" s="102"/>
      <c r="B723" s="112" t="s">
        <v>116</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5">
      <c r="A724" s="102"/>
      <c r="B724" s="112" t="s">
        <v>117</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5">
      <c r="A725" s="102"/>
      <c r="B725" s="112" t="s">
        <v>118</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5">
      <c r="A726" s="102"/>
      <c r="B726" s="112" t="s">
        <v>119</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5">
      <c r="A727" s="102"/>
      <c r="B727" s="112" t="s">
        <v>120</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5">
      <c r="A728" s="102"/>
      <c r="B728" s="112" t="s">
        <v>121</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5">
      <c r="A729" s="102"/>
      <c r="B729" s="112" t="s">
        <v>122</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5">
      <c r="A730" s="102"/>
      <c r="B730" s="112" t="s">
        <v>123</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5">
      <c r="A731" s="102"/>
      <c r="B731" s="112" t="s">
        <v>124</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5">
      <c r="A732" s="102"/>
      <c r="B732" s="112" t="s">
        <v>125</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5">
      <c r="A733" s="102"/>
      <c r="B733" s="112" t="s">
        <v>126</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5">
      <c r="A734" s="102"/>
      <c r="B734" s="112" t="s">
        <v>127</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5">
      <c r="A735" s="102"/>
      <c r="B735" s="112" t="s">
        <v>128</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5">
      <c r="A736" s="102"/>
      <c r="B736" s="112" t="s">
        <v>129</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5">
      <c r="A737" s="102"/>
      <c r="B737" s="112" t="s">
        <v>130</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5">
      <c r="A738" s="102"/>
      <c r="B738" s="112" t="s">
        <v>131</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5">
      <c r="A739" s="102"/>
      <c r="B739" s="112" t="s">
        <v>132</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5">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5">
      <c r="A741" s="102"/>
      <c r="B741" s="140" t="s">
        <v>246</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5">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5">
      <c r="A743" s="102"/>
      <c r="B743" s="136" t="s">
        <v>247</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5" x14ac:dyDescent="0.3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5" x14ac:dyDescent="0.35">
      <c r="B745" s="5" t="s">
        <v>248</v>
      </c>
    </row>
    <row r="746" spans="1:95" ht="15" customHeight="1" x14ac:dyDescent="0.35">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5">
      <c r="A747" s="102"/>
      <c r="B747" s="114"/>
      <c r="C747" s="49" t="s">
        <v>94</v>
      </c>
      <c r="D747" s="70" t="s">
        <v>95</v>
      </c>
      <c r="E747" s="108" t="s">
        <v>96</v>
      </c>
      <c r="F747" s="108" t="s">
        <v>97</v>
      </c>
      <c r="G747" s="108" t="s">
        <v>98</v>
      </c>
      <c r="H747" s="108" t="s">
        <v>99</v>
      </c>
      <c r="I747" s="108" t="s">
        <v>100</v>
      </c>
      <c r="J747" s="108" t="s">
        <v>101</v>
      </c>
      <c r="K747" s="108" t="s">
        <v>102</v>
      </c>
      <c r="L747" s="108" t="s">
        <v>103</v>
      </c>
      <c r="M747" s="108" t="s">
        <v>104</v>
      </c>
      <c r="N747" s="108" t="s">
        <v>105</v>
      </c>
      <c r="O747" s="108" t="s">
        <v>106</v>
      </c>
      <c r="P747" s="108" t="s">
        <v>107</v>
      </c>
      <c r="Q747" s="108" t="s">
        <v>108</v>
      </c>
      <c r="R747" s="108" t="s">
        <v>109</v>
      </c>
      <c r="S747" s="108" t="s">
        <v>110</v>
      </c>
      <c r="T747" s="108" t="s">
        <v>111</v>
      </c>
      <c r="U747" s="108" t="s">
        <v>112</v>
      </c>
      <c r="V747" s="108" t="s">
        <v>113</v>
      </c>
      <c r="W747" s="108" t="s">
        <v>114</v>
      </c>
      <c r="X747" s="108" t="s">
        <v>115</v>
      </c>
      <c r="Y747" s="108" t="s">
        <v>116</v>
      </c>
      <c r="Z747" s="108" t="s">
        <v>117</v>
      </c>
      <c r="AA747" s="108" t="s">
        <v>118</v>
      </c>
      <c r="AB747" s="108" t="s">
        <v>119</v>
      </c>
      <c r="AC747" s="108" t="s">
        <v>120</v>
      </c>
      <c r="AD747" s="108" t="s">
        <v>121</v>
      </c>
      <c r="AE747" s="108" t="s">
        <v>122</v>
      </c>
      <c r="AF747" s="108" t="s">
        <v>123</v>
      </c>
      <c r="AG747" s="108" t="s">
        <v>124</v>
      </c>
      <c r="AH747" s="108" t="s">
        <v>125</v>
      </c>
      <c r="AI747" s="108" t="s">
        <v>126</v>
      </c>
      <c r="AJ747" s="108" t="s">
        <v>127</v>
      </c>
      <c r="AK747" s="108" t="s">
        <v>128</v>
      </c>
      <c r="AL747" s="108" t="s">
        <v>129</v>
      </c>
      <c r="AM747" s="108" t="s">
        <v>130</v>
      </c>
      <c r="AN747" s="108" t="s">
        <v>131</v>
      </c>
      <c r="AO747" s="108" t="s">
        <v>132</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5">
      <c r="A748" s="102"/>
      <c r="B748" s="49" t="s">
        <v>133</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5">
      <c r="A749" s="102"/>
      <c r="B749" s="68" t="s">
        <v>95</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5">
      <c r="A750" s="102"/>
      <c r="B750" s="112" t="s">
        <v>96</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5">
      <c r="A751" s="102"/>
      <c r="B751" s="112" t="s">
        <v>97</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5">
      <c r="A752" s="102"/>
      <c r="B752" s="112" t="s">
        <v>98</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5">
      <c r="A753" s="102"/>
      <c r="B753" s="112" t="s">
        <v>99</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5">
      <c r="A754" s="102"/>
      <c r="B754" s="112" t="s">
        <v>100</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5">
      <c r="A755" s="102"/>
      <c r="B755" s="112" t="s">
        <v>101</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5">
      <c r="A756" s="102"/>
      <c r="B756" s="112" t="s">
        <v>102</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5">
      <c r="A757" s="102"/>
      <c r="B757" s="112" t="s">
        <v>103</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5">
      <c r="A758" s="102"/>
      <c r="B758" s="112" t="s">
        <v>104</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5">
      <c r="A759" s="102"/>
      <c r="B759" s="112" t="s">
        <v>105</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5">
      <c r="A760" s="102"/>
      <c r="B760" s="112" t="s">
        <v>106</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5">
      <c r="A761" s="102"/>
      <c r="B761" s="112" t="s">
        <v>107</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5">
      <c r="A762" s="102"/>
      <c r="B762" s="112" t="s">
        <v>108</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5">
      <c r="A763" s="102"/>
      <c r="B763" s="112" t="s">
        <v>109</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5">
      <c r="A764" s="102"/>
      <c r="B764" s="112" t="s">
        <v>110</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5">
      <c r="A765" s="102"/>
      <c r="B765" s="112" t="s">
        <v>111</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5">
      <c r="A766" s="102"/>
      <c r="B766" s="112" t="s">
        <v>112</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5">
      <c r="A767" s="102"/>
      <c r="B767" s="112" t="s">
        <v>113</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5">
      <c r="A768" s="102"/>
      <c r="B768" s="112" t="s">
        <v>114</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5">
      <c r="A769" s="102"/>
      <c r="B769" s="112" t="s">
        <v>115</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5">
      <c r="A770" s="102"/>
      <c r="B770" s="112" t="s">
        <v>116</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5">
      <c r="A771" s="102"/>
      <c r="B771" s="112" t="s">
        <v>117</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5">
      <c r="A772" s="102"/>
      <c r="B772" s="112" t="s">
        <v>118</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5">
      <c r="A773" s="102"/>
      <c r="B773" s="112" t="s">
        <v>119</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5">
      <c r="A774" s="102"/>
      <c r="B774" s="112" t="s">
        <v>120</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5">
      <c r="A775" s="102"/>
      <c r="B775" s="112" t="s">
        <v>121</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5">
      <c r="A776" s="102"/>
      <c r="B776" s="112" t="s">
        <v>122</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5">
      <c r="A777" s="102"/>
      <c r="B777" s="112" t="s">
        <v>123</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5">
      <c r="A778" s="102"/>
      <c r="B778" s="112" t="s">
        <v>124</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5">
      <c r="A779" s="102"/>
      <c r="B779" s="112" t="s">
        <v>125</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5">
      <c r="A780" s="102"/>
      <c r="B780" s="112" t="s">
        <v>126</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5">
      <c r="A781" s="102"/>
      <c r="B781" s="112" t="s">
        <v>127</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5">
      <c r="A782" s="102"/>
      <c r="B782" s="112" t="s">
        <v>128</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5">
      <c r="A783" s="102"/>
      <c r="B783" s="112" t="s">
        <v>129</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5">
      <c r="A784" s="102"/>
      <c r="B784" s="112" t="s">
        <v>130</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5">
      <c r="A785" s="102"/>
      <c r="B785" s="112" t="s">
        <v>131</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5">
      <c r="A786" s="102"/>
      <c r="B786" s="112" t="s">
        <v>132</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5">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5">
      <c r="A788" s="102"/>
      <c r="B788" s="140" t="s">
        <v>249</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5">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5" x14ac:dyDescent="0.35">
      <c r="B790" s="5" t="s">
        <v>250</v>
      </c>
    </row>
    <row r="791" spans="1:95" ht="15" customHeight="1" x14ac:dyDescent="0.35">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5">
      <c r="A792" s="102"/>
      <c r="B792" s="114"/>
      <c r="C792" s="49" t="s">
        <v>94</v>
      </c>
      <c r="D792" s="70" t="s">
        <v>95</v>
      </c>
      <c r="E792" s="108" t="s">
        <v>96</v>
      </c>
      <c r="F792" s="108" t="s">
        <v>97</v>
      </c>
      <c r="G792" s="108" t="s">
        <v>98</v>
      </c>
      <c r="H792" s="108" t="s">
        <v>99</v>
      </c>
      <c r="I792" s="108" t="s">
        <v>100</v>
      </c>
      <c r="J792" s="108" t="s">
        <v>101</v>
      </c>
      <c r="K792" s="108" t="s">
        <v>102</v>
      </c>
      <c r="L792" s="108" t="s">
        <v>103</v>
      </c>
      <c r="M792" s="108" t="s">
        <v>104</v>
      </c>
      <c r="N792" s="108" t="s">
        <v>105</v>
      </c>
      <c r="O792" s="108" t="s">
        <v>106</v>
      </c>
      <c r="P792" s="108" t="s">
        <v>107</v>
      </c>
      <c r="Q792" s="108" t="s">
        <v>108</v>
      </c>
      <c r="R792" s="108" t="s">
        <v>109</v>
      </c>
      <c r="S792" s="108" t="s">
        <v>110</v>
      </c>
      <c r="T792" s="108" t="s">
        <v>111</v>
      </c>
      <c r="U792" s="108" t="s">
        <v>112</v>
      </c>
      <c r="V792" s="108" t="s">
        <v>113</v>
      </c>
      <c r="W792" s="108" t="s">
        <v>114</v>
      </c>
      <c r="X792" s="108" t="s">
        <v>115</v>
      </c>
      <c r="Y792" s="108" t="s">
        <v>116</v>
      </c>
      <c r="Z792" s="108" t="s">
        <v>117</v>
      </c>
      <c r="AA792" s="108" t="s">
        <v>118</v>
      </c>
      <c r="AB792" s="108" t="s">
        <v>119</v>
      </c>
      <c r="AC792" s="108" t="s">
        <v>120</v>
      </c>
      <c r="AD792" s="108" t="s">
        <v>121</v>
      </c>
      <c r="AE792" s="108" t="s">
        <v>122</v>
      </c>
      <c r="AF792" s="108" t="s">
        <v>123</v>
      </c>
      <c r="AG792" s="108" t="s">
        <v>124</v>
      </c>
      <c r="AH792" s="108" t="s">
        <v>125</v>
      </c>
      <c r="AI792" s="108" t="s">
        <v>126</v>
      </c>
      <c r="AJ792" s="108" t="s">
        <v>127</v>
      </c>
      <c r="AK792" s="108" t="s">
        <v>128</v>
      </c>
      <c r="AL792" s="108" t="s">
        <v>129</v>
      </c>
      <c r="AM792" s="108" t="s">
        <v>130</v>
      </c>
      <c r="AN792" s="108" t="s">
        <v>131</v>
      </c>
      <c r="AO792" s="108" t="s">
        <v>132</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5">
      <c r="A793" s="102"/>
      <c r="B793" s="49" t="s">
        <v>133</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5">
      <c r="A794" s="102"/>
      <c r="B794" s="68" t="s">
        <v>95</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5">
      <c r="A795" s="102"/>
      <c r="B795" s="112" t="s">
        <v>96</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5">
      <c r="A796" s="102"/>
      <c r="B796" s="112" t="s">
        <v>97</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5">
      <c r="A797" s="102"/>
      <c r="B797" s="112" t="s">
        <v>98</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5">
      <c r="A798" s="102"/>
      <c r="B798" s="112" t="s">
        <v>99</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5">
      <c r="A799" s="102"/>
      <c r="B799" s="112" t="s">
        <v>100</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5">
      <c r="A800" s="102"/>
      <c r="B800" s="112" t="s">
        <v>101</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5">
      <c r="A801" s="102"/>
      <c r="B801" s="112" t="s">
        <v>102</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5">
      <c r="A802" s="102"/>
      <c r="B802" s="112" t="s">
        <v>103</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5">
      <c r="A803" s="102"/>
      <c r="B803" s="112" t="s">
        <v>104</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5">
      <c r="A804" s="102"/>
      <c r="B804" s="112" t="s">
        <v>105</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5">
      <c r="A805" s="102"/>
      <c r="B805" s="112" t="s">
        <v>106</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5">
      <c r="A806" s="102"/>
      <c r="B806" s="112" t="s">
        <v>107</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5">
      <c r="A807" s="102"/>
      <c r="B807" s="112" t="s">
        <v>108</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5">
      <c r="A808" s="102"/>
      <c r="B808" s="112" t="s">
        <v>109</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5">
      <c r="A809" s="102"/>
      <c r="B809" s="112" t="s">
        <v>110</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5">
      <c r="A810" s="102"/>
      <c r="B810" s="112" t="s">
        <v>111</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5">
      <c r="A811" s="102"/>
      <c r="B811" s="112" t="s">
        <v>112</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5">
      <c r="A812" s="102"/>
      <c r="B812" s="112" t="s">
        <v>113</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5">
      <c r="A813" s="102"/>
      <c r="B813" s="112" t="s">
        <v>114</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5">
      <c r="A814" s="102"/>
      <c r="B814" s="112" t="s">
        <v>115</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5">
      <c r="A815" s="102"/>
      <c r="B815" s="112" t="s">
        <v>116</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5">
      <c r="A816" s="102"/>
      <c r="B816" s="112" t="s">
        <v>117</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5">
      <c r="A817" s="102"/>
      <c r="B817" s="112" t="s">
        <v>118</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5">
      <c r="A818" s="102"/>
      <c r="B818" s="112" t="s">
        <v>119</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5">
      <c r="A819" s="102"/>
      <c r="B819" s="112" t="s">
        <v>120</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5">
      <c r="A820" s="102"/>
      <c r="B820" s="112" t="s">
        <v>121</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5">
      <c r="A821" s="102"/>
      <c r="B821" s="112" t="s">
        <v>122</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5">
      <c r="A822" s="102"/>
      <c r="B822" s="112" t="s">
        <v>123</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5">
      <c r="A823" s="102"/>
      <c r="B823" s="112" t="s">
        <v>124</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5">
      <c r="A824" s="102"/>
      <c r="B824" s="112" t="s">
        <v>125</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5">
      <c r="A825" s="102"/>
      <c r="B825" s="112" t="s">
        <v>126</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5">
      <c r="A826" s="102"/>
      <c r="B826" s="112" t="s">
        <v>127</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5">
      <c r="A827" s="102"/>
      <c r="B827" s="112" t="s">
        <v>128</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5">
      <c r="A828" s="102"/>
      <c r="B828" s="112" t="s">
        <v>129</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5">
      <c r="A829" s="102"/>
      <c r="B829" s="112" t="s">
        <v>130</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5">
      <c r="A830" s="102"/>
      <c r="B830" s="112" t="s">
        <v>131</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5">
      <c r="A831" s="102"/>
      <c r="B831" s="112" t="s">
        <v>132</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5">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5">
      <c r="A833" s="102"/>
      <c r="B833" s="140" t="s">
        <v>251</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5">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5">
      <c r="A835" s="102"/>
      <c r="B835" s="136" t="s">
        <v>252</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5" x14ac:dyDescent="0.3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5" x14ac:dyDescent="0.35">
      <c r="B837" s="5" t="s">
        <v>253</v>
      </c>
    </row>
    <row r="838" spans="1:95" ht="15" customHeight="1" x14ac:dyDescent="0.35">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5">
      <c r="A839" s="102"/>
      <c r="B839" s="114"/>
      <c r="C839" s="49" t="s">
        <v>94</v>
      </c>
      <c r="D839" s="70" t="s">
        <v>95</v>
      </c>
      <c r="E839" s="108" t="s">
        <v>96</v>
      </c>
      <c r="F839" s="108" t="s">
        <v>97</v>
      </c>
      <c r="G839" s="108" t="s">
        <v>98</v>
      </c>
      <c r="H839" s="108" t="s">
        <v>99</v>
      </c>
      <c r="I839" s="108" t="s">
        <v>100</v>
      </c>
      <c r="J839" s="108" t="s">
        <v>101</v>
      </c>
      <c r="K839" s="108" t="s">
        <v>102</v>
      </c>
      <c r="L839" s="108" t="s">
        <v>103</v>
      </c>
      <c r="M839" s="108" t="s">
        <v>104</v>
      </c>
      <c r="N839" s="108" t="s">
        <v>105</v>
      </c>
      <c r="O839" s="108" t="s">
        <v>106</v>
      </c>
      <c r="P839" s="108" t="s">
        <v>107</v>
      </c>
      <c r="Q839" s="108" t="s">
        <v>108</v>
      </c>
      <c r="R839" s="108" t="s">
        <v>109</v>
      </c>
      <c r="S839" s="108" t="s">
        <v>110</v>
      </c>
      <c r="T839" s="108" t="s">
        <v>111</v>
      </c>
      <c r="U839" s="108" t="s">
        <v>112</v>
      </c>
      <c r="V839" s="108" t="s">
        <v>113</v>
      </c>
      <c r="W839" s="108" t="s">
        <v>114</v>
      </c>
      <c r="X839" s="108" t="s">
        <v>115</v>
      </c>
      <c r="Y839" s="108" t="s">
        <v>116</v>
      </c>
      <c r="Z839" s="108" t="s">
        <v>117</v>
      </c>
      <c r="AA839" s="108" t="s">
        <v>118</v>
      </c>
      <c r="AB839" s="108" t="s">
        <v>119</v>
      </c>
      <c r="AC839" s="108" t="s">
        <v>120</v>
      </c>
      <c r="AD839" s="108" t="s">
        <v>121</v>
      </c>
      <c r="AE839" s="108" t="s">
        <v>122</v>
      </c>
      <c r="AF839" s="108" t="s">
        <v>123</v>
      </c>
      <c r="AG839" s="108" t="s">
        <v>124</v>
      </c>
      <c r="AH839" s="108" t="s">
        <v>125</v>
      </c>
      <c r="AI839" s="108" t="s">
        <v>126</v>
      </c>
      <c r="AJ839" s="108" t="s">
        <v>127</v>
      </c>
      <c r="AK839" s="108" t="s">
        <v>128</v>
      </c>
      <c r="AL839" s="108" t="s">
        <v>129</v>
      </c>
      <c r="AM839" s="108" t="s">
        <v>130</v>
      </c>
      <c r="AN839" s="108" t="s">
        <v>131</v>
      </c>
      <c r="AO839" s="108" t="s">
        <v>132</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5">
      <c r="A840" s="102"/>
      <c r="B840" s="49" t="s">
        <v>133</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5">
      <c r="A841" s="102"/>
      <c r="B841" s="68" t="s">
        <v>95</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5">
      <c r="A842" s="102"/>
      <c r="B842" s="112" t="s">
        <v>96</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5">
      <c r="A843" s="102"/>
      <c r="B843" s="112" t="s">
        <v>97</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5">
      <c r="A844" s="102"/>
      <c r="B844" s="112" t="s">
        <v>98</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5">
      <c r="A845" s="102"/>
      <c r="B845" s="112" t="s">
        <v>99</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5">
      <c r="A846" s="102"/>
      <c r="B846" s="112" t="s">
        <v>100</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5">
      <c r="A847" s="102"/>
      <c r="B847" s="112" t="s">
        <v>101</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5">
      <c r="A848" s="102"/>
      <c r="B848" s="112" t="s">
        <v>102</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5">
      <c r="A849" s="102"/>
      <c r="B849" s="112" t="s">
        <v>103</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5">
      <c r="A850" s="102"/>
      <c r="B850" s="112" t="s">
        <v>104</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5">
      <c r="A851" s="102"/>
      <c r="B851" s="112" t="s">
        <v>105</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5">
      <c r="A852" s="102"/>
      <c r="B852" s="112" t="s">
        <v>106</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5">
      <c r="A853" s="102"/>
      <c r="B853" s="112" t="s">
        <v>107</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5">
      <c r="A854" s="102"/>
      <c r="B854" s="112" t="s">
        <v>108</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5">
      <c r="A855" s="102"/>
      <c r="B855" s="112" t="s">
        <v>109</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5">
      <c r="A856" s="102"/>
      <c r="B856" s="112" t="s">
        <v>110</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5">
      <c r="A857" s="102"/>
      <c r="B857" s="112" t="s">
        <v>111</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5">
      <c r="A858" s="102"/>
      <c r="B858" s="112" t="s">
        <v>112</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5">
      <c r="A859" s="102"/>
      <c r="B859" s="112" t="s">
        <v>113</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5">
      <c r="A860" s="102"/>
      <c r="B860" s="112" t="s">
        <v>114</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5">
      <c r="A861" s="102"/>
      <c r="B861" s="112" t="s">
        <v>115</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5">
      <c r="A862" s="102"/>
      <c r="B862" s="112" t="s">
        <v>116</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5">
      <c r="A863" s="102"/>
      <c r="B863" s="112" t="s">
        <v>117</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5">
      <c r="A864" s="102"/>
      <c r="B864" s="112" t="s">
        <v>118</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5">
      <c r="A865" s="102"/>
      <c r="B865" s="112" t="s">
        <v>119</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5">
      <c r="A866" s="102"/>
      <c r="B866" s="112" t="s">
        <v>120</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5">
      <c r="A867" s="102"/>
      <c r="B867" s="112" t="s">
        <v>121</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5">
      <c r="A868" s="102"/>
      <c r="B868" s="112" t="s">
        <v>122</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5">
      <c r="A869" s="102"/>
      <c r="B869" s="112" t="s">
        <v>123</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5">
      <c r="A870" s="102"/>
      <c r="B870" s="112" t="s">
        <v>124</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5">
      <c r="A871" s="102"/>
      <c r="B871" s="112" t="s">
        <v>125</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5">
      <c r="A872" s="102"/>
      <c r="B872" s="112" t="s">
        <v>126</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5">
      <c r="A873" s="102"/>
      <c r="B873" s="112" t="s">
        <v>127</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5">
      <c r="A874" s="102"/>
      <c r="B874" s="112" t="s">
        <v>128</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5">
      <c r="A875" s="102"/>
      <c r="B875" s="112" t="s">
        <v>129</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5">
      <c r="A876" s="102"/>
      <c r="B876" s="112" t="s">
        <v>130</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5">
      <c r="A877" s="102"/>
      <c r="B877" s="112" t="s">
        <v>131</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5">
      <c r="A878" s="102"/>
      <c r="B878" s="112" t="s">
        <v>132</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5">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5">
      <c r="A880" s="102"/>
      <c r="B880" s="140" t="s">
        <v>254</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5">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5" x14ac:dyDescent="0.35">
      <c r="B882" s="5" t="s">
        <v>255</v>
      </c>
    </row>
    <row r="883" spans="1:95" ht="15" customHeight="1" x14ac:dyDescent="0.35">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5">
      <c r="A884" s="102"/>
      <c r="B884" s="114"/>
      <c r="C884" s="49" t="s">
        <v>94</v>
      </c>
      <c r="D884" s="70" t="s">
        <v>95</v>
      </c>
      <c r="E884" s="108" t="s">
        <v>96</v>
      </c>
      <c r="F884" s="108" t="s">
        <v>97</v>
      </c>
      <c r="G884" s="108" t="s">
        <v>98</v>
      </c>
      <c r="H884" s="108" t="s">
        <v>99</v>
      </c>
      <c r="I884" s="108" t="s">
        <v>100</v>
      </c>
      <c r="J884" s="108" t="s">
        <v>101</v>
      </c>
      <c r="K884" s="108" t="s">
        <v>102</v>
      </c>
      <c r="L884" s="108" t="s">
        <v>103</v>
      </c>
      <c r="M884" s="108" t="s">
        <v>104</v>
      </c>
      <c r="N884" s="108" t="s">
        <v>105</v>
      </c>
      <c r="O884" s="108" t="s">
        <v>106</v>
      </c>
      <c r="P884" s="108" t="s">
        <v>107</v>
      </c>
      <c r="Q884" s="108" t="s">
        <v>108</v>
      </c>
      <c r="R884" s="108" t="s">
        <v>109</v>
      </c>
      <c r="S884" s="108" t="s">
        <v>110</v>
      </c>
      <c r="T884" s="108" t="s">
        <v>111</v>
      </c>
      <c r="U884" s="108" t="s">
        <v>112</v>
      </c>
      <c r="V884" s="108" t="s">
        <v>113</v>
      </c>
      <c r="W884" s="108" t="s">
        <v>114</v>
      </c>
      <c r="X884" s="108" t="s">
        <v>115</v>
      </c>
      <c r="Y884" s="108" t="s">
        <v>116</v>
      </c>
      <c r="Z884" s="108" t="s">
        <v>117</v>
      </c>
      <c r="AA884" s="108" t="s">
        <v>118</v>
      </c>
      <c r="AB884" s="108" t="s">
        <v>119</v>
      </c>
      <c r="AC884" s="108" t="s">
        <v>120</v>
      </c>
      <c r="AD884" s="108" t="s">
        <v>121</v>
      </c>
      <c r="AE884" s="108" t="s">
        <v>122</v>
      </c>
      <c r="AF884" s="108" t="s">
        <v>123</v>
      </c>
      <c r="AG884" s="108" t="s">
        <v>124</v>
      </c>
      <c r="AH884" s="108" t="s">
        <v>125</v>
      </c>
      <c r="AI884" s="108" t="s">
        <v>126</v>
      </c>
      <c r="AJ884" s="108" t="s">
        <v>127</v>
      </c>
      <c r="AK884" s="108" t="s">
        <v>128</v>
      </c>
      <c r="AL884" s="108" t="s">
        <v>129</v>
      </c>
      <c r="AM884" s="108" t="s">
        <v>130</v>
      </c>
      <c r="AN884" s="108" t="s">
        <v>131</v>
      </c>
      <c r="AO884" s="108" t="s">
        <v>132</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5">
      <c r="A885" s="102"/>
      <c r="B885" s="49" t="s">
        <v>133</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5">
      <c r="A886" s="102"/>
      <c r="B886" s="68" t="s">
        <v>95</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5">
      <c r="A887" s="102"/>
      <c r="B887" s="112" t="s">
        <v>96</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5">
      <c r="A888" s="102"/>
      <c r="B888" s="112" t="s">
        <v>97</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5">
      <c r="A889" s="102"/>
      <c r="B889" s="112" t="s">
        <v>98</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5">
      <c r="A890" s="102"/>
      <c r="B890" s="112" t="s">
        <v>99</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5">
      <c r="A891" s="102"/>
      <c r="B891" s="112" t="s">
        <v>100</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5">
      <c r="A892" s="102"/>
      <c r="B892" s="112" t="s">
        <v>101</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5">
      <c r="A893" s="102"/>
      <c r="B893" s="112" t="s">
        <v>102</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5">
      <c r="A894" s="102"/>
      <c r="B894" s="112" t="s">
        <v>103</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5">
      <c r="A895" s="102"/>
      <c r="B895" s="112" t="s">
        <v>104</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5">
      <c r="A896" s="102"/>
      <c r="B896" s="112" t="s">
        <v>105</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5">
      <c r="A897" s="102"/>
      <c r="B897" s="112" t="s">
        <v>106</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5">
      <c r="A898" s="102"/>
      <c r="B898" s="112" t="s">
        <v>107</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5">
      <c r="A899" s="102"/>
      <c r="B899" s="112" t="s">
        <v>108</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5">
      <c r="A900" s="102"/>
      <c r="B900" s="112" t="s">
        <v>109</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5">
      <c r="A901" s="102"/>
      <c r="B901" s="112" t="s">
        <v>110</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5">
      <c r="A902" s="102"/>
      <c r="B902" s="112" t="s">
        <v>111</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5">
      <c r="A903" s="102"/>
      <c r="B903" s="112" t="s">
        <v>112</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5">
      <c r="A904" s="102"/>
      <c r="B904" s="112" t="s">
        <v>113</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5">
      <c r="A905" s="102"/>
      <c r="B905" s="112" t="s">
        <v>114</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5">
      <c r="A906" s="102"/>
      <c r="B906" s="112" t="s">
        <v>115</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5">
      <c r="A907" s="102"/>
      <c r="B907" s="112" t="s">
        <v>116</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5">
      <c r="A908" s="102"/>
      <c r="B908" s="112" t="s">
        <v>117</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5">
      <c r="A909" s="102"/>
      <c r="B909" s="112" t="s">
        <v>118</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5">
      <c r="A910" s="102"/>
      <c r="B910" s="112" t="s">
        <v>119</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5">
      <c r="A911" s="102"/>
      <c r="B911" s="112" t="s">
        <v>120</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5">
      <c r="A912" s="102"/>
      <c r="B912" s="112" t="s">
        <v>121</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5">
      <c r="A913" s="102"/>
      <c r="B913" s="112" t="s">
        <v>122</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5">
      <c r="A914" s="102"/>
      <c r="B914" s="112" t="s">
        <v>123</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5">
      <c r="A915" s="102"/>
      <c r="B915" s="112" t="s">
        <v>124</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5">
      <c r="A916" s="102"/>
      <c r="B916" s="112" t="s">
        <v>125</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5">
      <c r="A917" s="102"/>
      <c r="B917" s="112" t="s">
        <v>126</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5">
      <c r="A918" s="102"/>
      <c r="B918" s="112" t="s">
        <v>127</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5">
      <c r="A919" s="102"/>
      <c r="B919" s="112" t="s">
        <v>128</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5">
      <c r="A920" s="102"/>
      <c r="B920" s="112" t="s">
        <v>129</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5">
      <c r="A921" s="102"/>
      <c r="B921" s="112" t="s">
        <v>130</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5">
      <c r="A922" s="102"/>
      <c r="B922" s="112" t="s">
        <v>131</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5">
      <c r="A923" s="102"/>
      <c r="B923" s="112" t="s">
        <v>132</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5">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5">
      <c r="A925" s="102"/>
      <c r="B925" s="142" t="s">
        <v>256</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5">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5">
      <c r="A927" s="102"/>
      <c r="B927" s="142" t="s">
        <v>257</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5" x14ac:dyDescent="0.3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45">
      <c r="B929" s="2" t="s">
        <v>258</v>
      </c>
    </row>
    <row r="930" spans="1:95" ht="14.25" customHeight="1" x14ac:dyDescent="0.3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259</v>
      </c>
    </row>
    <row r="932" spans="1:95" ht="14.25" customHeight="1" x14ac:dyDescent="0.3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5">
      <c r="A933" s="102"/>
      <c r="B933" s="102" t="s">
        <v>67</v>
      </c>
      <c r="C933" s="11">
        <f>Opening_year_in</f>
        <v>2025</v>
      </c>
      <c r="D933" s="3" t="s">
        <v>260</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5">
      <c r="A934" s="102"/>
      <c r="B934" s="102" t="s">
        <v>67</v>
      </c>
      <c r="C934" s="102"/>
      <c r="D934" s="102">
        <f>(Opening_year=year)*1</f>
        <v>0</v>
      </c>
      <c r="E934" s="102">
        <f t="shared" ref="E934:AI934" si="211">(Opening_year=year)*1</f>
        <v>0</v>
      </c>
      <c r="F934" s="102">
        <f>(Opening_year=year)*1</f>
        <v>0</v>
      </c>
      <c r="G934" s="102">
        <f t="shared" si="211"/>
        <v>0</v>
      </c>
      <c r="H934" s="102">
        <f t="shared" si="211"/>
        <v>0</v>
      </c>
      <c r="I934" s="102">
        <f t="shared" si="211"/>
        <v>0</v>
      </c>
      <c r="J934" s="102">
        <f t="shared" si="211"/>
        <v>0</v>
      </c>
      <c r="K934" s="102">
        <f t="shared" si="211"/>
        <v>0</v>
      </c>
      <c r="L934" s="102">
        <f t="shared" si="211"/>
        <v>0</v>
      </c>
      <c r="M934" s="102">
        <f t="shared" si="211"/>
        <v>0</v>
      </c>
      <c r="N934" s="102">
        <f t="shared" si="211"/>
        <v>0</v>
      </c>
      <c r="O934" s="102">
        <f t="shared" si="211"/>
        <v>0</v>
      </c>
      <c r="P934" s="102">
        <f t="shared" si="211"/>
        <v>0</v>
      </c>
      <c r="Q934" s="102">
        <f t="shared" si="211"/>
        <v>0</v>
      </c>
      <c r="R934" s="102">
        <f t="shared" si="211"/>
        <v>0</v>
      </c>
      <c r="S934" s="102">
        <f t="shared" si="211"/>
        <v>1</v>
      </c>
      <c r="T934" s="102">
        <f t="shared" si="211"/>
        <v>0</v>
      </c>
      <c r="U934" s="102">
        <f t="shared" si="211"/>
        <v>0</v>
      </c>
      <c r="V934" s="102">
        <f t="shared" si="211"/>
        <v>0</v>
      </c>
      <c r="W934" s="102">
        <f t="shared" si="211"/>
        <v>0</v>
      </c>
      <c r="X934" s="102">
        <f t="shared" si="211"/>
        <v>0</v>
      </c>
      <c r="Y934" s="102">
        <f t="shared" si="211"/>
        <v>0</v>
      </c>
      <c r="Z934" s="102">
        <f t="shared" si="211"/>
        <v>0</v>
      </c>
      <c r="AA934" s="102">
        <f t="shared" si="211"/>
        <v>0</v>
      </c>
      <c r="AB934" s="102">
        <f t="shared" si="211"/>
        <v>0</v>
      </c>
      <c r="AC934" s="102">
        <f t="shared" si="211"/>
        <v>0</v>
      </c>
      <c r="AD934" s="102">
        <f t="shared" si="211"/>
        <v>0</v>
      </c>
      <c r="AE934" s="102">
        <f t="shared" si="211"/>
        <v>0</v>
      </c>
      <c r="AF934" s="102">
        <f t="shared" si="211"/>
        <v>0</v>
      </c>
      <c r="AG934" s="102">
        <f t="shared" si="211"/>
        <v>0</v>
      </c>
      <c r="AH934" s="102">
        <f t="shared" si="211"/>
        <v>0</v>
      </c>
      <c r="AI934" s="102">
        <f t="shared" si="211"/>
        <v>0</v>
      </c>
      <c r="AJ934" s="102">
        <f t="shared" ref="AJ934:BO934" si="212">(Opening_year=year)*1</f>
        <v>0</v>
      </c>
      <c r="AK934" s="102">
        <f t="shared" si="212"/>
        <v>0</v>
      </c>
      <c r="AL934" s="102">
        <f t="shared" si="212"/>
        <v>0</v>
      </c>
      <c r="AM934" s="102">
        <f t="shared" si="212"/>
        <v>0</v>
      </c>
      <c r="AN934" s="102">
        <f t="shared" si="212"/>
        <v>0</v>
      </c>
      <c r="AO934" s="102">
        <f t="shared" si="212"/>
        <v>0</v>
      </c>
      <c r="AP934" s="102">
        <f t="shared" si="212"/>
        <v>0</v>
      </c>
      <c r="AQ934" s="102">
        <f t="shared" si="212"/>
        <v>0</v>
      </c>
      <c r="AR934" s="102">
        <f t="shared" si="212"/>
        <v>0</v>
      </c>
      <c r="AS934" s="102">
        <f t="shared" si="212"/>
        <v>0</v>
      </c>
      <c r="AT934" s="102">
        <f t="shared" si="212"/>
        <v>0</v>
      </c>
      <c r="AU934" s="102">
        <f t="shared" si="212"/>
        <v>0</v>
      </c>
      <c r="AV934" s="102">
        <f t="shared" si="212"/>
        <v>0</v>
      </c>
      <c r="AW934" s="102">
        <f t="shared" si="212"/>
        <v>0</v>
      </c>
      <c r="AX934" s="102">
        <f t="shared" si="212"/>
        <v>0</v>
      </c>
      <c r="AY934" s="102">
        <f t="shared" si="212"/>
        <v>0</v>
      </c>
      <c r="AZ934" s="102">
        <f t="shared" si="212"/>
        <v>0</v>
      </c>
      <c r="BA934" s="102">
        <f t="shared" si="212"/>
        <v>0</v>
      </c>
      <c r="BB934" s="102">
        <f t="shared" si="212"/>
        <v>0</v>
      </c>
      <c r="BC934" s="102">
        <f t="shared" si="212"/>
        <v>0</v>
      </c>
      <c r="BD934" s="102">
        <f t="shared" si="212"/>
        <v>0</v>
      </c>
      <c r="BE934" s="102">
        <f t="shared" si="212"/>
        <v>0</v>
      </c>
      <c r="BF934" s="102">
        <f t="shared" si="212"/>
        <v>0</v>
      </c>
      <c r="BG934" s="102">
        <f t="shared" si="212"/>
        <v>0</v>
      </c>
      <c r="BH934" s="102">
        <f t="shared" si="212"/>
        <v>0</v>
      </c>
      <c r="BI934" s="102">
        <f t="shared" si="212"/>
        <v>0</v>
      </c>
      <c r="BJ934" s="102">
        <f t="shared" si="212"/>
        <v>0</v>
      </c>
      <c r="BK934" s="102">
        <f t="shared" si="212"/>
        <v>0</v>
      </c>
      <c r="BL934" s="102">
        <f t="shared" si="212"/>
        <v>0</v>
      </c>
      <c r="BM934" s="102">
        <f t="shared" si="212"/>
        <v>0</v>
      </c>
      <c r="BN934" s="102">
        <f t="shared" si="212"/>
        <v>0</v>
      </c>
      <c r="BO934" s="102">
        <f t="shared" si="212"/>
        <v>0</v>
      </c>
      <c r="BP934" s="102">
        <f t="shared" ref="BP934:CP934" si="213">(Opening_year=year)*1</f>
        <v>0</v>
      </c>
      <c r="BQ934" s="102">
        <f t="shared" si="213"/>
        <v>0</v>
      </c>
      <c r="BR934" s="102">
        <f t="shared" si="213"/>
        <v>0</v>
      </c>
      <c r="BS934" s="102">
        <f t="shared" si="213"/>
        <v>0</v>
      </c>
      <c r="BT934" s="102">
        <f t="shared" si="213"/>
        <v>0</v>
      </c>
      <c r="BU934" s="102">
        <f t="shared" si="213"/>
        <v>0</v>
      </c>
      <c r="BV934" s="102">
        <f t="shared" si="213"/>
        <v>0</v>
      </c>
      <c r="BW934" s="102">
        <f t="shared" si="213"/>
        <v>0</v>
      </c>
      <c r="BX934" s="102">
        <f t="shared" si="213"/>
        <v>0</v>
      </c>
      <c r="BY934" s="102">
        <f t="shared" si="213"/>
        <v>0</v>
      </c>
      <c r="BZ934" s="102">
        <f t="shared" si="213"/>
        <v>0</v>
      </c>
      <c r="CA934" s="102">
        <f t="shared" si="213"/>
        <v>0</v>
      </c>
      <c r="CB934" s="102">
        <f t="shared" si="213"/>
        <v>0</v>
      </c>
      <c r="CC934" s="102">
        <f t="shared" si="213"/>
        <v>0</v>
      </c>
      <c r="CD934" s="102">
        <f t="shared" si="213"/>
        <v>0</v>
      </c>
      <c r="CE934" s="102">
        <f t="shared" si="213"/>
        <v>0</v>
      </c>
      <c r="CF934" s="102">
        <f t="shared" si="213"/>
        <v>0</v>
      </c>
      <c r="CG934" s="102">
        <f t="shared" si="213"/>
        <v>0</v>
      </c>
      <c r="CH934" s="102">
        <f t="shared" si="213"/>
        <v>0</v>
      </c>
      <c r="CI934" s="102">
        <f t="shared" si="213"/>
        <v>0</v>
      </c>
      <c r="CJ934" s="102">
        <f t="shared" si="213"/>
        <v>0</v>
      </c>
      <c r="CK934" s="102">
        <f t="shared" si="213"/>
        <v>0</v>
      </c>
      <c r="CL934" s="102">
        <f t="shared" si="213"/>
        <v>0</v>
      </c>
      <c r="CM934" s="102">
        <f t="shared" si="213"/>
        <v>0</v>
      </c>
      <c r="CN934" s="102">
        <f t="shared" si="213"/>
        <v>0</v>
      </c>
      <c r="CO934" s="102">
        <f t="shared" si="213"/>
        <v>0</v>
      </c>
      <c r="CP934" s="102">
        <f t="shared" si="213"/>
        <v>0</v>
      </c>
      <c r="CQ934" s="3" t="s">
        <v>261</v>
      </c>
    </row>
    <row r="935" spans="1:95" ht="14.25" customHeight="1" x14ac:dyDescent="0.3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5">
      <c r="A936" s="102"/>
      <c r="B936" s="102" t="s">
        <v>69</v>
      </c>
      <c r="C936" s="11">
        <f>Forecast_year_in</f>
        <v>2030</v>
      </c>
      <c r="D936" s="3" t="s">
        <v>262</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5">
      <c r="A937" s="102"/>
      <c r="B937" s="102" t="s">
        <v>69</v>
      </c>
      <c r="C937" s="102"/>
      <c r="D937" s="102">
        <f t="shared" ref="D937:AI937" si="214">(Forecast_year=year)*1</f>
        <v>0</v>
      </c>
      <c r="E937" s="102">
        <f t="shared" si="214"/>
        <v>0</v>
      </c>
      <c r="F937" s="102">
        <f t="shared" si="214"/>
        <v>0</v>
      </c>
      <c r="G937" s="102">
        <f>(Forecast_year=year)*1</f>
        <v>0</v>
      </c>
      <c r="H937" s="102">
        <f t="shared" si="214"/>
        <v>0</v>
      </c>
      <c r="I937" s="102">
        <f t="shared" si="214"/>
        <v>0</v>
      </c>
      <c r="J937" s="102">
        <f t="shared" si="214"/>
        <v>0</v>
      </c>
      <c r="K937" s="102">
        <f t="shared" si="214"/>
        <v>0</v>
      </c>
      <c r="L937" s="102">
        <f t="shared" si="214"/>
        <v>0</v>
      </c>
      <c r="M937" s="102">
        <f t="shared" si="214"/>
        <v>0</v>
      </c>
      <c r="N937" s="102">
        <f t="shared" si="214"/>
        <v>0</v>
      </c>
      <c r="O937" s="102">
        <f t="shared" si="214"/>
        <v>0</v>
      </c>
      <c r="P937" s="102">
        <f t="shared" si="214"/>
        <v>0</v>
      </c>
      <c r="Q937" s="102">
        <f t="shared" si="214"/>
        <v>0</v>
      </c>
      <c r="R937" s="102">
        <f t="shared" si="214"/>
        <v>0</v>
      </c>
      <c r="S937" s="102">
        <f t="shared" si="214"/>
        <v>0</v>
      </c>
      <c r="T937" s="102">
        <f t="shared" si="214"/>
        <v>0</v>
      </c>
      <c r="U937" s="102">
        <f t="shared" si="214"/>
        <v>0</v>
      </c>
      <c r="V937" s="102">
        <f t="shared" si="214"/>
        <v>0</v>
      </c>
      <c r="W937" s="102">
        <f t="shared" si="214"/>
        <v>0</v>
      </c>
      <c r="X937" s="102">
        <f t="shared" si="214"/>
        <v>1</v>
      </c>
      <c r="Y937" s="102">
        <f t="shared" si="214"/>
        <v>0</v>
      </c>
      <c r="Z937" s="102">
        <f t="shared" si="214"/>
        <v>0</v>
      </c>
      <c r="AA937" s="102">
        <f t="shared" si="214"/>
        <v>0</v>
      </c>
      <c r="AB937" s="102">
        <f t="shared" si="214"/>
        <v>0</v>
      </c>
      <c r="AC937" s="102">
        <f t="shared" si="214"/>
        <v>0</v>
      </c>
      <c r="AD937" s="102">
        <f t="shared" si="214"/>
        <v>0</v>
      </c>
      <c r="AE937" s="102">
        <f t="shared" si="214"/>
        <v>0</v>
      </c>
      <c r="AF937" s="102">
        <f t="shared" si="214"/>
        <v>0</v>
      </c>
      <c r="AG937" s="102">
        <f t="shared" si="214"/>
        <v>0</v>
      </c>
      <c r="AH937" s="102">
        <f t="shared" si="214"/>
        <v>0</v>
      </c>
      <c r="AI937" s="102">
        <f t="shared" si="214"/>
        <v>0</v>
      </c>
      <c r="AJ937" s="102">
        <f t="shared" ref="AJ937:BO937" si="215">(Forecast_year=year)*1</f>
        <v>0</v>
      </c>
      <c r="AK937" s="102">
        <f t="shared" si="215"/>
        <v>0</v>
      </c>
      <c r="AL937" s="102">
        <f t="shared" si="215"/>
        <v>0</v>
      </c>
      <c r="AM937" s="102">
        <f t="shared" si="215"/>
        <v>0</v>
      </c>
      <c r="AN937" s="102">
        <f t="shared" si="215"/>
        <v>0</v>
      </c>
      <c r="AO937" s="102">
        <f t="shared" si="215"/>
        <v>0</v>
      </c>
      <c r="AP937" s="102">
        <f t="shared" si="215"/>
        <v>0</v>
      </c>
      <c r="AQ937" s="102">
        <f t="shared" si="215"/>
        <v>0</v>
      </c>
      <c r="AR937" s="102">
        <f t="shared" si="215"/>
        <v>0</v>
      </c>
      <c r="AS937" s="102">
        <f t="shared" si="215"/>
        <v>0</v>
      </c>
      <c r="AT937" s="102">
        <f t="shared" si="215"/>
        <v>0</v>
      </c>
      <c r="AU937" s="102">
        <f t="shared" si="215"/>
        <v>0</v>
      </c>
      <c r="AV937" s="102">
        <f t="shared" si="215"/>
        <v>0</v>
      </c>
      <c r="AW937" s="102">
        <f t="shared" si="215"/>
        <v>0</v>
      </c>
      <c r="AX937" s="102">
        <f t="shared" si="215"/>
        <v>0</v>
      </c>
      <c r="AY937" s="102">
        <f t="shared" si="215"/>
        <v>0</v>
      </c>
      <c r="AZ937" s="102">
        <f t="shared" si="215"/>
        <v>0</v>
      </c>
      <c r="BA937" s="102">
        <f t="shared" si="215"/>
        <v>0</v>
      </c>
      <c r="BB937" s="102">
        <f t="shared" si="215"/>
        <v>0</v>
      </c>
      <c r="BC937" s="102">
        <f t="shared" si="215"/>
        <v>0</v>
      </c>
      <c r="BD937" s="102">
        <f t="shared" si="215"/>
        <v>0</v>
      </c>
      <c r="BE937" s="102">
        <f t="shared" si="215"/>
        <v>0</v>
      </c>
      <c r="BF937" s="102">
        <f t="shared" si="215"/>
        <v>0</v>
      </c>
      <c r="BG937" s="102">
        <f t="shared" si="215"/>
        <v>0</v>
      </c>
      <c r="BH937" s="102">
        <f t="shared" si="215"/>
        <v>0</v>
      </c>
      <c r="BI937" s="102">
        <f t="shared" si="215"/>
        <v>0</v>
      </c>
      <c r="BJ937" s="102">
        <f t="shared" si="215"/>
        <v>0</v>
      </c>
      <c r="BK937" s="102">
        <f t="shared" si="215"/>
        <v>0</v>
      </c>
      <c r="BL937" s="102">
        <f t="shared" si="215"/>
        <v>0</v>
      </c>
      <c r="BM937" s="102">
        <f t="shared" si="215"/>
        <v>0</v>
      </c>
      <c r="BN937" s="102">
        <f t="shared" si="215"/>
        <v>0</v>
      </c>
      <c r="BO937" s="102">
        <f t="shared" si="215"/>
        <v>0</v>
      </c>
      <c r="BP937" s="102">
        <f t="shared" ref="BP937:CP937" si="216">(Forecast_year=year)*1</f>
        <v>0</v>
      </c>
      <c r="BQ937" s="102">
        <f t="shared" si="216"/>
        <v>0</v>
      </c>
      <c r="BR937" s="102">
        <f t="shared" si="216"/>
        <v>0</v>
      </c>
      <c r="BS937" s="102">
        <f t="shared" si="216"/>
        <v>0</v>
      </c>
      <c r="BT937" s="102">
        <f t="shared" si="216"/>
        <v>0</v>
      </c>
      <c r="BU937" s="102">
        <f t="shared" si="216"/>
        <v>0</v>
      </c>
      <c r="BV937" s="102">
        <f t="shared" si="216"/>
        <v>0</v>
      </c>
      <c r="BW937" s="102">
        <f t="shared" si="216"/>
        <v>0</v>
      </c>
      <c r="BX937" s="102">
        <f t="shared" si="216"/>
        <v>0</v>
      </c>
      <c r="BY937" s="102">
        <f t="shared" si="216"/>
        <v>0</v>
      </c>
      <c r="BZ937" s="102">
        <f t="shared" si="216"/>
        <v>0</v>
      </c>
      <c r="CA937" s="102">
        <f t="shared" si="216"/>
        <v>0</v>
      </c>
      <c r="CB937" s="102">
        <f t="shared" si="216"/>
        <v>0</v>
      </c>
      <c r="CC937" s="102">
        <f t="shared" si="216"/>
        <v>0</v>
      </c>
      <c r="CD937" s="102">
        <f t="shared" si="216"/>
        <v>0</v>
      </c>
      <c r="CE937" s="102">
        <f t="shared" si="216"/>
        <v>0</v>
      </c>
      <c r="CF937" s="102">
        <f t="shared" si="216"/>
        <v>0</v>
      </c>
      <c r="CG937" s="102">
        <f t="shared" si="216"/>
        <v>0</v>
      </c>
      <c r="CH937" s="102">
        <f t="shared" si="216"/>
        <v>0</v>
      </c>
      <c r="CI937" s="102">
        <f t="shared" si="216"/>
        <v>0</v>
      </c>
      <c r="CJ937" s="102">
        <f t="shared" si="216"/>
        <v>0</v>
      </c>
      <c r="CK937" s="102">
        <f t="shared" si="216"/>
        <v>0</v>
      </c>
      <c r="CL937" s="102">
        <f t="shared" si="216"/>
        <v>0</v>
      </c>
      <c r="CM937" s="102">
        <f t="shared" si="216"/>
        <v>0</v>
      </c>
      <c r="CN937" s="102">
        <f t="shared" si="216"/>
        <v>0</v>
      </c>
      <c r="CO937" s="102">
        <f t="shared" si="216"/>
        <v>0</v>
      </c>
      <c r="CP937" s="102">
        <f t="shared" si="216"/>
        <v>0</v>
      </c>
      <c r="CQ937" s="3" t="s">
        <v>263</v>
      </c>
    </row>
    <row r="938" spans="1:95" ht="14.25" customHeight="1" x14ac:dyDescent="0.3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5">
      <c r="A939" s="102"/>
      <c r="B939" s="102" t="s">
        <v>264</v>
      </c>
      <c r="C939" s="102">
        <f>Forecast_year-Opening_year</f>
        <v>5</v>
      </c>
      <c r="D939" s="3" t="s">
        <v>265</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5">
      <c r="A940" s="102"/>
      <c r="B940" s="104" t="s">
        <v>266</v>
      </c>
      <c r="C940" s="102">
        <f>Appraisal_period_length_in</f>
        <v>60</v>
      </c>
      <c r="D940" s="3" t="s">
        <v>267</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5">
      <c r="A942" s="102"/>
      <c r="B942" s="102" t="s">
        <v>268</v>
      </c>
      <c r="C942" s="102"/>
      <c r="D942" s="102">
        <f>AND(Opening_year&lt;year,Forecast_year&gt;year)*1</f>
        <v>0</v>
      </c>
      <c r="E942" s="102">
        <f t="shared" ref="E942:AI942" si="217">AND(Opening_year&lt;year,Forecast_year&gt;year)*1</f>
        <v>0</v>
      </c>
      <c r="F942" s="102">
        <f t="shared" si="217"/>
        <v>0</v>
      </c>
      <c r="G942" s="102">
        <f t="shared" si="217"/>
        <v>0</v>
      </c>
      <c r="H942" s="102">
        <f t="shared" si="217"/>
        <v>0</v>
      </c>
      <c r="I942" s="102">
        <f t="shared" si="217"/>
        <v>0</v>
      </c>
      <c r="J942" s="102">
        <f t="shared" si="217"/>
        <v>0</v>
      </c>
      <c r="K942" s="102">
        <f t="shared" si="217"/>
        <v>0</v>
      </c>
      <c r="L942" s="102">
        <f t="shared" si="217"/>
        <v>0</v>
      </c>
      <c r="M942" s="102">
        <f t="shared" si="217"/>
        <v>0</v>
      </c>
      <c r="N942" s="102">
        <f t="shared" si="217"/>
        <v>0</v>
      </c>
      <c r="O942" s="102">
        <f t="shared" si="217"/>
        <v>0</v>
      </c>
      <c r="P942" s="102">
        <f t="shared" si="217"/>
        <v>0</v>
      </c>
      <c r="Q942" s="102">
        <f t="shared" si="217"/>
        <v>0</v>
      </c>
      <c r="R942" s="102">
        <f t="shared" si="217"/>
        <v>0</v>
      </c>
      <c r="S942" s="102">
        <f t="shared" si="217"/>
        <v>0</v>
      </c>
      <c r="T942" s="102">
        <f t="shared" si="217"/>
        <v>1</v>
      </c>
      <c r="U942" s="102">
        <f t="shared" si="217"/>
        <v>1</v>
      </c>
      <c r="V942" s="102">
        <f t="shared" si="217"/>
        <v>1</v>
      </c>
      <c r="W942" s="102">
        <f t="shared" si="217"/>
        <v>1</v>
      </c>
      <c r="X942" s="102">
        <f t="shared" si="217"/>
        <v>0</v>
      </c>
      <c r="Y942" s="102">
        <f t="shared" si="217"/>
        <v>0</v>
      </c>
      <c r="Z942" s="102">
        <f t="shared" si="217"/>
        <v>0</v>
      </c>
      <c r="AA942" s="102">
        <f t="shared" si="217"/>
        <v>0</v>
      </c>
      <c r="AB942" s="102">
        <f t="shared" si="217"/>
        <v>0</v>
      </c>
      <c r="AC942" s="102">
        <f t="shared" si="217"/>
        <v>0</v>
      </c>
      <c r="AD942" s="102">
        <f t="shared" si="217"/>
        <v>0</v>
      </c>
      <c r="AE942" s="102">
        <f t="shared" si="217"/>
        <v>0</v>
      </c>
      <c r="AF942" s="102">
        <f t="shared" si="217"/>
        <v>0</v>
      </c>
      <c r="AG942" s="102">
        <f t="shared" si="217"/>
        <v>0</v>
      </c>
      <c r="AH942" s="102">
        <f t="shared" si="217"/>
        <v>0</v>
      </c>
      <c r="AI942" s="102">
        <f t="shared" si="217"/>
        <v>0</v>
      </c>
      <c r="AJ942" s="102">
        <f t="shared" ref="AJ942:BO942" si="218">AND(Opening_year&lt;year,Forecast_year&gt;year)*1</f>
        <v>0</v>
      </c>
      <c r="AK942" s="102">
        <f t="shared" si="218"/>
        <v>0</v>
      </c>
      <c r="AL942" s="102">
        <f t="shared" si="218"/>
        <v>0</v>
      </c>
      <c r="AM942" s="102">
        <f t="shared" si="218"/>
        <v>0</v>
      </c>
      <c r="AN942" s="102">
        <f t="shared" si="218"/>
        <v>0</v>
      </c>
      <c r="AO942" s="102">
        <f t="shared" si="218"/>
        <v>0</v>
      </c>
      <c r="AP942" s="102">
        <f t="shared" si="218"/>
        <v>0</v>
      </c>
      <c r="AQ942" s="102">
        <f t="shared" si="218"/>
        <v>0</v>
      </c>
      <c r="AR942" s="102">
        <f t="shared" si="218"/>
        <v>0</v>
      </c>
      <c r="AS942" s="102">
        <f t="shared" si="218"/>
        <v>0</v>
      </c>
      <c r="AT942" s="102">
        <f t="shared" si="218"/>
        <v>0</v>
      </c>
      <c r="AU942" s="102">
        <f t="shared" si="218"/>
        <v>0</v>
      </c>
      <c r="AV942" s="102">
        <f t="shared" si="218"/>
        <v>0</v>
      </c>
      <c r="AW942" s="102">
        <f t="shared" si="218"/>
        <v>0</v>
      </c>
      <c r="AX942" s="102">
        <f t="shared" si="218"/>
        <v>0</v>
      </c>
      <c r="AY942" s="102">
        <f t="shared" si="218"/>
        <v>0</v>
      </c>
      <c r="AZ942" s="102">
        <f t="shared" si="218"/>
        <v>0</v>
      </c>
      <c r="BA942" s="102">
        <f t="shared" si="218"/>
        <v>0</v>
      </c>
      <c r="BB942" s="102">
        <f t="shared" si="218"/>
        <v>0</v>
      </c>
      <c r="BC942" s="102">
        <f t="shared" si="218"/>
        <v>0</v>
      </c>
      <c r="BD942" s="102">
        <f t="shared" si="218"/>
        <v>0</v>
      </c>
      <c r="BE942" s="102">
        <f t="shared" si="218"/>
        <v>0</v>
      </c>
      <c r="BF942" s="102">
        <f t="shared" si="218"/>
        <v>0</v>
      </c>
      <c r="BG942" s="102">
        <f t="shared" si="218"/>
        <v>0</v>
      </c>
      <c r="BH942" s="102">
        <f t="shared" si="218"/>
        <v>0</v>
      </c>
      <c r="BI942" s="102">
        <f t="shared" si="218"/>
        <v>0</v>
      </c>
      <c r="BJ942" s="102">
        <f t="shared" si="218"/>
        <v>0</v>
      </c>
      <c r="BK942" s="102">
        <f t="shared" si="218"/>
        <v>0</v>
      </c>
      <c r="BL942" s="102">
        <f t="shared" si="218"/>
        <v>0</v>
      </c>
      <c r="BM942" s="102">
        <f t="shared" si="218"/>
        <v>0</v>
      </c>
      <c r="BN942" s="102">
        <f t="shared" si="218"/>
        <v>0</v>
      </c>
      <c r="BO942" s="102">
        <f t="shared" si="218"/>
        <v>0</v>
      </c>
      <c r="BP942" s="102">
        <f t="shared" ref="BP942:CP942" si="219">AND(Opening_year&lt;year,Forecast_year&gt;year)*1</f>
        <v>0</v>
      </c>
      <c r="BQ942" s="102">
        <f t="shared" si="219"/>
        <v>0</v>
      </c>
      <c r="BR942" s="102">
        <f t="shared" si="219"/>
        <v>0</v>
      </c>
      <c r="BS942" s="102">
        <f t="shared" si="219"/>
        <v>0</v>
      </c>
      <c r="BT942" s="102">
        <f t="shared" si="219"/>
        <v>0</v>
      </c>
      <c r="BU942" s="102">
        <f t="shared" si="219"/>
        <v>0</v>
      </c>
      <c r="BV942" s="102">
        <f t="shared" si="219"/>
        <v>0</v>
      </c>
      <c r="BW942" s="102">
        <f t="shared" si="219"/>
        <v>0</v>
      </c>
      <c r="BX942" s="102">
        <f t="shared" si="219"/>
        <v>0</v>
      </c>
      <c r="BY942" s="102">
        <f t="shared" si="219"/>
        <v>0</v>
      </c>
      <c r="BZ942" s="102">
        <f t="shared" si="219"/>
        <v>0</v>
      </c>
      <c r="CA942" s="102">
        <f t="shared" si="219"/>
        <v>0</v>
      </c>
      <c r="CB942" s="102">
        <f t="shared" si="219"/>
        <v>0</v>
      </c>
      <c r="CC942" s="102">
        <f t="shared" si="219"/>
        <v>0</v>
      </c>
      <c r="CD942" s="102">
        <f t="shared" si="219"/>
        <v>0</v>
      </c>
      <c r="CE942" s="102">
        <f t="shared" si="219"/>
        <v>0</v>
      </c>
      <c r="CF942" s="102">
        <f t="shared" si="219"/>
        <v>0</v>
      </c>
      <c r="CG942" s="102">
        <f t="shared" si="219"/>
        <v>0</v>
      </c>
      <c r="CH942" s="102">
        <f t="shared" si="219"/>
        <v>0</v>
      </c>
      <c r="CI942" s="102">
        <f t="shared" si="219"/>
        <v>0</v>
      </c>
      <c r="CJ942" s="102">
        <f t="shared" si="219"/>
        <v>0</v>
      </c>
      <c r="CK942" s="102">
        <f t="shared" si="219"/>
        <v>0</v>
      </c>
      <c r="CL942" s="102">
        <f t="shared" si="219"/>
        <v>0</v>
      </c>
      <c r="CM942" s="102">
        <f t="shared" si="219"/>
        <v>0</v>
      </c>
      <c r="CN942" s="102">
        <f t="shared" si="219"/>
        <v>0</v>
      </c>
      <c r="CO942" s="102">
        <f t="shared" si="219"/>
        <v>0</v>
      </c>
      <c r="CP942" s="102">
        <f t="shared" si="219"/>
        <v>0</v>
      </c>
      <c r="CQ942" s="3" t="s">
        <v>269</v>
      </c>
    </row>
    <row r="943" spans="1:95" ht="14.25" customHeight="1" x14ac:dyDescent="0.3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5">
      <c r="A944" s="102"/>
      <c r="B944" s="102" t="s">
        <v>270</v>
      </c>
      <c r="C944" s="102"/>
      <c r="D944" s="102">
        <f>AND(year&gt;Forecast_year,year&lt;(Opening_year + Appraisal_period_length))*1</f>
        <v>0</v>
      </c>
      <c r="E944" s="102">
        <f t="shared" ref="E944:AI944" si="220">AND(year&gt;Forecast_year,year&lt;(Opening_year + Appraisal_period_length))*1</f>
        <v>0</v>
      </c>
      <c r="F944" s="102">
        <f t="shared" si="220"/>
        <v>0</v>
      </c>
      <c r="G944" s="102">
        <f t="shared" si="220"/>
        <v>0</v>
      </c>
      <c r="H944" s="102">
        <f t="shared" si="220"/>
        <v>0</v>
      </c>
      <c r="I944" s="102">
        <f t="shared" si="220"/>
        <v>0</v>
      </c>
      <c r="J944" s="102">
        <f t="shared" si="220"/>
        <v>0</v>
      </c>
      <c r="K944" s="102">
        <f t="shared" si="220"/>
        <v>0</v>
      </c>
      <c r="L944" s="102">
        <f t="shared" si="220"/>
        <v>0</v>
      </c>
      <c r="M944" s="102">
        <f t="shared" si="220"/>
        <v>0</v>
      </c>
      <c r="N944" s="102">
        <f t="shared" si="220"/>
        <v>0</v>
      </c>
      <c r="O944" s="102">
        <f t="shared" si="220"/>
        <v>0</v>
      </c>
      <c r="P944" s="102">
        <f t="shared" si="220"/>
        <v>0</v>
      </c>
      <c r="Q944" s="102">
        <f t="shared" si="220"/>
        <v>0</v>
      </c>
      <c r="R944" s="102">
        <f t="shared" si="220"/>
        <v>0</v>
      </c>
      <c r="S944" s="102">
        <f t="shared" si="220"/>
        <v>0</v>
      </c>
      <c r="T944" s="102">
        <f t="shared" si="220"/>
        <v>0</v>
      </c>
      <c r="U944" s="102">
        <f t="shared" si="220"/>
        <v>0</v>
      </c>
      <c r="V944" s="102">
        <f t="shared" si="220"/>
        <v>0</v>
      </c>
      <c r="W944" s="102">
        <f t="shared" si="220"/>
        <v>0</v>
      </c>
      <c r="X944" s="102">
        <f t="shared" si="220"/>
        <v>0</v>
      </c>
      <c r="Y944" s="102">
        <f t="shared" si="220"/>
        <v>1</v>
      </c>
      <c r="Z944" s="102">
        <f t="shared" si="220"/>
        <v>1</v>
      </c>
      <c r="AA944" s="102">
        <f t="shared" si="220"/>
        <v>1</v>
      </c>
      <c r="AB944" s="102">
        <f t="shared" si="220"/>
        <v>1</v>
      </c>
      <c r="AC944" s="102">
        <f t="shared" si="220"/>
        <v>1</v>
      </c>
      <c r="AD944" s="102">
        <f t="shared" si="220"/>
        <v>1</v>
      </c>
      <c r="AE944" s="102">
        <f t="shared" si="220"/>
        <v>1</v>
      </c>
      <c r="AF944" s="102">
        <f t="shared" si="220"/>
        <v>1</v>
      </c>
      <c r="AG944" s="102">
        <f t="shared" si="220"/>
        <v>1</v>
      </c>
      <c r="AH944" s="102">
        <f t="shared" si="220"/>
        <v>1</v>
      </c>
      <c r="AI944" s="102">
        <f t="shared" si="220"/>
        <v>1</v>
      </c>
      <c r="AJ944" s="102">
        <f t="shared" ref="AJ944:BO944" si="221">AND(year&gt;Forecast_year,year&lt;(Opening_year + Appraisal_period_length))*1</f>
        <v>1</v>
      </c>
      <c r="AK944" s="102">
        <f t="shared" si="221"/>
        <v>1</v>
      </c>
      <c r="AL944" s="102">
        <f t="shared" si="221"/>
        <v>1</v>
      </c>
      <c r="AM944" s="102">
        <f t="shared" si="221"/>
        <v>1</v>
      </c>
      <c r="AN944" s="102">
        <f t="shared" si="221"/>
        <v>1</v>
      </c>
      <c r="AO944" s="102">
        <f t="shared" si="221"/>
        <v>1</v>
      </c>
      <c r="AP944" s="102">
        <f t="shared" si="221"/>
        <v>1</v>
      </c>
      <c r="AQ944" s="102">
        <f t="shared" si="221"/>
        <v>1</v>
      </c>
      <c r="AR944" s="102">
        <f t="shared" si="221"/>
        <v>1</v>
      </c>
      <c r="AS944" s="102">
        <f t="shared" si="221"/>
        <v>1</v>
      </c>
      <c r="AT944" s="102">
        <f t="shared" si="221"/>
        <v>1</v>
      </c>
      <c r="AU944" s="102">
        <f t="shared" si="221"/>
        <v>1</v>
      </c>
      <c r="AV944" s="102">
        <f t="shared" si="221"/>
        <v>1</v>
      </c>
      <c r="AW944" s="102">
        <f t="shared" si="221"/>
        <v>1</v>
      </c>
      <c r="AX944" s="102">
        <f t="shared" si="221"/>
        <v>1</v>
      </c>
      <c r="AY944" s="102">
        <f t="shared" si="221"/>
        <v>1</v>
      </c>
      <c r="AZ944" s="102">
        <f t="shared" si="221"/>
        <v>1</v>
      </c>
      <c r="BA944" s="102">
        <f t="shared" si="221"/>
        <v>1</v>
      </c>
      <c r="BB944" s="102">
        <f t="shared" si="221"/>
        <v>1</v>
      </c>
      <c r="BC944" s="102">
        <f t="shared" si="221"/>
        <v>1</v>
      </c>
      <c r="BD944" s="102">
        <f t="shared" si="221"/>
        <v>1</v>
      </c>
      <c r="BE944" s="102">
        <f t="shared" si="221"/>
        <v>1</v>
      </c>
      <c r="BF944" s="102">
        <f t="shared" si="221"/>
        <v>1</v>
      </c>
      <c r="BG944" s="102">
        <f t="shared" si="221"/>
        <v>1</v>
      </c>
      <c r="BH944" s="102">
        <f t="shared" si="221"/>
        <v>1</v>
      </c>
      <c r="BI944" s="102">
        <f t="shared" si="221"/>
        <v>1</v>
      </c>
      <c r="BJ944" s="102">
        <f t="shared" si="221"/>
        <v>1</v>
      </c>
      <c r="BK944" s="102">
        <f t="shared" si="221"/>
        <v>1</v>
      </c>
      <c r="BL944" s="102">
        <f t="shared" si="221"/>
        <v>1</v>
      </c>
      <c r="BM944" s="102">
        <f t="shared" si="221"/>
        <v>1</v>
      </c>
      <c r="BN944" s="102">
        <f t="shared" si="221"/>
        <v>1</v>
      </c>
      <c r="BO944" s="102">
        <f t="shared" si="221"/>
        <v>1</v>
      </c>
      <c r="BP944" s="102">
        <f t="shared" ref="BP944:CP944" si="222">AND(year&gt;Forecast_year,year&lt;(Opening_year + Appraisal_period_length))*1</f>
        <v>1</v>
      </c>
      <c r="BQ944" s="102">
        <f t="shared" si="222"/>
        <v>1</v>
      </c>
      <c r="BR944" s="102">
        <f t="shared" si="222"/>
        <v>1</v>
      </c>
      <c r="BS944" s="102">
        <f t="shared" si="222"/>
        <v>1</v>
      </c>
      <c r="BT944" s="102">
        <f t="shared" si="222"/>
        <v>1</v>
      </c>
      <c r="BU944" s="102">
        <f t="shared" si="222"/>
        <v>1</v>
      </c>
      <c r="BV944" s="102">
        <f t="shared" si="222"/>
        <v>1</v>
      </c>
      <c r="BW944" s="102">
        <f t="shared" si="222"/>
        <v>1</v>
      </c>
      <c r="BX944" s="102">
        <f t="shared" si="222"/>
        <v>1</v>
      </c>
      <c r="BY944" s="102">
        <f t="shared" si="222"/>
        <v>1</v>
      </c>
      <c r="BZ944" s="102">
        <f t="shared" si="222"/>
        <v>1</v>
      </c>
      <c r="CA944" s="102">
        <f t="shared" si="222"/>
        <v>0</v>
      </c>
      <c r="CB944" s="102">
        <f t="shared" si="222"/>
        <v>0</v>
      </c>
      <c r="CC944" s="102">
        <f t="shared" si="222"/>
        <v>0</v>
      </c>
      <c r="CD944" s="102">
        <f t="shared" si="222"/>
        <v>0</v>
      </c>
      <c r="CE944" s="102">
        <f t="shared" si="222"/>
        <v>0</v>
      </c>
      <c r="CF944" s="102">
        <f t="shared" si="222"/>
        <v>0</v>
      </c>
      <c r="CG944" s="102">
        <f t="shared" si="222"/>
        <v>0</v>
      </c>
      <c r="CH944" s="102">
        <f t="shared" si="222"/>
        <v>0</v>
      </c>
      <c r="CI944" s="102">
        <f t="shared" si="222"/>
        <v>0</v>
      </c>
      <c r="CJ944" s="102">
        <f t="shared" si="222"/>
        <v>0</v>
      </c>
      <c r="CK944" s="102">
        <f t="shared" si="222"/>
        <v>0</v>
      </c>
      <c r="CL944" s="102">
        <f t="shared" si="222"/>
        <v>0</v>
      </c>
      <c r="CM944" s="102">
        <f t="shared" si="222"/>
        <v>0</v>
      </c>
      <c r="CN944" s="102">
        <f t="shared" si="222"/>
        <v>0</v>
      </c>
      <c r="CO944" s="102">
        <f t="shared" si="222"/>
        <v>0</v>
      </c>
      <c r="CP944" s="102">
        <f t="shared" si="222"/>
        <v>0</v>
      </c>
      <c r="CQ944" s="3" t="s">
        <v>271</v>
      </c>
    </row>
    <row r="945" spans="1:95" ht="14.25" customHeight="1" x14ac:dyDescent="0.3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5">
      <c r="A946" s="102"/>
      <c r="B946" s="102" t="s">
        <v>258</v>
      </c>
      <c r="C946" s="102"/>
      <c r="D946" s="102">
        <f>Opening_year_mask + Interpolation_mask + Forecast_year_mask + Extrapolation_mask</f>
        <v>0</v>
      </c>
      <c r="E946" s="102">
        <f t="shared" ref="E946:AI946" si="223">Opening_year_mask + Interpolation_mask + Forecast_year_mask + Extrapolation_mask</f>
        <v>0</v>
      </c>
      <c r="F946" s="102">
        <f t="shared" si="223"/>
        <v>0</v>
      </c>
      <c r="G946" s="102">
        <f t="shared" si="223"/>
        <v>0</v>
      </c>
      <c r="H946" s="102">
        <f t="shared" si="223"/>
        <v>0</v>
      </c>
      <c r="I946" s="102">
        <f t="shared" si="223"/>
        <v>0</v>
      </c>
      <c r="J946" s="102">
        <f t="shared" si="223"/>
        <v>0</v>
      </c>
      <c r="K946" s="102">
        <f t="shared" si="223"/>
        <v>0</v>
      </c>
      <c r="L946" s="102">
        <f t="shared" si="223"/>
        <v>0</v>
      </c>
      <c r="M946" s="102">
        <f t="shared" si="223"/>
        <v>0</v>
      </c>
      <c r="N946" s="102">
        <f t="shared" si="223"/>
        <v>0</v>
      </c>
      <c r="O946" s="102">
        <f t="shared" si="223"/>
        <v>0</v>
      </c>
      <c r="P946" s="102">
        <f t="shared" si="223"/>
        <v>0</v>
      </c>
      <c r="Q946" s="102">
        <f t="shared" si="223"/>
        <v>0</v>
      </c>
      <c r="R946" s="102">
        <f t="shared" si="223"/>
        <v>0</v>
      </c>
      <c r="S946" s="102">
        <f t="shared" si="223"/>
        <v>1</v>
      </c>
      <c r="T946" s="102">
        <f t="shared" si="223"/>
        <v>1</v>
      </c>
      <c r="U946" s="102">
        <f t="shared" si="223"/>
        <v>1</v>
      </c>
      <c r="V946" s="102">
        <f t="shared" si="223"/>
        <v>1</v>
      </c>
      <c r="W946" s="102">
        <f t="shared" si="223"/>
        <v>1</v>
      </c>
      <c r="X946" s="102">
        <f t="shared" si="223"/>
        <v>1</v>
      </c>
      <c r="Y946" s="102">
        <f t="shared" si="223"/>
        <v>1</v>
      </c>
      <c r="Z946" s="102">
        <f t="shared" si="223"/>
        <v>1</v>
      </c>
      <c r="AA946" s="102">
        <f t="shared" si="223"/>
        <v>1</v>
      </c>
      <c r="AB946" s="102">
        <f t="shared" si="223"/>
        <v>1</v>
      </c>
      <c r="AC946" s="102">
        <f t="shared" si="223"/>
        <v>1</v>
      </c>
      <c r="AD946" s="102">
        <f t="shared" si="223"/>
        <v>1</v>
      </c>
      <c r="AE946" s="102">
        <f t="shared" si="223"/>
        <v>1</v>
      </c>
      <c r="AF946" s="102">
        <f t="shared" si="223"/>
        <v>1</v>
      </c>
      <c r="AG946" s="102">
        <f t="shared" si="223"/>
        <v>1</v>
      </c>
      <c r="AH946" s="102">
        <f t="shared" si="223"/>
        <v>1</v>
      </c>
      <c r="AI946" s="102">
        <f t="shared" si="223"/>
        <v>1</v>
      </c>
      <c r="AJ946" s="102">
        <f t="shared" ref="AJ946:BO946" si="224">Opening_year_mask + Interpolation_mask + Forecast_year_mask + Extrapolation_mask</f>
        <v>1</v>
      </c>
      <c r="AK946" s="102">
        <f t="shared" si="224"/>
        <v>1</v>
      </c>
      <c r="AL946" s="102">
        <f t="shared" si="224"/>
        <v>1</v>
      </c>
      <c r="AM946" s="102">
        <f t="shared" si="224"/>
        <v>1</v>
      </c>
      <c r="AN946" s="102">
        <f t="shared" si="224"/>
        <v>1</v>
      </c>
      <c r="AO946" s="102">
        <f t="shared" si="224"/>
        <v>1</v>
      </c>
      <c r="AP946" s="102">
        <f t="shared" si="224"/>
        <v>1</v>
      </c>
      <c r="AQ946" s="102">
        <f t="shared" si="224"/>
        <v>1</v>
      </c>
      <c r="AR946" s="102">
        <f t="shared" si="224"/>
        <v>1</v>
      </c>
      <c r="AS946" s="102">
        <f t="shared" si="224"/>
        <v>1</v>
      </c>
      <c r="AT946" s="102">
        <f t="shared" si="224"/>
        <v>1</v>
      </c>
      <c r="AU946" s="102">
        <f t="shared" si="224"/>
        <v>1</v>
      </c>
      <c r="AV946" s="102">
        <f t="shared" si="224"/>
        <v>1</v>
      </c>
      <c r="AW946" s="102">
        <f t="shared" si="224"/>
        <v>1</v>
      </c>
      <c r="AX946" s="102">
        <f t="shared" si="224"/>
        <v>1</v>
      </c>
      <c r="AY946" s="102">
        <f t="shared" si="224"/>
        <v>1</v>
      </c>
      <c r="AZ946" s="102">
        <f t="shared" si="224"/>
        <v>1</v>
      </c>
      <c r="BA946" s="102">
        <f t="shared" si="224"/>
        <v>1</v>
      </c>
      <c r="BB946" s="102">
        <f t="shared" si="224"/>
        <v>1</v>
      </c>
      <c r="BC946" s="102">
        <f t="shared" si="224"/>
        <v>1</v>
      </c>
      <c r="BD946" s="102">
        <f t="shared" si="224"/>
        <v>1</v>
      </c>
      <c r="BE946" s="102">
        <f t="shared" si="224"/>
        <v>1</v>
      </c>
      <c r="BF946" s="102">
        <f t="shared" si="224"/>
        <v>1</v>
      </c>
      <c r="BG946" s="102">
        <f t="shared" si="224"/>
        <v>1</v>
      </c>
      <c r="BH946" s="102">
        <f t="shared" si="224"/>
        <v>1</v>
      </c>
      <c r="BI946" s="102">
        <f t="shared" si="224"/>
        <v>1</v>
      </c>
      <c r="BJ946" s="102">
        <f t="shared" si="224"/>
        <v>1</v>
      </c>
      <c r="BK946" s="102">
        <f t="shared" si="224"/>
        <v>1</v>
      </c>
      <c r="BL946" s="102">
        <f t="shared" si="224"/>
        <v>1</v>
      </c>
      <c r="BM946" s="102">
        <f t="shared" si="224"/>
        <v>1</v>
      </c>
      <c r="BN946" s="102">
        <f t="shared" si="224"/>
        <v>1</v>
      </c>
      <c r="BO946" s="102">
        <f t="shared" si="224"/>
        <v>1</v>
      </c>
      <c r="BP946" s="102">
        <f t="shared" ref="BP946:CP946" si="225">Opening_year_mask + Interpolation_mask + Forecast_year_mask + Extrapolation_mask</f>
        <v>1</v>
      </c>
      <c r="BQ946" s="102">
        <f t="shared" si="225"/>
        <v>1</v>
      </c>
      <c r="BR946" s="102">
        <f t="shared" si="225"/>
        <v>1</v>
      </c>
      <c r="BS946" s="102">
        <f t="shared" si="225"/>
        <v>1</v>
      </c>
      <c r="BT946" s="102">
        <f t="shared" si="225"/>
        <v>1</v>
      </c>
      <c r="BU946" s="102">
        <f t="shared" si="225"/>
        <v>1</v>
      </c>
      <c r="BV946" s="102">
        <f t="shared" si="225"/>
        <v>1</v>
      </c>
      <c r="BW946" s="102">
        <f t="shared" si="225"/>
        <v>1</v>
      </c>
      <c r="BX946" s="102">
        <f t="shared" si="225"/>
        <v>1</v>
      </c>
      <c r="BY946" s="102">
        <f t="shared" si="225"/>
        <v>1</v>
      </c>
      <c r="BZ946" s="102">
        <f t="shared" si="225"/>
        <v>1</v>
      </c>
      <c r="CA946" s="102">
        <f t="shared" si="225"/>
        <v>0</v>
      </c>
      <c r="CB946" s="102">
        <f t="shared" si="225"/>
        <v>0</v>
      </c>
      <c r="CC946" s="102">
        <f t="shared" si="225"/>
        <v>0</v>
      </c>
      <c r="CD946" s="102">
        <f t="shared" si="225"/>
        <v>0</v>
      </c>
      <c r="CE946" s="102">
        <f t="shared" si="225"/>
        <v>0</v>
      </c>
      <c r="CF946" s="102">
        <f t="shared" si="225"/>
        <v>0</v>
      </c>
      <c r="CG946" s="102">
        <f t="shared" si="225"/>
        <v>0</v>
      </c>
      <c r="CH946" s="102">
        <f t="shared" si="225"/>
        <v>0</v>
      </c>
      <c r="CI946" s="102">
        <f t="shared" si="225"/>
        <v>0</v>
      </c>
      <c r="CJ946" s="102">
        <f t="shared" si="225"/>
        <v>0</v>
      </c>
      <c r="CK946" s="102">
        <f t="shared" si="225"/>
        <v>0</v>
      </c>
      <c r="CL946" s="102">
        <f t="shared" si="225"/>
        <v>0</v>
      </c>
      <c r="CM946" s="102">
        <f t="shared" si="225"/>
        <v>0</v>
      </c>
      <c r="CN946" s="102">
        <f t="shared" si="225"/>
        <v>0</v>
      </c>
      <c r="CO946" s="102">
        <f t="shared" si="225"/>
        <v>0</v>
      </c>
      <c r="CP946" s="102">
        <f t="shared" si="225"/>
        <v>0</v>
      </c>
      <c r="CQ946" s="3" t="s">
        <v>272</v>
      </c>
    </row>
    <row r="947" spans="1:95" ht="14.25" customHeight="1" x14ac:dyDescent="0.3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5">
      <c r="A948" s="102"/>
      <c r="B948" s="102" t="s">
        <v>273</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5">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5">
      <c r="B950" s="5" t="s">
        <v>274</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5" x14ac:dyDescent="0.35">
      <c r="A953" s="102"/>
      <c r="B953" s="102" t="s">
        <v>67</v>
      </c>
      <c r="C953" s="102"/>
      <c r="D953" s="101">
        <f>Opening_year_sleep_disturbance_cost*Opening_year_mask</f>
        <v>0</v>
      </c>
      <c r="E953" s="101">
        <f t="shared" ref="E953:AI953" si="226">Opening_year_sleep_disturbance_cost*Opening_year_mask</f>
        <v>0</v>
      </c>
      <c r="F953" s="101">
        <f t="shared" si="226"/>
        <v>0</v>
      </c>
      <c r="G953" s="101">
        <f t="shared" si="226"/>
        <v>0</v>
      </c>
      <c r="H953" s="101">
        <f t="shared" si="226"/>
        <v>0</v>
      </c>
      <c r="I953" s="101">
        <f t="shared" si="226"/>
        <v>0</v>
      </c>
      <c r="J953" s="101">
        <f t="shared" si="226"/>
        <v>0</v>
      </c>
      <c r="K953" s="101">
        <f t="shared" si="226"/>
        <v>0</v>
      </c>
      <c r="L953" s="101">
        <f t="shared" si="226"/>
        <v>0</v>
      </c>
      <c r="M953" s="101">
        <f t="shared" si="226"/>
        <v>0</v>
      </c>
      <c r="N953" s="101">
        <f>Opening_year_sleep_disturbance_cost*Opening_year_mask</f>
        <v>0</v>
      </c>
      <c r="O953" s="101">
        <f t="shared" si="226"/>
        <v>0</v>
      </c>
      <c r="P953" s="101">
        <f t="shared" si="226"/>
        <v>0</v>
      </c>
      <c r="Q953" s="101">
        <f t="shared" si="226"/>
        <v>0</v>
      </c>
      <c r="R953" s="101">
        <f t="shared" si="226"/>
        <v>0</v>
      </c>
      <c r="S953" s="101">
        <f t="shared" si="226"/>
        <v>0</v>
      </c>
      <c r="T953" s="101">
        <f t="shared" si="226"/>
        <v>0</v>
      </c>
      <c r="U953" s="101">
        <f t="shared" si="226"/>
        <v>0</v>
      </c>
      <c r="V953" s="101">
        <f t="shared" si="226"/>
        <v>0</v>
      </c>
      <c r="W953" s="101">
        <f t="shared" si="226"/>
        <v>0</v>
      </c>
      <c r="X953" s="101">
        <f t="shared" si="226"/>
        <v>0</v>
      </c>
      <c r="Y953" s="101">
        <f t="shared" si="226"/>
        <v>0</v>
      </c>
      <c r="Z953" s="101">
        <f t="shared" si="226"/>
        <v>0</v>
      </c>
      <c r="AA953" s="101">
        <f t="shared" si="226"/>
        <v>0</v>
      </c>
      <c r="AB953" s="101">
        <f t="shared" si="226"/>
        <v>0</v>
      </c>
      <c r="AC953" s="101">
        <f t="shared" si="226"/>
        <v>0</v>
      </c>
      <c r="AD953" s="101">
        <f t="shared" si="226"/>
        <v>0</v>
      </c>
      <c r="AE953" s="101">
        <f t="shared" si="226"/>
        <v>0</v>
      </c>
      <c r="AF953" s="101">
        <f t="shared" si="226"/>
        <v>0</v>
      </c>
      <c r="AG953" s="101">
        <f t="shared" si="226"/>
        <v>0</v>
      </c>
      <c r="AH953" s="101">
        <f t="shared" si="226"/>
        <v>0</v>
      </c>
      <c r="AI953" s="101">
        <f t="shared" si="226"/>
        <v>0</v>
      </c>
      <c r="AJ953" s="101">
        <f t="shared" ref="AJ953:BO953" si="227">Opening_year_sleep_disturbance_cost*Opening_year_mask</f>
        <v>0</v>
      </c>
      <c r="AK953" s="101">
        <f t="shared" si="227"/>
        <v>0</v>
      </c>
      <c r="AL953" s="101">
        <f t="shared" si="227"/>
        <v>0</v>
      </c>
      <c r="AM953" s="101">
        <f t="shared" si="227"/>
        <v>0</v>
      </c>
      <c r="AN953" s="101">
        <f t="shared" si="227"/>
        <v>0</v>
      </c>
      <c r="AO953" s="101">
        <f t="shared" si="227"/>
        <v>0</v>
      </c>
      <c r="AP953" s="101">
        <f t="shared" si="227"/>
        <v>0</v>
      </c>
      <c r="AQ953" s="101">
        <f t="shared" si="227"/>
        <v>0</v>
      </c>
      <c r="AR953" s="101">
        <f t="shared" si="227"/>
        <v>0</v>
      </c>
      <c r="AS953" s="101">
        <f t="shared" si="227"/>
        <v>0</v>
      </c>
      <c r="AT953" s="101">
        <f t="shared" si="227"/>
        <v>0</v>
      </c>
      <c r="AU953" s="101">
        <f t="shared" si="227"/>
        <v>0</v>
      </c>
      <c r="AV953" s="101">
        <f t="shared" si="227"/>
        <v>0</v>
      </c>
      <c r="AW953" s="101">
        <f t="shared" si="227"/>
        <v>0</v>
      </c>
      <c r="AX953" s="101">
        <f t="shared" si="227"/>
        <v>0</v>
      </c>
      <c r="AY953" s="101">
        <f t="shared" si="227"/>
        <v>0</v>
      </c>
      <c r="AZ953" s="101">
        <f t="shared" si="227"/>
        <v>0</v>
      </c>
      <c r="BA953" s="101">
        <f t="shared" si="227"/>
        <v>0</v>
      </c>
      <c r="BB953" s="101">
        <f t="shared" si="227"/>
        <v>0</v>
      </c>
      <c r="BC953" s="101">
        <f t="shared" si="227"/>
        <v>0</v>
      </c>
      <c r="BD953" s="101">
        <f t="shared" si="227"/>
        <v>0</v>
      </c>
      <c r="BE953" s="101">
        <f t="shared" si="227"/>
        <v>0</v>
      </c>
      <c r="BF953" s="101">
        <f t="shared" si="227"/>
        <v>0</v>
      </c>
      <c r="BG953" s="101">
        <f t="shared" si="227"/>
        <v>0</v>
      </c>
      <c r="BH953" s="101">
        <f t="shared" si="227"/>
        <v>0</v>
      </c>
      <c r="BI953" s="101">
        <f t="shared" si="227"/>
        <v>0</v>
      </c>
      <c r="BJ953" s="101">
        <f t="shared" si="227"/>
        <v>0</v>
      </c>
      <c r="BK953" s="101">
        <f t="shared" si="227"/>
        <v>0</v>
      </c>
      <c r="BL953" s="101">
        <f t="shared" si="227"/>
        <v>0</v>
      </c>
      <c r="BM953" s="101">
        <f t="shared" si="227"/>
        <v>0</v>
      </c>
      <c r="BN953" s="101">
        <f t="shared" si="227"/>
        <v>0</v>
      </c>
      <c r="BO953" s="101">
        <f t="shared" si="227"/>
        <v>0</v>
      </c>
      <c r="BP953" s="101">
        <f t="shared" ref="BP953:CP953" si="228">Opening_year_sleep_disturbance_cost*Opening_year_mask</f>
        <v>0</v>
      </c>
      <c r="BQ953" s="101">
        <f t="shared" si="228"/>
        <v>0</v>
      </c>
      <c r="BR953" s="101">
        <f t="shared" si="228"/>
        <v>0</v>
      </c>
      <c r="BS953" s="101">
        <f t="shared" si="228"/>
        <v>0</v>
      </c>
      <c r="BT953" s="101">
        <f t="shared" si="228"/>
        <v>0</v>
      </c>
      <c r="BU953" s="101">
        <f t="shared" si="228"/>
        <v>0</v>
      </c>
      <c r="BV953" s="101">
        <f t="shared" si="228"/>
        <v>0</v>
      </c>
      <c r="BW953" s="101">
        <f t="shared" si="228"/>
        <v>0</v>
      </c>
      <c r="BX953" s="101">
        <f t="shared" si="228"/>
        <v>0</v>
      </c>
      <c r="BY953" s="101">
        <f t="shared" si="228"/>
        <v>0</v>
      </c>
      <c r="BZ953" s="101">
        <f t="shared" si="228"/>
        <v>0</v>
      </c>
      <c r="CA953" s="101">
        <f t="shared" si="228"/>
        <v>0</v>
      </c>
      <c r="CB953" s="101">
        <f t="shared" si="228"/>
        <v>0</v>
      </c>
      <c r="CC953" s="101">
        <f t="shared" si="228"/>
        <v>0</v>
      </c>
      <c r="CD953" s="101">
        <f t="shared" si="228"/>
        <v>0</v>
      </c>
      <c r="CE953" s="101">
        <f t="shared" si="228"/>
        <v>0</v>
      </c>
      <c r="CF953" s="101">
        <f t="shared" si="228"/>
        <v>0</v>
      </c>
      <c r="CG953" s="101">
        <f t="shared" si="228"/>
        <v>0</v>
      </c>
      <c r="CH953" s="101">
        <f t="shared" si="228"/>
        <v>0</v>
      </c>
      <c r="CI953" s="101">
        <f t="shared" si="228"/>
        <v>0</v>
      </c>
      <c r="CJ953" s="101">
        <f t="shared" si="228"/>
        <v>0</v>
      </c>
      <c r="CK953" s="101">
        <f t="shared" si="228"/>
        <v>0</v>
      </c>
      <c r="CL953" s="101">
        <f t="shared" si="228"/>
        <v>0</v>
      </c>
      <c r="CM953" s="101">
        <f t="shared" si="228"/>
        <v>0</v>
      </c>
      <c r="CN953" s="101">
        <f t="shared" si="228"/>
        <v>0</v>
      </c>
      <c r="CO953" s="101">
        <f t="shared" si="228"/>
        <v>0</v>
      </c>
      <c r="CP953" s="101">
        <f t="shared" si="228"/>
        <v>0</v>
      </c>
      <c r="CQ953" s="3" t="s">
        <v>275</v>
      </c>
    </row>
    <row r="954" spans="1:95" ht="14.5" x14ac:dyDescent="0.35">
      <c r="A954" s="102"/>
      <c r="B954" s="102" t="s">
        <v>69</v>
      </c>
      <c r="C954" s="102"/>
      <c r="D954" s="101">
        <f t="shared" ref="D954:AI954" si="229">Forecast_year_sleep_disturbance_cost*Forecast_year_mask</f>
        <v>0</v>
      </c>
      <c r="E954" s="101">
        <f t="shared" si="229"/>
        <v>0</v>
      </c>
      <c r="F954" s="101">
        <f t="shared" si="229"/>
        <v>0</v>
      </c>
      <c r="G954" s="101">
        <f t="shared" si="229"/>
        <v>0</v>
      </c>
      <c r="H954" s="101">
        <f t="shared" si="229"/>
        <v>0</v>
      </c>
      <c r="I954" s="101">
        <f t="shared" si="229"/>
        <v>0</v>
      </c>
      <c r="J954" s="101">
        <f t="shared" si="229"/>
        <v>0</v>
      </c>
      <c r="K954" s="101">
        <f t="shared" si="229"/>
        <v>0</v>
      </c>
      <c r="L954" s="101">
        <f t="shared" si="229"/>
        <v>0</v>
      </c>
      <c r="M954" s="101">
        <f t="shared" si="229"/>
        <v>0</v>
      </c>
      <c r="N954" s="101">
        <f t="shared" si="229"/>
        <v>0</v>
      </c>
      <c r="O954" s="101">
        <f t="shared" si="229"/>
        <v>0</v>
      </c>
      <c r="P954" s="101">
        <f t="shared" si="229"/>
        <v>0</v>
      </c>
      <c r="Q954" s="101">
        <f t="shared" si="229"/>
        <v>0</v>
      </c>
      <c r="R954" s="101">
        <f t="shared" si="229"/>
        <v>0</v>
      </c>
      <c r="S954" s="101">
        <f t="shared" si="229"/>
        <v>0</v>
      </c>
      <c r="T954" s="101">
        <f t="shared" si="229"/>
        <v>0</v>
      </c>
      <c r="U954" s="101">
        <f t="shared" si="229"/>
        <v>0</v>
      </c>
      <c r="V954" s="101">
        <f t="shared" si="229"/>
        <v>0</v>
      </c>
      <c r="W954" s="101">
        <f t="shared" si="229"/>
        <v>0</v>
      </c>
      <c r="X954" s="101">
        <f t="shared" si="229"/>
        <v>0</v>
      </c>
      <c r="Y954" s="101">
        <f t="shared" si="229"/>
        <v>0</v>
      </c>
      <c r="Z954" s="101">
        <f t="shared" si="229"/>
        <v>0</v>
      </c>
      <c r="AA954" s="101">
        <f t="shared" si="229"/>
        <v>0</v>
      </c>
      <c r="AB954" s="101">
        <f t="shared" si="229"/>
        <v>0</v>
      </c>
      <c r="AC954" s="101">
        <f t="shared" si="229"/>
        <v>0</v>
      </c>
      <c r="AD954" s="101">
        <f t="shared" si="229"/>
        <v>0</v>
      </c>
      <c r="AE954" s="101">
        <f t="shared" si="229"/>
        <v>0</v>
      </c>
      <c r="AF954" s="101">
        <f t="shared" si="229"/>
        <v>0</v>
      </c>
      <c r="AG954" s="101">
        <f t="shared" si="229"/>
        <v>0</v>
      </c>
      <c r="AH954" s="101">
        <f t="shared" si="229"/>
        <v>0</v>
      </c>
      <c r="AI954" s="101">
        <f t="shared" si="229"/>
        <v>0</v>
      </c>
      <c r="AJ954" s="101">
        <f t="shared" ref="AJ954:BO954" si="230">Forecast_year_sleep_disturbance_cost*Forecast_year_mask</f>
        <v>0</v>
      </c>
      <c r="AK954" s="101">
        <f t="shared" si="230"/>
        <v>0</v>
      </c>
      <c r="AL954" s="101">
        <f t="shared" si="230"/>
        <v>0</v>
      </c>
      <c r="AM954" s="101">
        <f t="shared" si="230"/>
        <v>0</v>
      </c>
      <c r="AN954" s="101">
        <f t="shared" si="230"/>
        <v>0</v>
      </c>
      <c r="AO954" s="101">
        <f t="shared" si="230"/>
        <v>0</v>
      </c>
      <c r="AP954" s="101">
        <f t="shared" si="230"/>
        <v>0</v>
      </c>
      <c r="AQ954" s="101">
        <f t="shared" si="230"/>
        <v>0</v>
      </c>
      <c r="AR954" s="101">
        <f t="shared" si="230"/>
        <v>0</v>
      </c>
      <c r="AS954" s="101">
        <f t="shared" si="230"/>
        <v>0</v>
      </c>
      <c r="AT954" s="101">
        <f t="shared" si="230"/>
        <v>0</v>
      </c>
      <c r="AU954" s="101">
        <f t="shared" si="230"/>
        <v>0</v>
      </c>
      <c r="AV954" s="101">
        <f t="shared" si="230"/>
        <v>0</v>
      </c>
      <c r="AW954" s="101">
        <f t="shared" si="230"/>
        <v>0</v>
      </c>
      <c r="AX954" s="101">
        <f t="shared" si="230"/>
        <v>0</v>
      </c>
      <c r="AY954" s="101">
        <f t="shared" si="230"/>
        <v>0</v>
      </c>
      <c r="AZ954" s="101">
        <f t="shared" si="230"/>
        <v>0</v>
      </c>
      <c r="BA954" s="101">
        <f t="shared" si="230"/>
        <v>0</v>
      </c>
      <c r="BB954" s="101">
        <f t="shared" si="230"/>
        <v>0</v>
      </c>
      <c r="BC954" s="101">
        <f t="shared" si="230"/>
        <v>0</v>
      </c>
      <c r="BD954" s="101">
        <f t="shared" si="230"/>
        <v>0</v>
      </c>
      <c r="BE954" s="101">
        <f t="shared" si="230"/>
        <v>0</v>
      </c>
      <c r="BF954" s="101">
        <f t="shared" si="230"/>
        <v>0</v>
      </c>
      <c r="BG954" s="101">
        <f t="shared" si="230"/>
        <v>0</v>
      </c>
      <c r="BH954" s="101">
        <f t="shared" si="230"/>
        <v>0</v>
      </c>
      <c r="BI954" s="101">
        <f t="shared" si="230"/>
        <v>0</v>
      </c>
      <c r="BJ954" s="101">
        <f t="shared" si="230"/>
        <v>0</v>
      </c>
      <c r="BK954" s="101">
        <f t="shared" si="230"/>
        <v>0</v>
      </c>
      <c r="BL954" s="101">
        <f t="shared" si="230"/>
        <v>0</v>
      </c>
      <c r="BM954" s="101">
        <f t="shared" si="230"/>
        <v>0</v>
      </c>
      <c r="BN954" s="101">
        <f t="shared" si="230"/>
        <v>0</v>
      </c>
      <c r="BO954" s="101">
        <f t="shared" si="230"/>
        <v>0</v>
      </c>
      <c r="BP954" s="101">
        <f t="shared" ref="BP954:CP954" si="231">Forecast_year_sleep_disturbance_cost*Forecast_year_mask</f>
        <v>0</v>
      </c>
      <c r="BQ954" s="101">
        <f t="shared" si="231"/>
        <v>0</v>
      </c>
      <c r="BR954" s="101">
        <f t="shared" si="231"/>
        <v>0</v>
      </c>
      <c r="BS954" s="101">
        <f t="shared" si="231"/>
        <v>0</v>
      </c>
      <c r="BT954" s="101">
        <f t="shared" si="231"/>
        <v>0</v>
      </c>
      <c r="BU954" s="101">
        <f t="shared" si="231"/>
        <v>0</v>
      </c>
      <c r="BV954" s="101">
        <f t="shared" si="231"/>
        <v>0</v>
      </c>
      <c r="BW954" s="101">
        <f t="shared" si="231"/>
        <v>0</v>
      </c>
      <c r="BX954" s="101">
        <f t="shared" si="231"/>
        <v>0</v>
      </c>
      <c r="BY954" s="101">
        <f t="shared" si="231"/>
        <v>0</v>
      </c>
      <c r="BZ954" s="101">
        <f t="shared" si="231"/>
        <v>0</v>
      </c>
      <c r="CA954" s="101">
        <f t="shared" si="231"/>
        <v>0</v>
      </c>
      <c r="CB954" s="101">
        <f t="shared" si="231"/>
        <v>0</v>
      </c>
      <c r="CC954" s="101">
        <f t="shared" si="231"/>
        <v>0</v>
      </c>
      <c r="CD954" s="101">
        <f t="shared" si="231"/>
        <v>0</v>
      </c>
      <c r="CE954" s="101">
        <f t="shared" si="231"/>
        <v>0</v>
      </c>
      <c r="CF954" s="101">
        <f t="shared" si="231"/>
        <v>0</v>
      </c>
      <c r="CG954" s="101">
        <f t="shared" si="231"/>
        <v>0</v>
      </c>
      <c r="CH954" s="101">
        <f t="shared" si="231"/>
        <v>0</v>
      </c>
      <c r="CI954" s="101">
        <f t="shared" si="231"/>
        <v>0</v>
      </c>
      <c r="CJ954" s="101">
        <f t="shared" si="231"/>
        <v>0</v>
      </c>
      <c r="CK954" s="101">
        <f t="shared" si="231"/>
        <v>0</v>
      </c>
      <c r="CL954" s="101">
        <f t="shared" si="231"/>
        <v>0</v>
      </c>
      <c r="CM954" s="101">
        <f t="shared" si="231"/>
        <v>0</v>
      </c>
      <c r="CN954" s="101">
        <f t="shared" si="231"/>
        <v>0</v>
      </c>
      <c r="CO954" s="101">
        <f t="shared" si="231"/>
        <v>0</v>
      </c>
      <c r="CP954" s="101">
        <f t="shared" si="231"/>
        <v>0</v>
      </c>
      <c r="CQ954" s="3" t="s">
        <v>276</v>
      </c>
    </row>
    <row r="955" spans="1:95" ht="14.5" x14ac:dyDescent="0.35">
      <c r="A955" s="102"/>
      <c r="B955" s="102" t="s">
        <v>268</v>
      </c>
      <c r="C955" s="102"/>
      <c r="D955" s="101">
        <f t="shared" ref="D955:AI955" si="232">(Opening_year_sleep_disturbance_cost+(Difference_sleep_disturbance_cost)*(year-Opening_year)/(Forecast_and_opening_year_difference))*Interpolation_mask</f>
        <v>0</v>
      </c>
      <c r="E955" s="101">
        <f t="shared" si="232"/>
        <v>0</v>
      </c>
      <c r="F955" s="101">
        <f t="shared" si="232"/>
        <v>0</v>
      </c>
      <c r="G955" s="101">
        <f t="shared" si="232"/>
        <v>0</v>
      </c>
      <c r="H955" s="101">
        <f t="shared" si="232"/>
        <v>0</v>
      </c>
      <c r="I955" s="101">
        <f t="shared" si="232"/>
        <v>0</v>
      </c>
      <c r="J955" s="101">
        <f>(Opening_year_sleep_disturbance_cost+(Difference_sleep_disturbance_cost)*(year-Opening_year)/(Forecast_and_opening_year_difference))*Interpolation_mask</f>
        <v>0</v>
      </c>
      <c r="K955" s="101">
        <f t="shared" si="232"/>
        <v>0</v>
      </c>
      <c r="L955" s="101">
        <f t="shared" si="232"/>
        <v>0</v>
      </c>
      <c r="M955" s="101">
        <f t="shared" si="232"/>
        <v>0</v>
      </c>
      <c r="N955" s="101">
        <f t="shared" si="232"/>
        <v>0</v>
      </c>
      <c r="O955" s="101">
        <f t="shared" si="232"/>
        <v>0</v>
      </c>
      <c r="P955" s="101">
        <f t="shared" si="232"/>
        <v>0</v>
      </c>
      <c r="Q955" s="101">
        <f t="shared" si="232"/>
        <v>0</v>
      </c>
      <c r="R955" s="101">
        <f t="shared" si="232"/>
        <v>0</v>
      </c>
      <c r="S955" s="101">
        <f t="shared" si="232"/>
        <v>0</v>
      </c>
      <c r="T955" s="101">
        <f t="shared" si="232"/>
        <v>0</v>
      </c>
      <c r="U955" s="101">
        <f t="shared" si="232"/>
        <v>0</v>
      </c>
      <c r="V955" s="101">
        <f t="shared" si="232"/>
        <v>0</v>
      </c>
      <c r="W955" s="101">
        <f t="shared" si="232"/>
        <v>0</v>
      </c>
      <c r="X955" s="101">
        <f t="shared" si="232"/>
        <v>0</v>
      </c>
      <c r="Y955" s="101">
        <f t="shared" si="232"/>
        <v>0</v>
      </c>
      <c r="Z955" s="101">
        <f t="shared" si="232"/>
        <v>0</v>
      </c>
      <c r="AA955" s="101">
        <f t="shared" si="232"/>
        <v>0</v>
      </c>
      <c r="AB955" s="101">
        <f t="shared" si="232"/>
        <v>0</v>
      </c>
      <c r="AC955" s="101">
        <f t="shared" si="232"/>
        <v>0</v>
      </c>
      <c r="AD955" s="101">
        <f t="shared" si="232"/>
        <v>0</v>
      </c>
      <c r="AE955" s="101">
        <f t="shared" si="232"/>
        <v>0</v>
      </c>
      <c r="AF955" s="101">
        <f t="shared" si="232"/>
        <v>0</v>
      </c>
      <c r="AG955" s="101">
        <f t="shared" si="232"/>
        <v>0</v>
      </c>
      <c r="AH955" s="101">
        <f t="shared" si="232"/>
        <v>0</v>
      </c>
      <c r="AI955" s="101">
        <f t="shared" si="232"/>
        <v>0</v>
      </c>
      <c r="AJ955" s="101">
        <f t="shared" ref="AJ955:BO955" si="233">(Opening_year_sleep_disturbance_cost+(Difference_sleep_disturbance_cost)*(year-Opening_year)/(Forecast_and_opening_year_difference))*Interpolation_mask</f>
        <v>0</v>
      </c>
      <c r="AK955" s="101">
        <f t="shared" si="233"/>
        <v>0</v>
      </c>
      <c r="AL955" s="101">
        <f t="shared" si="233"/>
        <v>0</v>
      </c>
      <c r="AM955" s="101">
        <f t="shared" si="233"/>
        <v>0</v>
      </c>
      <c r="AN955" s="101">
        <f t="shared" si="233"/>
        <v>0</v>
      </c>
      <c r="AO955" s="101">
        <f t="shared" si="233"/>
        <v>0</v>
      </c>
      <c r="AP955" s="101">
        <f t="shared" si="233"/>
        <v>0</v>
      </c>
      <c r="AQ955" s="101">
        <f t="shared" si="233"/>
        <v>0</v>
      </c>
      <c r="AR955" s="101">
        <f t="shared" si="233"/>
        <v>0</v>
      </c>
      <c r="AS955" s="101">
        <f t="shared" si="233"/>
        <v>0</v>
      </c>
      <c r="AT955" s="101">
        <f t="shared" si="233"/>
        <v>0</v>
      </c>
      <c r="AU955" s="101">
        <f t="shared" si="233"/>
        <v>0</v>
      </c>
      <c r="AV955" s="101">
        <f t="shared" si="233"/>
        <v>0</v>
      </c>
      <c r="AW955" s="101">
        <f t="shared" si="233"/>
        <v>0</v>
      </c>
      <c r="AX955" s="101">
        <f t="shared" si="233"/>
        <v>0</v>
      </c>
      <c r="AY955" s="101">
        <f t="shared" si="233"/>
        <v>0</v>
      </c>
      <c r="AZ955" s="101">
        <f t="shared" si="233"/>
        <v>0</v>
      </c>
      <c r="BA955" s="101">
        <f t="shared" si="233"/>
        <v>0</v>
      </c>
      <c r="BB955" s="101">
        <f t="shared" si="233"/>
        <v>0</v>
      </c>
      <c r="BC955" s="101">
        <f t="shared" si="233"/>
        <v>0</v>
      </c>
      <c r="BD955" s="101">
        <f t="shared" si="233"/>
        <v>0</v>
      </c>
      <c r="BE955" s="101">
        <f t="shared" si="233"/>
        <v>0</v>
      </c>
      <c r="BF955" s="101">
        <f t="shared" si="233"/>
        <v>0</v>
      </c>
      <c r="BG955" s="101">
        <f t="shared" si="233"/>
        <v>0</v>
      </c>
      <c r="BH955" s="101">
        <f t="shared" si="233"/>
        <v>0</v>
      </c>
      <c r="BI955" s="101">
        <f t="shared" si="233"/>
        <v>0</v>
      </c>
      <c r="BJ955" s="101">
        <f t="shared" si="233"/>
        <v>0</v>
      </c>
      <c r="BK955" s="101">
        <f t="shared" si="233"/>
        <v>0</v>
      </c>
      <c r="BL955" s="101">
        <f t="shared" si="233"/>
        <v>0</v>
      </c>
      <c r="BM955" s="101">
        <f t="shared" si="233"/>
        <v>0</v>
      </c>
      <c r="BN955" s="101">
        <f t="shared" si="233"/>
        <v>0</v>
      </c>
      <c r="BO955" s="101">
        <f t="shared" si="233"/>
        <v>0</v>
      </c>
      <c r="BP955" s="101">
        <f t="shared" ref="BP955:CP955" si="234">(Opening_year_sleep_disturbance_cost+(Difference_sleep_disturbance_cost)*(year-Opening_year)/(Forecast_and_opening_year_difference))*Interpolation_mask</f>
        <v>0</v>
      </c>
      <c r="BQ955" s="101">
        <f t="shared" si="234"/>
        <v>0</v>
      </c>
      <c r="BR955" s="101">
        <f t="shared" si="234"/>
        <v>0</v>
      </c>
      <c r="BS955" s="101">
        <f t="shared" si="234"/>
        <v>0</v>
      </c>
      <c r="BT955" s="101">
        <f t="shared" si="234"/>
        <v>0</v>
      </c>
      <c r="BU955" s="101">
        <f t="shared" si="234"/>
        <v>0</v>
      </c>
      <c r="BV955" s="101">
        <f t="shared" si="234"/>
        <v>0</v>
      </c>
      <c r="BW955" s="101">
        <f t="shared" si="234"/>
        <v>0</v>
      </c>
      <c r="BX955" s="101">
        <f t="shared" si="234"/>
        <v>0</v>
      </c>
      <c r="BY955" s="101">
        <f t="shared" si="234"/>
        <v>0</v>
      </c>
      <c r="BZ955" s="101">
        <f t="shared" si="234"/>
        <v>0</v>
      </c>
      <c r="CA955" s="101">
        <f t="shared" si="234"/>
        <v>0</v>
      </c>
      <c r="CB955" s="101">
        <f t="shared" si="234"/>
        <v>0</v>
      </c>
      <c r="CC955" s="101">
        <f t="shared" si="234"/>
        <v>0</v>
      </c>
      <c r="CD955" s="101">
        <f t="shared" si="234"/>
        <v>0</v>
      </c>
      <c r="CE955" s="101">
        <f t="shared" si="234"/>
        <v>0</v>
      </c>
      <c r="CF955" s="101">
        <f t="shared" si="234"/>
        <v>0</v>
      </c>
      <c r="CG955" s="101">
        <f t="shared" si="234"/>
        <v>0</v>
      </c>
      <c r="CH955" s="101">
        <f t="shared" si="234"/>
        <v>0</v>
      </c>
      <c r="CI955" s="101">
        <f t="shared" si="234"/>
        <v>0</v>
      </c>
      <c r="CJ955" s="101">
        <f t="shared" si="234"/>
        <v>0</v>
      </c>
      <c r="CK955" s="101">
        <f t="shared" si="234"/>
        <v>0</v>
      </c>
      <c r="CL955" s="101">
        <f t="shared" si="234"/>
        <v>0</v>
      </c>
      <c r="CM955" s="101">
        <f t="shared" si="234"/>
        <v>0</v>
      </c>
      <c r="CN955" s="101">
        <f t="shared" si="234"/>
        <v>0</v>
      </c>
      <c r="CO955" s="101">
        <f t="shared" si="234"/>
        <v>0</v>
      </c>
      <c r="CP955" s="101">
        <f t="shared" si="234"/>
        <v>0</v>
      </c>
      <c r="CQ955" s="3" t="s">
        <v>277</v>
      </c>
    </row>
    <row r="956" spans="1:95" ht="14.5" x14ac:dyDescent="0.35">
      <c r="A956" s="102"/>
      <c r="B956" s="102" t="s">
        <v>270</v>
      </c>
      <c r="C956" s="102"/>
      <c r="D956" s="101">
        <f t="shared" ref="D956:AI956" si="235">Forecast_year_sleep_disturbance_cost*Extrapolation_mask</f>
        <v>0</v>
      </c>
      <c r="E956" s="101">
        <f t="shared" si="235"/>
        <v>0</v>
      </c>
      <c r="F956" s="101">
        <f t="shared" si="235"/>
        <v>0</v>
      </c>
      <c r="G956" s="101">
        <f t="shared" si="235"/>
        <v>0</v>
      </c>
      <c r="H956" s="101">
        <f t="shared" si="235"/>
        <v>0</v>
      </c>
      <c r="I956" s="101">
        <f t="shared" si="235"/>
        <v>0</v>
      </c>
      <c r="J956" s="101">
        <f t="shared" si="235"/>
        <v>0</v>
      </c>
      <c r="K956" s="101">
        <f t="shared" si="235"/>
        <v>0</v>
      </c>
      <c r="L956" s="101">
        <f t="shared" si="235"/>
        <v>0</v>
      </c>
      <c r="M956" s="101">
        <f t="shared" si="235"/>
        <v>0</v>
      </c>
      <c r="N956" s="101">
        <f t="shared" si="235"/>
        <v>0</v>
      </c>
      <c r="O956" s="101">
        <f t="shared" si="235"/>
        <v>0</v>
      </c>
      <c r="P956" s="101">
        <f t="shared" si="235"/>
        <v>0</v>
      </c>
      <c r="Q956" s="101">
        <f t="shared" si="235"/>
        <v>0</v>
      </c>
      <c r="R956" s="101">
        <f t="shared" si="235"/>
        <v>0</v>
      </c>
      <c r="S956" s="101">
        <f t="shared" si="235"/>
        <v>0</v>
      </c>
      <c r="T956" s="101">
        <f t="shared" si="235"/>
        <v>0</v>
      </c>
      <c r="U956" s="101">
        <f t="shared" si="235"/>
        <v>0</v>
      </c>
      <c r="V956" s="101">
        <f t="shared" si="235"/>
        <v>0</v>
      </c>
      <c r="W956" s="101">
        <f t="shared" si="235"/>
        <v>0</v>
      </c>
      <c r="X956" s="101">
        <f t="shared" si="235"/>
        <v>0</v>
      </c>
      <c r="Y956" s="101">
        <f t="shared" si="235"/>
        <v>0</v>
      </c>
      <c r="Z956" s="101">
        <f t="shared" si="235"/>
        <v>0</v>
      </c>
      <c r="AA956" s="101">
        <f t="shared" si="235"/>
        <v>0</v>
      </c>
      <c r="AB956" s="101">
        <f t="shared" si="235"/>
        <v>0</v>
      </c>
      <c r="AC956" s="101">
        <f t="shared" si="235"/>
        <v>0</v>
      </c>
      <c r="AD956" s="101">
        <f t="shared" si="235"/>
        <v>0</v>
      </c>
      <c r="AE956" s="101">
        <f t="shared" si="235"/>
        <v>0</v>
      </c>
      <c r="AF956" s="101">
        <f t="shared" si="235"/>
        <v>0</v>
      </c>
      <c r="AG956" s="101">
        <f t="shared" si="235"/>
        <v>0</v>
      </c>
      <c r="AH956" s="101">
        <f t="shared" si="235"/>
        <v>0</v>
      </c>
      <c r="AI956" s="101">
        <f t="shared" si="235"/>
        <v>0</v>
      </c>
      <c r="AJ956" s="101">
        <f t="shared" ref="AJ956:BO956" si="236">Forecast_year_sleep_disturbance_cost*Extrapolation_mask</f>
        <v>0</v>
      </c>
      <c r="AK956" s="101">
        <f t="shared" si="236"/>
        <v>0</v>
      </c>
      <c r="AL956" s="101">
        <f t="shared" si="236"/>
        <v>0</v>
      </c>
      <c r="AM956" s="101">
        <f t="shared" si="236"/>
        <v>0</v>
      </c>
      <c r="AN956" s="101">
        <f t="shared" si="236"/>
        <v>0</v>
      </c>
      <c r="AO956" s="101">
        <f t="shared" si="236"/>
        <v>0</v>
      </c>
      <c r="AP956" s="101">
        <f t="shared" si="236"/>
        <v>0</v>
      </c>
      <c r="AQ956" s="101">
        <f t="shared" si="236"/>
        <v>0</v>
      </c>
      <c r="AR956" s="101">
        <f t="shared" si="236"/>
        <v>0</v>
      </c>
      <c r="AS956" s="101">
        <f t="shared" si="236"/>
        <v>0</v>
      </c>
      <c r="AT956" s="101">
        <f t="shared" si="236"/>
        <v>0</v>
      </c>
      <c r="AU956" s="101">
        <f t="shared" si="236"/>
        <v>0</v>
      </c>
      <c r="AV956" s="101">
        <f t="shared" si="236"/>
        <v>0</v>
      </c>
      <c r="AW956" s="101">
        <f t="shared" si="236"/>
        <v>0</v>
      </c>
      <c r="AX956" s="101">
        <f t="shared" si="236"/>
        <v>0</v>
      </c>
      <c r="AY956" s="101">
        <f t="shared" si="236"/>
        <v>0</v>
      </c>
      <c r="AZ956" s="101">
        <f t="shared" si="236"/>
        <v>0</v>
      </c>
      <c r="BA956" s="101">
        <f t="shared" si="236"/>
        <v>0</v>
      </c>
      <c r="BB956" s="101">
        <f t="shared" si="236"/>
        <v>0</v>
      </c>
      <c r="BC956" s="101">
        <f t="shared" si="236"/>
        <v>0</v>
      </c>
      <c r="BD956" s="101">
        <f t="shared" si="236"/>
        <v>0</v>
      </c>
      <c r="BE956" s="101">
        <f t="shared" si="236"/>
        <v>0</v>
      </c>
      <c r="BF956" s="101">
        <f t="shared" si="236"/>
        <v>0</v>
      </c>
      <c r="BG956" s="101">
        <f t="shared" si="236"/>
        <v>0</v>
      </c>
      <c r="BH956" s="101">
        <f t="shared" si="236"/>
        <v>0</v>
      </c>
      <c r="BI956" s="101">
        <f t="shared" si="236"/>
        <v>0</v>
      </c>
      <c r="BJ956" s="101">
        <f t="shared" si="236"/>
        <v>0</v>
      </c>
      <c r="BK956" s="101">
        <f t="shared" si="236"/>
        <v>0</v>
      </c>
      <c r="BL956" s="101">
        <f t="shared" si="236"/>
        <v>0</v>
      </c>
      <c r="BM956" s="101">
        <f t="shared" si="236"/>
        <v>0</v>
      </c>
      <c r="BN956" s="101">
        <f t="shared" si="236"/>
        <v>0</v>
      </c>
      <c r="BO956" s="101">
        <f t="shared" si="236"/>
        <v>0</v>
      </c>
      <c r="BP956" s="101">
        <f t="shared" ref="BP956:CP956" si="237">Forecast_year_sleep_disturbance_cost*Extrapolation_mask</f>
        <v>0</v>
      </c>
      <c r="BQ956" s="101">
        <f t="shared" si="237"/>
        <v>0</v>
      </c>
      <c r="BR956" s="101">
        <f t="shared" si="237"/>
        <v>0</v>
      </c>
      <c r="BS956" s="101">
        <f t="shared" si="237"/>
        <v>0</v>
      </c>
      <c r="BT956" s="101">
        <f t="shared" si="237"/>
        <v>0</v>
      </c>
      <c r="BU956" s="101">
        <f t="shared" si="237"/>
        <v>0</v>
      </c>
      <c r="BV956" s="101">
        <f t="shared" si="237"/>
        <v>0</v>
      </c>
      <c r="BW956" s="101">
        <f t="shared" si="237"/>
        <v>0</v>
      </c>
      <c r="BX956" s="101">
        <f t="shared" si="237"/>
        <v>0</v>
      </c>
      <c r="BY956" s="101">
        <f t="shared" si="237"/>
        <v>0</v>
      </c>
      <c r="BZ956" s="101">
        <f t="shared" si="237"/>
        <v>0</v>
      </c>
      <c r="CA956" s="101">
        <f t="shared" si="237"/>
        <v>0</v>
      </c>
      <c r="CB956" s="101">
        <f t="shared" si="237"/>
        <v>0</v>
      </c>
      <c r="CC956" s="101">
        <f t="shared" si="237"/>
        <v>0</v>
      </c>
      <c r="CD956" s="101">
        <f t="shared" si="237"/>
        <v>0</v>
      </c>
      <c r="CE956" s="101">
        <f t="shared" si="237"/>
        <v>0</v>
      </c>
      <c r="CF956" s="101">
        <f t="shared" si="237"/>
        <v>0</v>
      </c>
      <c r="CG956" s="101">
        <f t="shared" si="237"/>
        <v>0</v>
      </c>
      <c r="CH956" s="101">
        <f t="shared" si="237"/>
        <v>0</v>
      </c>
      <c r="CI956" s="101">
        <f t="shared" si="237"/>
        <v>0</v>
      </c>
      <c r="CJ956" s="101">
        <f t="shared" si="237"/>
        <v>0</v>
      </c>
      <c r="CK956" s="101">
        <f t="shared" si="237"/>
        <v>0</v>
      </c>
      <c r="CL956" s="101">
        <f t="shared" si="237"/>
        <v>0</v>
      </c>
      <c r="CM956" s="101">
        <f t="shared" si="237"/>
        <v>0</v>
      </c>
      <c r="CN956" s="101">
        <f t="shared" si="237"/>
        <v>0</v>
      </c>
      <c r="CO956" s="101">
        <f t="shared" si="237"/>
        <v>0</v>
      </c>
      <c r="CP956" s="101">
        <f t="shared" si="237"/>
        <v>0</v>
      </c>
      <c r="CQ956" s="3" t="s">
        <v>278</v>
      </c>
    </row>
    <row r="957" spans="1:95" ht="14.5" x14ac:dyDescent="0.35">
      <c r="A957" s="102"/>
      <c r="B957" s="102" t="s">
        <v>279</v>
      </c>
      <c r="C957" s="102"/>
      <c r="D957" s="101">
        <f>Opening_year_sleep_disturbance_cost_mask+Forecast_year_sleep_disturbance_cost_mask+Interpolation_sleep_disturbance_cost_mask+Extrapolation_sleep_disturbance_cost_mask</f>
        <v>0</v>
      </c>
      <c r="E957" s="101">
        <f t="shared" ref="E957:AJ957" si="238">Opening_year_sleep_disturbance_cost_mask+Forecast_year_sleep_disturbance_mask+Interpolation_sleep_disturbance_mask+Extrapolation_sleep_disturbance_mask</f>
        <v>0</v>
      </c>
      <c r="F957" s="101">
        <f t="shared" si="238"/>
        <v>0</v>
      </c>
      <c r="G957" s="101">
        <f>Opening_year_sleep_disturbance_cost_mask+Forecast_year_sleep_disturbance_mask+Interpolation_sleep_disturbance_mask+Extrapolation_sleep_disturbance_mask</f>
        <v>0</v>
      </c>
      <c r="H957" s="101">
        <f t="shared" si="238"/>
        <v>0</v>
      </c>
      <c r="I957" s="101">
        <f t="shared" si="238"/>
        <v>0</v>
      </c>
      <c r="J957" s="101">
        <f t="shared" si="238"/>
        <v>0</v>
      </c>
      <c r="K957" s="101">
        <f t="shared" si="238"/>
        <v>0</v>
      </c>
      <c r="L957" s="101">
        <f t="shared" si="238"/>
        <v>0</v>
      </c>
      <c r="M957" s="101">
        <f t="shared" si="238"/>
        <v>0</v>
      </c>
      <c r="N957" s="101">
        <f t="shared" si="238"/>
        <v>0</v>
      </c>
      <c r="O957" s="101">
        <f t="shared" si="238"/>
        <v>0</v>
      </c>
      <c r="P957" s="101">
        <f t="shared" si="238"/>
        <v>0</v>
      </c>
      <c r="Q957" s="101">
        <f t="shared" si="238"/>
        <v>0</v>
      </c>
      <c r="R957" s="101">
        <f t="shared" si="238"/>
        <v>0</v>
      </c>
      <c r="S957" s="101">
        <f t="shared" si="238"/>
        <v>0</v>
      </c>
      <c r="T957" s="101">
        <f t="shared" si="238"/>
        <v>0</v>
      </c>
      <c r="U957" s="101">
        <f t="shared" si="238"/>
        <v>0</v>
      </c>
      <c r="V957" s="101">
        <f t="shared" si="238"/>
        <v>0</v>
      </c>
      <c r="W957" s="101">
        <f t="shared" si="238"/>
        <v>0</v>
      </c>
      <c r="X957" s="101">
        <f t="shared" si="238"/>
        <v>0</v>
      </c>
      <c r="Y957" s="101">
        <f t="shared" si="238"/>
        <v>0</v>
      </c>
      <c r="Z957" s="101">
        <f t="shared" si="238"/>
        <v>0</v>
      </c>
      <c r="AA957" s="101">
        <f t="shared" si="238"/>
        <v>0</v>
      </c>
      <c r="AB957" s="101">
        <f t="shared" si="238"/>
        <v>0</v>
      </c>
      <c r="AC957" s="101">
        <f t="shared" si="238"/>
        <v>0</v>
      </c>
      <c r="AD957" s="101">
        <f t="shared" si="238"/>
        <v>0</v>
      </c>
      <c r="AE957" s="101">
        <f t="shared" si="238"/>
        <v>0</v>
      </c>
      <c r="AF957" s="101">
        <f t="shared" si="238"/>
        <v>0</v>
      </c>
      <c r="AG957" s="101">
        <f t="shared" si="238"/>
        <v>0</v>
      </c>
      <c r="AH957" s="101">
        <f t="shared" si="238"/>
        <v>0</v>
      </c>
      <c r="AI957" s="101">
        <f t="shared" si="238"/>
        <v>0</v>
      </c>
      <c r="AJ957" s="101">
        <f t="shared" si="238"/>
        <v>0</v>
      </c>
      <c r="AK957" s="101">
        <f t="shared" ref="AK957:BP957" si="239">Opening_year_sleep_disturbance_cost_mask+Forecast_year_sleep_disturbance_mask+Interpolation_sleep_disturbance_mask+Extrapolation_sleep_disturbance_mask</f>
        <v>0</v>
      </c>
      <c r="AL957" s="101">
        <f t="shared" si="239"/>
        <v>0</v>
      </c>
      <c r="AM957" s="101">
        <f t="shared" si="239"/>
        <v>0</v>
      </c>
      <c r="AN957" s="101">
        <f t="shared" si="239"/>
        <v>0</v>
      </c>
      <c r="AO957" s="101">
        <f t="shared" si="239"/>
        <v>0</v>
      </c>
      <c r="AP957" s="101">
        <f t="shared" si="239"/>
        <v>0</v>
      </c>
      <c r="AQ957" s="101">
        <f t="shared" si="239"/>
        <v>0</v>
      </c>
      <c r="AR957" s="101">
        <f t="shared" si="239"/>
        <v>0</v>
      </c>
      <c r="AS957" s="101">
        <f t="shared" si="239"/>
        <v>0</v>
      </c>
      <c r="AT957" s="101">
        <f t="shared" si="239"/>
        <v>0</v>
      </c>
      <c r="AU957" s="101">
        <f t="shared" si="239"/>
        <v>0</v>
      </c>
      <c r="AV957" s="101">
        <f t="shared" si="239"/>
        <v>0</v>
      </c>
      <c r="AW957" s="101">
        <f t="shared" si="239"/>
        <v>0</v>
      </c>
      <c r="AX957" s="101">
        <f t="shared" si="239"/>
        <v>0</v>
      </c>
      <c r="AY957" s="101">
        <f t="shared" si="239"/>
        <v>0</v>
      </c>
      <c r="AZ957" s="101">
        <f t="shared" si="239"/>
        <v>0</v>
      </c>
      <c r="BA957" s="101">
        <f t="shared" si="239"/>
        <v>0</v>
      </c>
      <c r="BB957" s="101">
        <f t="shared" si="239"/>
        <v>0</v>
      </c>
      <c r="BC957" s="101">
        <f t="shared" si="239"/>
        <v>0</v>
      </c>
      <c r="BD957" s="101">
        <f t="shared" si="239"/>
        <v>0</v>
      </c>
      <c r="BE957" s="101">
        <f t="shared" si="239"/>
        <v>0</v>
      </c>
      <c r="BF957" s="101">
        <f t="shared" si="239"/>
        <v>0</v>
      </c>
      <c r="BG957" s="101">
        <f t="shared" si="239"/>
        <v>0</v>
      </c>
      <c r="BH957" s="101">
        <f t="shared" si="239"/>
        <v>0</v>
      </c>
      <c r="BI957" s="101">
        <f t="shared" si="239"/>
        <v>0</v>
      </c>
      <c r="BJ957" s="101">
        <f t="shared" si="239"/>
        <v>0</v>
      </c>
      <c r="BK957" s="101">
        <f t="shared" si="239"/>
        <v>0</v>
      </c>
      <c r="BL957" s="101">
        <f t="shared" si="239"/>
        <v>0</v>
      </c>
      <c r="BM957" s="101">
        <f t="shared" si="239"/>
        <v>0</v>
      </c>
      <c r="BN957" s="101">
        <f t="shared" si="239"/>
        <v>0</v>
      </c>
      <c r="BO957" s="101">
        <f t="shared" si="239"/>
        <v>0</v>
      </c>
      <c r="BP957" s="101">
        <f t="shared" si="239"/>
        <v>0</v>
      </c>
      <c r="BQ957" s="101">
        <f t="shared" ref="BQ957:CP957" si="240">Opening_year_sleep_disturbance_cost_mask+Forecast_year_sleep_disturbance_mask+Interpolation_sleep_disturbance_mask+Extrapolation_sleep_disturbance_mask</f>
        <v>0</v>
      </c>
      <c r="BR957" s="101">
        <f t="shared" si="240"/>
        <v>0</v>
      </c>
      <c r="BS957" s="101">
        <f t="shared" si="240"/>
        <v>0</v>
      </c>
      <c r="BT957" s="101">
        <f t="shared" si="240"/>
        <v>0</v>
      </c>
      <c r="BU957" s="101">
        <f t="shared" si="240"/>
        <v>0</v>
      </c>
      <c r="BV957" s="101">
        <f t="shared" si="240"/>
        <v>0</v>
      </c>
      <c r="BW957" s="101">
        <f t="shared" si="240"/>
        <v>0</v>
      </c>
      <c r="BX957" s="101">
        <f t="shared" si="240"/>
        <v>0</v>
      </c>
      <c r="BY957" s="101">
        <f t="shared" si="240"/>
        <v>0</v>
      </c>
      <c r="BZ957" s="101">
        <f t="shared" si="240"/>
        <v>0</v>
      </c>
      <c r="CA957" s="101">
        <f t="shared" si="240"/>
        <v>0</v>
      </c>
      <c r="CB957" s="101">
        <f t="shared" si="240"/>
        <v>0</v>
      </c>
      <c r="CC957" s="101">
        <f t="shared" si="240"/>
        <v>0</v>
      </c>
      <c r="CD957" s="101">
        <f t="shared" si="240"/>
        <v>0</v>
      </c>
      <c r="CE957" s="101">
        <f t="shared" si="240"/>
        <v>0</v>
      </c>
      <c r="CF957" s="101">
        <f t="shared" si="240"/>
        <v>0</v>
      </c>
      <c r="CG957" s="101">
        <f t="shared" si="240"/>
        <v>0</v>
      </c>
      <c r="CH957" s="101">
        <f t="shared" si="240"/>
        <v>0</v>
      </c>
      <c r="CI957" s="101">
        <f t="shared" si="240"/>
        <v>0</v>
      </c>
      <c r="CJ957" s="101">
        <f t="shared" si="240"/>
        <v>0</v>
      </c>
      <c r="CK957" s="101">
        <f t="shared" si="240"/>
        <v>0</v>
      </c>
      <c r="CL957" s="101">
        <f t="shared" si="240"/>
        <v>0</v>
      </c>
      <c r="CM957" s="101">
        <f t="shared" si="240"/>
        <v>0</v>
      </c>
      <c r="CN957" s="101">
        <f t="shared" si="240"/>
        <v>0</v>
      </c>
      <c r="CO957" s="101">
        <f t="shared" si="240"/>
        <v>0</v>
      </c>
      <c r="CP957" s="101">
        <f t="shared" si="240"/>
        <v>0</v>
      </c>
      <c r="CQ957" s="3" t="s">
        <v>280</v>
      </c>
    </row>
    <row r="958" spans="1:95" ht="14.5" x14ac:dyDescent="0.35">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5">
      <c r="B959" s="5" t="s">
        <v>281</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5" x14ac:dyDescent="0.35">
      <c r="A962" s="102"/>
      <c r="B962" s="102" t="s">
        <v>67</v>
      </c>
      <c r="C962" s="102"/>
      <c r="D962" s="101">
        <f t="shared" ref="D962:AI962" si="241">Opening_year_amenity_cost*Opening_year_mask</f>
        <v>0</v>
      </c>
      <c r="E962" s="101">
        <f t="shared" si="241"/>
        <v>0</v>
      </c>
      <c r="F962" s="101">
        <f t="shared" si="241"/>
        <v>0</v>
      </c>
      <c r="G962" s="101">
        <f t="shared" si="241"/>
        <v>0</v>
      </c>
      <c r="H962" s="101">
        <f t="shared" si="241"/>
        <v>0</v>
      </c>
      <c r="I962" s="101">
        <f t="shared" si="241"/>
        <v>0</v>
      </c>
      <c r="J962" s="101">
        <f t="shared" si="241"/>
        <v>0</v>
      </c>
      <c r="K962" s="101">
        <f t="shared" si="241"/>
        <v>0</v>
      </c>
      <c r="L962" s="101">
        <f t="shared" si="241"/>
        <v>0</v>
      </c>
      <c r="M962" s="101">
        <f t="shared" si="241"/>
        <v>0</v>
      </c>
      <c r="N962" s="101">
        <f t="shared" si="241"/>
        <v>0</v>
      </c>
      <c r="O962" s="101">
        <f t="shared" si="241"/>
        <v>0</v>
      </c>
      <c r="P962" s="101">
        <f t="shared" si="241"/>
        <v>0</v>
      </c>
      <c r="Q962" s="101">
        <f t="shared" si="241"/>
        <v>0</v>
      </c>
      <c r="R962" s="101">
        <f t="shared" si="241"/>
        <v>0</v>
      </c>
      <c r="S962" s="101">
        <f t="shared" si="241"/>
        <v>0</v>
      </c>
      <c r="T962" s="101">
        <f t="shared" si="241"/>
        <v>0</v>
      </c>
      <c r="U962" s="101">
        <f t="shared" si="241"/>
        <v>0</v>
      </c>
      <c r="V962" s="101">
        <f t="shared" si="241"/>
        <v>0</v>
      </c>
      <c r="W962" s="101">
        <f t="shared" si="241"/>
        <v>0</v>
      </c>
      <c r="X962" s="101">
        <f t="shared" si="241"/>
        <v>0</v>
      </c>
      <c r="Y962" s="101">
        <f t="shared" si="241"/>
        <v>0</v>
      </c>
      <c r="Z962" s="101">
        <f t="shared" si="241"/>
        <v>0</v>
      </c>
      <c r="AA962" s="101">
        <f t="shared" si="241"/>
        <v>0</v>
      </c>
      <c r="AB962" s="101">
        <f t="shared" si="241"/>
        <v>0</v>
      </c>
      <c r="AC962" s="101">
        <f>Opening_year_amenity_cost*Opening_year_mask</f>
        <v>0</v>
      </c>
      <c r="AD962" s="101">
        <f t="shared" si="241"/>
        <v>0</v>
      </c>
      <c r="AE962" s="101">
        <f t="shared" si="241"/>
        <v>0</v>
      </c>
      <c r="AF962" s="101">
        <f t="shared" si="241"/>
        <v>0</v>
      </c>
      <c r="AG962" s="101">
        <f t="shared" si="241"/>
        <v>0</v>
      </c>
      <c r="AH962" s="101">
        <f t="shared" si="241"/>
        <v>0</v>
      </c>
      <c r="AI962" s="101">
        <f t="shared" si="241"/>
        <v>0</v>
      </c>
      <c r="AJ962" s="101">
        <f t="shared" ref="AJ962:BO962" si="242">Opening_year_amenity_cost*Opening_year_mask</f>
        <v>0</v>
      </c>
      <c r="AK962" s="101">
        <f t="shared" si="242"/>
        <v>0</v>
      </c>
      <c r="AL962" s="101">
        <f t="shared" si="242"/>
        <v>0</v>
      </c>
      <c r="AM962" s="101">
        <f t="shared" si="242"/>
        <v>0</v>
      </c>
      <c r="AN962" s="101">
        <f t="shared" si="242"/>
        <v>0</v>
      </c>
      <c r="AO962" s="101">
        <f t="shared" si="242"/>
        <v>0</v>
      </c>
      <c r="AP962" s="101">
        <f t="shared" si="242"/>
        <v>0</v>
      </c>
      <c r="AQ962" s="101">
        <f t="shared" si="242"/>
        <v>0</v>
      </c>
      <c r="AR962" s="101">
        <f t="shared" si="242"/>
        <v>0</v>
      </c>
      <c r="AS962" s="101">
        <f t="shared" si="242"/>
        <v>0</v>
      </c>
      <c r="AT962" s="101">
        <f t="shared" si="242"/>
        <v>0</v>
      </c>
      <c r="AU962" s="101">
        <f t="shared" si="242"/>
        <v>0</v>
      </c>
      <c r="AV962" s="101">
        <f t="shared" si="242"/>
        <v>0</v>
      </c>
      <c r="AW962" s="101">
        <f t="shared" si="242"/>
        <v>0</v>
      </c>
      <c r="AX962" s="101">
        <f t="shared" si="242"/>
        <v>0</v>
      </c>
      <c r="AY962" s="101">
        <f t="shared" si="242"/>
        <v>0</v>
      </c>
      <c r="AZ962" s="101">
        <f t="shared" si="242"/>
        <v>0</v>
      </c>
      <c r="BA962" s="101">
        <f t="shared" si="242"/>
        <v>0</v>
      </c>
      <c r="BB962" s="101">
        <f t="shared" si="242"/>
        <v>0</v>
      </c>
      <c r="BC962" s="101">
        <f t="shared" si="242"/>
        <v>0</v>
      </c>
      <c r="BD962" s="101">
        <f t="shared" si="242"/>
        <v>0</v>
      </c>
      <c r="BE962" s="101">
        <f t="shared" si="242"/>
        <v>0</v>
      </c>
      <c r="BF962" s="101">
        <f t="shared" si="242"/>
        <v>0</v>
      </c>
      <c r="BG962" s="101">
        <f t="shared" si="242"/>
        <v>0</v>
      </c>
      <c r="BH962" s="101">
        <f t="shared" si="242"/>
        <v>0</v>
      </c>
      <c r="BI962" s="101">
        <f t="shared" si="242"/>
        <v>0</v>
      </c>
      <c r="BJ962" s="101">
        <f t="shared" si="242"/>
        <v>0</v>
      </c>
      <c r="BK962" s="101">
        <f t="shared" si="242"/>
        <v>0</v>
      </c>
      <c r="BL962" s="101">
        <f t="shared" si="242"/>
        <v>0</v>
      </c>
      <c r="BM962" s="101">
        <f t="shared" si="242"/>
        <v>0</v>
      </c>
      <c r="BN962" s="101">
        <f t="shared" si="242"/>
        <v>0</v>
      </c>
      <c r="BO962" s="101">
        <f t="shared" si="242"/>
        <v>0</v>
      </c>
      <c r="BP962" s="101">
        <f t="shared" ref="BP962:CP962" si="243">Opening_year_amenity_cost*Opening_year_mask</f>
        <v>0</v>
      </c>
      <c r="BQ962" s="101">
        <f t="shared" si="243"/>
        <v>0</v>
      </c>
      <c r="BR962" s="101">
        <f t="shared" si="243"/>
        <v>0</v>
      </c>
      <c r="BS962" s="101">
        <f t="shared" si="243"/>
        <v>0</v>
      </c>
      <c r="BT962" s="101">
        <f t="shared" si="243"/>
        <v>0</v>
      </c>
      <c r="BU962" s="101">
        <f t="shared" si="243"/>
        <v>0</v>
      </c>
      <c r="BV962" s="101">
        <f t="shared" si="243"/>
        <v>0</v>
      </c>
      <c r="BW962" s="101">
        <f t="shared" si="243"/>
        <v>0</v>
      </c>
      <c r="BX962" s="101">
        <f t="shared" si="243"/>
        <v>0</v>
      </c>
      <c r="BY962" s="101">
        <f t="shared" si="243"/>
        <v>0</v>
      </c>
      <c r="BZ962" s="101">
        <f t="shared" si="243"/>
        <v>0</v>
      </c>
      <c r="CA962" s="101">
        <f t="shared" si="243"/>
        <v>0</v>
      </c>
      <c r="CB962" s="101">
        <f t="shared" si="243"/>
        <v>0</v>
      </c>
      <c r="CC962" s="101">
        <f t="shared" si="243"/>
        <v>0</v>
      </c>
      <c r="CD962" s="101">
        <f t="shared" si="243"/>
        <v>0</v>
      </c>
      <c r="CE962" s="101">
        <f t="shared" si="243"/>
        <v>0</v>
      </c>
      <c r="CF962" s="101">
        <f t="shared" si="243"/>
        <v>0</v>
      </c>
      <c r="CG962" s="101">
        <f t="shared" si="243"/>
        <v>0</v>
      </c>
      <c r="CH962" s="101">
        <f t="shared" si="243"/>
        <v>0</v>
      </c>
      <c r="CI962" s="101">
        <f t="shared" si="243"/>
        <v>0</v>
      </c>
      <c r="CJ962" s="101">
        <f t="shared" si="243"/>
        <v>0</v>
      </c>
      <c r="CK962" s="101">
        <f t="shared" si="243"/>
        <v>0</v>
      </c>
      <c r="CL962" s="101">
        <f t="shared" si="243"/>
        <v>0</v>
      </c>
      <c r="CM962" s="101">
        <f t="shared" si="243"/>
        <v>0</v>
      </c>
      <c r="CN962" s="101">
        <f t="shared" si="243"/>
        <v>0</v>
      </c>
      <c r="CO962" s="101">
        <f t="shared" si="243"/>
        <v>0</v>
      </c>
      <c r="CP962" s="101">
        <f t="shared" si="243"/>
        <v>0</v>
      </c>
      <c r="CQ962" s="3" t="s">
        <v>282</v>
      </c>
    </row>
    <row r="963" spans="1:95" ht="14.5" x14ac:dyDescent="0.35">
      <c r="A963" s="102"/>
      <c r="B963" s="102" t="s">
        <v>69</v>
      </c>
      <c r="C963" s="102"/>
      <c r="D963" s="101">
        <f t="shared" ref="D963:AI963" si="244">Forecast_year_amenity_cost*Forecast_year_mask</f>
        <v>0</v>
      </c>
      <c r="E963" s="101">
        <f t="shared" si="244"/>
        <v>0</v>
      </c>
      <c r="F963" s="101">
        <f t="shared" si="244"/>
        <v>0</v>
      </c>
      <c r="G963" s="101">
        <f t="shared" si="244"/>
        <v>0</v>
      </c>
      <c r="H963" s="101">
        <f t="shared" si="244"/>
        <v>0</v>
      </c>
      <c r="I963" s="101">
        <f t="shared" si="244"/>
        <v>0</v>
      </c>
      <c r="J963" s="101">
        <f t="shared" si="244"/>
        <v>0</v>
      </c>
      <c r="K963" s="101">
        <f t="shared" si="244"/>
        <v>0</v>
      </c>
      <c r="L963" s="101">
        <f t="shared" si="244"/>
        <v>0</v>
      </c>
      <c r="M963" s="101">
        <f t="shared" si="244"/>
        <v>0</v>
      </c>
      <c r="N963" s="101">
        <f t="shared" si="244"/>
        <v>0</v>
      </c>
      <c r="O963" s="101">
        <f t="shared" si="244"/>
        <v>0</v>
      </c>
      <c r="P963" s="101">
        <f t="shared" si="244"/>
        <v>0</v>
      </c>
      <c r="Q963" s="101">
        <f t="shared" si="244"/>
        <v>0</v>
      </c>
      <c r="R963" s="101">
        <f t="shared" si="244"/>
        <v>0</v>
      </c>
      <c r="S963" s="101">
        <f t="shared" si="244"/>
        <v>0</v>
      </c>
      <c r="T963" s="101">
        <f t="shared" si="244"/>
        <v>0</v>
      </c>
      <c r="U963" s="101">
        <f t="shared" si="244"/>
        <v>0</v>
      </c>
      <c r="V963" s="101">
        <f t="shared" si="244"/>
        <v>0</v>
      </c>
      <c r="W963" s="101">
        <f t="shared" si="244"/>
        <v>0</v>
      </c>
      <c r="X963" s="101">
        <f t="shared" si="244"/>
        <v>0</v>
      </c>
      <c r="Y963" s="101">
        <f t="shared" si="244"/>
        <v>0</v>
      </c>
      <c r="Z963" s="101">
        <f t="shared" si="244"/>
        <v>0</v>
      </c>
      <c r="AA963" s="101">
        <f t="shared" si="244"/>
        <v>0</v>
      </c>
      <c r="AB963" s="101">
        <f t="shared" si="244"/>
        <v>0</v>
      </c>
      <c r="AC963" s="101">
        <f>Forecast_year_amenity_cost*Forecast_year_mask</f>
        <v>0</v>
      </c>
      <c r="AD963" s="101">
        <f t="shared" si="244"/>
        <v>0</v>
      </c>
      <c r="AE963" s="101">
        <f t="shared" si="244"/>
        <v>0</v>
      </c>
      <c r="AF963" s="101">
        <f t="shared" si="244"/>
        <v>0</v>
      </c>
      <c r="AG963" s="101">
        <f t="shared" si="244"/>
        <v>0</v>
      </c>
      <c r="AH963" s="101">
        <f t="shared" si="244"/>
        <v>0</v>
      </c>
      <c r="AI963" s="101">
        <f t="shared" si="244"/>
        <v>0</v>
      </c>
      <c r="AJ963" s="101">
        <f t="shared" ref="AJ963:BO963" si="245">Forecast_year_amenity_cost*Forecast_year_mask</f>
        <v>0</v>
      </c>
      <c r="AK963" s="101">
        <f t="shared" si="245"/>
        <v>0</v>
      </c>
      <c r="AL963" s="101">
        <f t="shared" si="245"/>
        <v>0</v>
      </c>
      <c r="AM963" s="101">
        <f t="shared" si="245"/>
        <v>0</v>
      </c>
      <c r="AN963" s="101">
        <f t="shared" si="245"/>
        <v>0</v>
      </c>
      <c r="AO963" s="101">
        <f t="shared" si="245"/>
        <v>0</v>
      </c>
      <c r="AP963" s="101">
        <f t="shared" si="245"/>
        <v>0</v>
      </c>
      <c r="AQ963" s="101">
        <f t="shared" si="245"/>
        <v>0</v>
      </c>
      <c r="AR963" s="101">
        <f t="shared" si="245"/>
        <v>0</v>
      </c>
      <c r="AS963" s="101">
        <f t="shared" si="245"/>
        <v>0</v>
      </c>
      <c r="AT963" s="101">
        <f t="shared" si="245"/>
        <v>0</v>
      </c>
      <c r="AU963" s="101">
        <f t="shared" si="245"/>
        <v>0</v>
      </c>
      <c r="AV963" s="101">
        <f t="shared" si="245"/>
        <v>0</v>
      </c>
      <c r="AW963" s="101">
        <f t="shared" si="245"/>
        <v>0</v>
      </c>
      <c r="AX963" s="101">
        <f t="shared" si="245"/>
        <v>0</v>
      </c>
      <c r="AY963" s="101">
        <f t="shared" si="245"/>
        <v>0</v>
      </c>
      <c r="AZ963" s="101">
        <f t="shared" si="245"/>
        <v>0</v>
      </c>
      <c r="BA963" s="101">
        <f t="shared" si="245"/>
        <v>0</v>
      </c>
      <c r="BB963" s="101">
        <f t="shared" si="245"/>
        <v>0</v>
      </c>
      <c r="BC963" s="101">
        <f t="shared" si="245"/>
        <v>0</v>
      </c>
      <c r="BD963" s="101">
        <f t="shared" si="245"/>
        <v>0</v>
      </c>
      <c r="BE963" s="101">
        <f t="shared" si="245"/>
        <v>0</v>
      </c>
      <c r="BF963" s="101">
        <f t="shared" si="245"/>
        <v>0</v>
      </c>
      <c r="BG963" s="101">
        <f t="shared" si="245"/>
        <v>0</v>
      </c>
      <c r="BH963" s="101">
        <f t="shared" si="245"/>
        <v>0</v>
      </c>
      <c r="BI963" s="101">
        <f t="shared" si="245"/>
        <v>0</v>
      </c>
      <c r="BJ963" s="101">
        <f t="shared" si="245"/>
        <v>0</v>
      </c>
      <c r="BK963" s="101">
        <f t="shared" si="245"/>
        <v>0</v>
      </c>
      <c r="BL963" s="101">
        <f t="shared" si="245"/>
        <v>0</v>
      </c>
      <c r="BM963" s="101">
        <f t="shared" si="245"/>
        <v>0</v>
      </c>
      <c r="BN963" s="101">
        <f t="shared" si="245"/>
        <v>0</v>
      </c>
      <c r="BO963" s="101">
        <f t="shared" si="245"/>
        <v>0</v>
      </c>
      <c r="BP963" s="101">
        <f t="shared" ref="BP963:CP963" si="246">Forecast_year_amenity_cost*Forecast_year_mask</f>
        <v>0</v>
      </c>
      <c r="BQ963" s="101">
        <f t="shared" si="246"/>
        <v>0</v>
      </c>
      <c r="BR963" s="101">
        <f t="shared" si="246"/>
        <v>0</v>
      </c>
      <c r="BS963" s="101">
        <f t="shared" si="246"/>
        <v>0</v>
      </c>
      <c r="BT963" s="101">
        <f t="shared" si="246"/>
        <v>0</v>
      </c>
      <c r="BU963" s="101">
        <f t="shared" si="246"/>
        <v>0</v>
      </c>
      <c r="BV963" s="101">
        <f t="shared" si="246"/>
        <v>0</v>
      </c>
      <c r="BW963" s="101">
        <f t="shared" si="246"/>
        <v>0</v>
      </c>
      <c r="BX963" s="101">
        <f t="shared" si="246"/>
        <v>0</v>
      </c>
      <c r="BY963" s="101">
        <f t="shared" si="246"/>
        <v>0</v>
      </c>
      <c r="BZ963" s="101">
        <f t="shared" si="246"/>
        <v>0</v>
      </c>
      <c r="CA963" s="101">
        <f t="shared" si="246"/>
        <v>0</v>
      </c>
      <c r="CB963" s="101">
        <f t="shared" si="246"/>
        <v>0</v>
      </c>
      <c r="CC963" s="101">
        <f t="shared" si="246"/>
        <v>0</v>
      </c>
      <c r="CD963" s="101">
        <f t="shared" si="246"/>
        <v>0</v>
      </c>
      <c r="CE963" s="101">
        <f t="shared" si="246"/>
        <v>0</v>
      </c>
      <c r="CF963" s="101">
        <f t="shared" si="246"/>
        <v>0</v>
      </c>
      <c r="CG963" s="101">
        <f t="shared" si="246"/>
        <v>0</v>
      </c>
      <c r="CH963" s="101">
        <f t="shared" si="246"/>
        <v>0</v>
      </c>
      <c r="CI963" s="101">
        <f t="shared" si="246"/>
        <v>0</v>
      </c>
      <c r="CJ963" s="101">
        <f t="shared" si="246"/>
        <v>0</v>
      </c>
      <c r="CK963" s="101">
        <f t="shared" si="246"/>
        <v>0</v>
      </c>
      <c r="CL963" s="101">
        <f t="shared" si="246"/>
        <v>0</v>
      </c>
      <c r="CM963" s="101">
        <f t="shared" si="246"/>
        <v>0</v>
      </c>
      <c r="CN963" s="101">
        <f t="shared" si="246"/>
        <v>0</v>
      </c>
      <c r="CO963" s="101">
        <f t="shared" si="246"/>
        <v>0</v>
      </c>
      <c r="CP963" s="101">
        <f t="shared" si="246"/>
        <v>0</v>
      </c>
      <c r="CQ963" s="3" t="s">
        <v>283</v>
      </c>
    </row>
    <row r="964" spans="1:95" ht="14.5" x14ac:dyDescent="0.35">
      <c r="A964" s="102"/>
      <c r="B964" s="102" t="s">
        <v>268</v>
      </c>
      <c r="C964" s="102"/>
      <c r="D964" s="101">
        <f t="shared" ref="D964:AI964" si="247">(Opening_year_amenity_cost+(Difference_amenity_cost)*(year-Opening_year)/(Forecast_and_opening_year_difference))*Interpolation_mask</f>
        <v>0</v>
      </c>
      <c r="E964" s="101">
        <f t="shared" si="247"/>
        <v>0</v>
      </c>
      <c r="F964" s="101">
        <f t="shared" si="247"/>
        <v>0</v>
      </c>
      <c r="G964" s="101">
        <f t="shared" si="247"/>
        <v>0</v>
      </c>
      <c r="H964" s="101">
        <f t="shared" si="247"/>
        <v>0</v>
      </c>
      <c r="I964" s="101">
        <f t="shared" si="247"/>
        <v>0</v>
      </c>
      <c r="J964" s="101">
        <f t="shared" si="247"/>
        <v>0</v>
      </c>
      <c r="K964" s="101">
        <f t="shared" si="247"/>
        <v>0</v>
      </c>
      <c r="L964" s="101">
        <f t="shared" si="247"/>
        <v>0</v>
      </c>
      <c r="M964" s="101">
        <f t="shared" si="247"/>
        <v>0</v>
      </c>
      <c r="N964" s="101">
        <f t="shared" si="247"/>
        <v>0</v>
      </c>
      <c r="O964" s="101">
        <f t="shared" si="247"/>
        <v>0</v>
      </c>
      <c r="P964" s="101">
        <f t="shared" si="247"/>
        <v>0</v>
      </c>
      <c r="Q964" s="101">
        <f t="shared" si="247"/>
        <v>0</v>
      </c>
      <c r="R964" s="101">
        <f t="shared" si="247"/>
        <v>0</v>
      </c>
      <c r="S964" s="101">
        <f t="shared" si="247"/>
        <v>0</v>
      </c>
      <c r="T964" s="101">
        <f t="shared" si="247"/>
        <v>0</v>
      </c>
      <c r="U964" s="101">
        <f t="shared" si="247"/>
        <v>0</v>
      </c>
      <c r="V964" s="101">
        <f t="shared" si="247"/>
        <v>0</v>
      </c>
      <c r="W964" s="101">
        <f t="shared" si="247"/>
        <v>0</v>
      </c>
      <c r="X964" s="101">
        <f t="shared" si="247"/>
        <v>0</v>
      </c>
      <c r="Y964" s="101">
        <f t="shared" si="247"/>
        <v>0</v>
      </c>
      <c r="Z964" s="101">
        <f t="shared" si="247"/>
        <v>0</v>
      </c>
      <c r="AA964" s="101">
        <f t="shared" si="247"/>
        <v>0</v>
      </c>
      <c r="AB964" s="101">
        <f t="shared" si="247"/>
        <v>0</v>
      </c>
      <c r="AC964" s="101">
        <f t="shared" si="247"/>
        <v>0</v>
      </c>
      <c r="AD964" s="101">
        <f t="shared" si="247"/>
        <v>0</v>
      </c>
      <c r="AE964" s="101">
        <f t="shared" si="247"/>
        <v>0</v>
      </c>
      <c r="AF964" s="101">
        <f t="shared" si="247"/>
        <v>0</v>
      </c>
      <c r="AG964" s="101">
        <f t="shared" si="247"/>
        <v>0</v>
      </c>
      <c r="AH964" s="101">
        <f t="shared" si="247"/>
        <v>0</v>
      </c>
      <c r="AI964" s="101">
        <f t="shared" si="247"/>
        <v>0</v>
      </c>
      <c r="AJ964" s="101">
        <f t="shared" ref="AJ964:BO964" si="248">(Opening_year_amenity_cost+(Difference_amenity_cost)*(year-Opening_year)/(Forecast_and_opening_year_difference))*Interpolation_mask</f>
        <v>0</v>
      </c>
      <c r="AK964" s="101">
        <f t="shared" si="248"/>
        <v>0</v>
      </c>
      <c r="AL964" s="101">
        <f t="shared" si="248"/>
        <v>0</v>
      </c>
      <c r="AM964" s="101">
        <f t="shared" si="248"/>
        <v>0</v>
      </c>
      <c r="AN964" s="101">
        <f t="shared" si="248"/>
        <v>0</v>
      </c>
      <c r="AO964" s="101">
        <f t="shared" si="248"/>
        <v>0</v>
      </c>
      <c r="AP964" s="101">
        <f t="shared" si="248"/>
        <v>0</v>
      </c>
      <c r="AQ964" s="101">
        <f t="shared" si="248"/>
        <v>0</v>
      </c>
      <c r="AR964" s="101">
        <f t="shared" si="248"/>
        <v>0</v>
      </c>
      <c r="AS964" s="101">
        <f t="shared" si="248"/>
        <v>0</v>
      </c>
      <c r="AT964" s="101">
        <f t="shared" si="248"/>
        <v>0</v>
      </c>
      <c r="AU964" s="101">
        <f t="shared" si="248"/>
        <v>0</v>
      </c>
      <c r="AV964" s="101">
        <f t="shared" si="248"/>
        <v>0</v>
      </c>
      <c r="AW964" s="101">
        <f t="shared" si="248"/>
        <v>0</v>
      </c>
      <c r="AX964" s="101">
        <f t="shared" si="248"/>
        <v>0</v>
      </c>
      <c r="AY964" s="101">
        <f t="shared" si="248"/>
        <v>0</v>
      </c>
      <c r="AZ964" s="101">
        <f t="shared" si="248"/>
        <v>0</v>
      </c>
      <c r="BA964" s="101">
        <f t="shared" si="248"/>
        <v>0</v>
      </c>
      <c r="BB964" s="101">
        <f t="shared" si="248"/>
        <v>0</v>
      </c>
      <c r="BC964" s="101">
        <f t="shared" si="248"/>
        <v>0</v>
      </c>
      <c r="BD964" s="101">
        <f t="shared" si="248"/>
        <v>0</v>
      </c>
      <c r="BE964" s="101">
        <f t="shared" si="248"/>
        <v>0</v>
      </c>
      <c r="BF964" s="101">
        <f t="shared" si="248"/>
        <v>0</v>
      </c>
      <c r="BG964" s="101">
        <f t="shared" si="248"/>
        <v>0</v>
      </c>
      <c r="BH964" s="101">
        <f t="shared" si="248"/>
        <v>0</v>
      </c>
      <c r="BI964" s="101">
        <f t="shared" si="248"/>
        <v>0</v>
      </c>
      <c r="BJ964" s="101">
        <f t="shared" si="248"/>
        <v>0</v>
      </c>
      <c r="BK964" s="101">
        <f t="shared" si="248"/>
        <v>0</v>
      </c>
      <c r="BL964" s="101">
        <f t="shared" si="248"/>
        <v>0</v>
      </c>
      <c r="BM964" s="101">
        <f t="shared" si="248"/>
        <v>0</v>
      </c>
      <c r="BN964" s="101">
        <f t="shared" si="248"/>
        <v>0</v>
      </c>
      <c r="BO964" s="101">
        <f t="shared" si="248"/>
        <v>0</v>
      </c>
      <c r="BP964" s="101">
        <f t="shared" ref="BP964:CP964" si="249">(Opening_year_amenity_cost+(Difference_amenity_cost)*(year-Opening_year)/(Forecast_and_opening_year_difference))*Interpolation_mask</f>
        <v>0</v>
      </c>
      <c r="BQ964" s="101">
        <f t="shared" si="249"/>
        <v>0</v>
      </c>
      <c r="BR964" s="101">
        <f t="shared" si="249"/>
        <v>0</v>
      </c>
      <c r="BS964" s="101">
        <f t="shared" si="249"/>
        <v>0</v>
      </c>
      <c r="BT964" s="101">
        <f t="shared" si="249"/>
        <v>0</v>
      </c>
      <c r="BU964" s="101">
        <f t="shared" si="249"/>
        <v>0</v>
      </c>
      <c r="BV964" s="101">
        <f t="shared" si="249"/>
        <v>0</v>
      </c>
      <c r="BW964" s="101">
        <f t="shared" si="249"/>
        <v>0</v>
      </c>
      <c r="BX964" s="101">
        <f t="shared" si="249"/>
        <v>0</v>
      </c>
      <c r="BY964" s="101">
        <f t="shared" si="249"/>
        <v>0</v>
      </c>
      <c r="BZ964" s="101">
        <f t="shared" si="249"/>
        <v>0</v>
      </c>
      <c r="CA964" s="101">
        <f t="shared" si="249"/>
        <v>0</v>
      </c>
      <c r="CB964" s="101">
        <f t="shared" si="249"/>
        <v>0</v>
      </c>
      <c r="CC964" s="101">
        <f t="shared" si="249"/>
        <v>0</v>
      </c>
      <c r="CD964" s="101">
        <f t="shared" si="249"/>
        <v>0</v>
      </c>
      <c r="CE964" s="101">
        <f t="shared" si="249"/>
        <v>0</v>
      </c>
      <c r="CF964" s="101">
        <f t="shared" si="249"/>
        <v>0</v>
      </c>
      <c r="CG964" s="101">
        <f t="shared" si="249"/>
        <v>0</v>
      </c>
      <c r="CH964" s="101">
        <f t="shared" si="249"/>
        <v>0</v>
      </c>
      <c r="CI964" s="101">
        <f t="shared" si="249"/>
        <v>0</v>
      </c>
      <c r="CJ964" s="101">
        <f t="shared" si="249"/>
        <v>0</v>
      </c>
      <c r="CK964" s="101">
        <f t="shared" si="249"/>
        <v>0</v>
      </c>
      <c r="CL964" s="101">
        <f t="shared" si="249"/>
        <v>0</v>
      </c>
      <c r="CM964" s="101">
        <f t="shared" si="249"/>
        <v>0</v>
      </c>
      <c r="CN964" s="101">
        <f t="shared" si="249"/>
        <v>0</v>
      </c>
      <c r="CO964" s="101">
        <f t="shared" si="249"/>
        <v>0</v>
      </c>
      <c r="CP964" s="101">
        <f t="shared" si="249"/>
        <v>0</v>
      </c>
      <c r="CQ964" s="3" t="s">
        <v>284</v>
      </c>
    </row>
    <row r="965" spans="1:95" ht="14.5" x14ac:dyDescent="0.35">
      <c r="A965" s="102"/>
      <c r="B965" s="102" t="s">
        <v>270</v>
      </c>
      <c r="C965" s="102"/>
      <c r="D965" s="101">
        <f t="shared" ref="D965:AI965" si="250">Forecast_year_amenity_cost*Extrapolation_mask</f>
        <v>0</v>
      </c>
      <c r="E965" s="101">
        <f t="shared" si="250"/>
        <v>0</v>
      </c>
      <c r="F965" s="101">
        <f t="shared" si="250"/>
        <v>0</v>
      </c>
      <c r="G965" s="101">
        <f t="shared" si="250"/>
        <v>0</v>
      </c>
      <c r="H965" s="101">
        <f t="shared" si="250"/>
        <v>0</v>
      </c>
      <c r="I965" s="101">
        <f t="shared" si="250"/>
        <v>0</v>
      </c>
      <c r="J965" s="101">
        <f t="shared" si="250"/>
        <v>0</v>
      </c>
      <c r="K965" s="101">
        <f t="shared" si="250"/>
        <v>0</v>
      </c>
      <c r="L965" s="101">
        <f t="shared" si="250"/>
        <v>0</v>
      </c>
      <c r="M965" s="101">
        <f t="shared" si="250"/>
        <v>0</v>
      </c>
      <c r="N965" s="101">
        <f t="shared" si="250"/>
        <v>0</v>
      </c>
      <c r="O965" s="101">
        <f t="shared" si="250"/>
        <v>0</v>
      </c>
      <c r="P965" s="101">
        <f t="shared" si="250"/>
        <v>0</v>
      </c>
      <c r="Q965" s="101">
        <f t="shared" si="250"/>
        <v>0</v>
      </c>
      <c r="R965" s="101">
        <f t="shared" si="250"/>
        <v>0</v>
      </c>
      <c r="S965" s="101">
        <f t="shared" si="250"/>
        <v>0</v>
      </c>
      <c r="T965" s="101">
        <f t="shared" si="250"/>
        <v>0</v>
      </c>
      <c r="U965" s="101">
        <f t="shared" si="250"/>
        <v>0</v>
      </c>
      <c r="V965" s="101">
        <f t="shared" si="250"/>
        <v>0</v>
      </c>
      <c r="W965" s="101">
        <f t="shared" si="250"/>
        <v>0</v>
      </c>
      <c r="X965" s="101">
        <f t="shared" si="250"/>
        <v>0</v>
      </c>
      <c r="Y965" s="101">
        <f t="shared" si="250"/>
        <v>0</v>
      </c>
      <c r="Z965" s="101">
        <f t="shared" si="250"/>
        <v>0</v>
      </c>
      <c r="AA965" s="101">
        <f t="shared" si="250"/>
        <v>0</v>
      </c>
      <c r="AB965" s="101">
        <f t="shared" si="250"/>
        <v>0</v>
      </c>
      <c r="AC965" s="101">
        <f t="shared" si="250"/>
        <v>0</v>
      </c>
      <c r="AD965" s="101">
        <f t="shared" si="250"/>
        <v>0</v>
      </c>
      <c r="AE965" s="101">
        <f t="shared" si="250"/>
        <v>0</v>
      </c>
      <c r="AF965" s="101">
        <f t="shared" si="250"/>
        <v>0</v>
      </c>
      <c r="AG965" s="101">
        <f t="shared" si="250"/>
        <v>0</v>
      </c>
      <c r="AH965" s="101">
        <f t="shared" si="250"/>
        <v>0</v>
      </c>
      <c r="AI965" s="101">
        <f t="shared" si="250"/>
        <v>0</v>
      </c>
      <c r="AJ965" s="101">
        <f t="shared" ref="AJ965:BO965" si="251">Forecast_year_amenity_cost*Extrapolation_mask</f>
        <v>0</v>
      </c>
      <c r="AK965" s="101">
        <f t="shared" si="251"/>
        <v>0</v>
      </c>
      <c r="AL965" s="101">
        <f t="shared" si="251"/>
        <v>0</v>
      </c>
      <c r="AM965" s="101">
        <f t="shared" si="251"/>
        <v>0</v>
      </c>
      <c r="AN965" s="101">
        <f t="shared" si="251"/>
        <v>0</v>
      </c>
      <c r="AO965" s="101">
        <f t="shared" si="251"/>
        <v>0</v>
      </c>
      <c r="AP965" s="101">
        <f t="shared" si="251"/>
        <v>0</v>
      </c>
      <c r="AQ965" s="101">
        <f t="shared" si="251"/>
        <v>0</v>
      </c>
      <c r="AR965" s="101">
        <f t="shared" si="251"/>
        <v>0</v>
      </c>
      <c r="AS965" s="101">
        <f t="shared" si="251"/>
        <v>0</v>
      </c>
      <c r="AT965" s="101">
        <f t="shared" si="251"/>
        <v>0</v>
      </c>
      <c r="AU965" s="101">
        <f t="shared" si="251"/>
        <v>0</v>
      </c>
      <c r="AV965" s="101">
        <f t="shared" si="251"/>
        <v>0</v>
      </c>
      <c r="AW965" s="101">
        <f t="shared" si="251"/>
        <v>0</v>
      </c>
      <c r="AX965" s="101">
        <f t="shared" si="251"/>
        <v>0</v>
      </c>
      <c r="AY965" s="101">
        <f t="shared" si="251"/>
        <v>0</v>
      </c>
      <c r="AZ965" s="101">
        <f t="shared" si="251"/>
        <v>0</v>
      </c>
      <c r="BA965" s="101">
        <f t="shared" si="251"/>
        <v>0</v>
      </c>
      <c r="BB965" s="101">
        <f t="shared" si="251"/>
        <v>0</v>
      </c>
      <c r="BC965" s="101">
        <f t="shared" si="251"/>
        <v>0</v>
      </c>
      <c r="BD965" s="101">
        <f t="shared" si="251"/>
        <v>0</v>
      </c>
      <c r="BE965" s="101">
        <f t="shared" si="251"/>
        <v>0</v>
      </c>
      <c r="BF965" s="101">
        <f t="shared" si="251"/>
        <v>0</v>
      </c>
      <c r="BG965" s="101">
        <f t="shared" si="251"/>
        <v>0</v>
      </c>
      <c r="BH965" s="101">
        <f t="shared" si="251"/>
        <v>0</v>
      </c>
      <c r="BI965" s="101">
        <f t="shared" si="251"/>
        <v>0</v>
      </c>
      <c r="BJ965" s="101">
        <f t="shared" si="251"/>
        <v>0</v>
      </c>
      <c r="BK965" s="101">
        <f t="shared" si="251"/>
        <v>0</v>
      </c>
      <c r="BL965" s="101">
        <f t="shared" si="251"/>
        <v>0</v>
      </c>
      <c r="BM965" s="101">
        <f t="shared" si="251"/>
        <v>0</v>
      </c>
      <c r="BN965" s="101">
        <f t="shared" si="251"/>
        <v>0</v>
      </c>
      <c r="BO965" s="101">
        <f t="shared" si="251"/>
        <v>0</v>
      </c>
      <c r="BP965" s="101">
        <f t="shared" ref="BP965:CP965" si="252">Forecast_year_amenity_cost*Extrapolation_mask</f>
        <v>0</v>
      </c>
      <c r="BQ965" s="101">
        <f t="shared" si="252"/>
        <v>0</v>
      </c>
      <c r="BR965" s="101">
        <f t="shared" si="252"/>
        <v>0</v>
      </c>
      <c r="BS965" s="101">
        <f t="shared" si="252"/>
        <v>0</v>
      </c>
      <c r="BT965" s="101">
        <f t="shared" si="252"/>
        <v>0</v>
      </c>
      <c r="BU965" s="101">
        <f t="shared" si="252"/>
        <v>0</v>
      </c>
      <c r="BV965" s="101">
        <f t="shared" si="252"/>
        <v>0</v>
      </c>
      <c r="BW965" s="101">
        <f t="shared" si="252"/>
        <v>0</v>
      </c>
      <c r="BX965" s="101">
        <f t="shared" si="252"/>
        <v>0</v>
      </c>
      <c r="BY965" s="101">
        <f t="shared" si="252"/>
        <v>0</v>
      </c>
      <c r="BZ965" s="101">
        <f t="shared" si="252"/>
        <v>0</v>
      </c>
      <c r="CA965" s="101">
        <f t="shared" si="252"/>
        <v>0</v>
      </c>
      <c r="CB965" s="101">
        <f t="shared" si="252"/>
        <v>0</v>
      </c>
      <c r="CC965" s="101">
        <f t="shared" si="252"/>
        <v>0</v>
      </c>
      <c r="CD965" s="101">
        <f t="shared" si="252"/>
        <v>0</v>
      </c>
      <c r="CE965" s="101">
        <f t="shared" si="252"/>
        <v>0</v>
      </c>
      <c r="CF965" s="101">
        <f t="shared" si="252"/>
        <v>0</v>
      </c>
      <c r="CG965" s="101">
        <f t="shared" si="252"/>
        <v>0</v>
      </c>
      <c r="CH965" s="101">
        <f t="shared" si="252"/>
        <v>0</v>
      </c>
      <c r="CI965" s="101">
        <f t="shared" si="252"/>
        <v>0</v>
      </c>
      <c r="CJ965" s="101">
        <f t="shared" si="252"/>
        <v>0</v>
      </c>
      <c r="CK965" s="101">
        <f t="shared" si="252"/>
        <v>0</v>
      </c>
      <c r="CL965" s="101">
        <f t="shared" si="252"/>
        <v>0</v>
      </c>
      <c r="CM965" s="101">
        <f t="shared" si="252"/>
        <v>0</v>
      </c>
      <c r="CN965" s="101">
        <f t="shared" si="252"/>
        <v>0</v>
      </c>
      <c r="CO965" s="101">
        <f t="shared" si="252"/>
        <v>0</v>
      </c>
      <c r="CP965" s="101">
        <f t="shared" si="252"/>
        <v>0</v>
      </c>
      <c r="CQ965" s="3" t="s">
        <v>285</v>
      </c>
    </row>
    <row r="966" spans="1:95" ht="14.5" x14ac:dyDescent="0.35">
      <c r="A966" s="102"/>
      <c r="B966" s="102" t="s">
        <v>279</v>
      </c>
      <c r="C966" s="102"/>
      <c r="D966" s="101">
        <f t="shared" ref="D966:AI966" si="253">Opening_year_amenity_cost_mask+Forecast_year_amenity_cost_mask+Interpolation_amenity_cost_mask+Extrapolation_amenity_cost_mask</f>
        <v>0</v>
      </c>
      <c r="E966" s="101">
        <f t="shared" si="253"/>
        <v>0</v>
      </c>
      <c r="F966" s="101">
        <f t="shared" si="253"/>
        <v>0</v>
      </c>
      <c r="G966" s="101">
        <f t="shared" si="253"/>
        <v>0</v>
      </c>
      <c r="H966" s="101">
        <f t="shared" si="253"/>
        <v>0</v>
      </c>
      <c r="I966" s="101">
        <f t="shared" si="253"/>
        <v>0</v>
      </c>
      <c r="J966" s="101">
        <f t="shared" si="253"/>
        <v>0</v>
      </c>
      <c r="K966" s="101">
        <f t="shared" si="253"/>
        <v>0</v>
      </c>
      <c r="L966" s="101">
        <f t="shared" si="253"/>
        <v>0</v>
      </c>
      <c r="M966" s="101">
        <f t="shared" si="253"/>
        <v>0</v>
      </c>
      <c r="N966" s="101">
        <f t="shared" si="253"/>
        <v>0</v>
      </c>
      <c r="O966" s="101">
        <f t="shared" si="253"/>
        <v>0</v>
      </c>
      <c r="P966" s="101">
        <f t="shared" si="253"/>
        <v>0</v>
      </c>
      <c r="Q966" s="101">
        <f t="shared" si="253"/>
        <v>0</v>
      </c>
      <c r="R966" s="101">
        <f t="shared" si="253"/>
        <v>0</v>
      </c>
      <c r="S966" s="101">
        <f t="shared" si="253"/>
        <v>0</v>
      </c>
      <c r="T966" s="101">
        <f t="shared" si="253"/>
        <v>0</v>
      </c>
      <c r="U966" s="101">
        <f t="shared" si="253"/>
        <v>0</v>
      </c>
      <c r="V966" s="101">
        <f t="shared" si="253"/>
        <v>0</v>
      </c>
      <c r="W966" s="101">
        <f t="shared" si="253"/>
        <v>0</v>
      </c>
      <c r="X966" s="101">
        <f t="shared" si="253"/>
        <v>0</v>
      </c>
      <c r="Y966" s="101">
        <f t="shared" si="253"/>
        <v>0</v>
      </c>
      <c r="Z966" s="101">
        <f t="shared" si="253"/>
        <v>0</v>
      </c>
      <c r="AA966" s="101">
        <f t="shared" si="253"/>
        <v>0</v>
      </c>
      <c r="AB966" s="101">
        <f t="shared" si="253"/>
        <v>0</v>
      </c>
      <c r="AC966" s="101">
        <f t="shared" si="253"/>
        <v>0</v>
      </c>
      <c r="AD966" s="101">
        <f t="shared" si="253"/>
        <v>0</v>
      </c>
      <c r="AE966" s="101">
        <f t="shared" si="253"/>
        <v>0</v>
      </c>
      <c r="AF966" s="101">
        <f t="shared" si="253"/>
        <v>0</v>
      </c>
      <c r="AG966" s="101">
        <f t="shared" si="253"/>
        <v>0</v>
      </c>
      <c r="AH966" s="101">
        <f t="shared" si="253"/>
        <v>0</v>
      </c>
      <c r="AI966" s="101">
        <f t="shared" si="253"/>
        <v>0</v>
      </c>
      <c r="AJ966" s="101">
        <f t="shared" ref="AJ966:BO966" si="254">Opening_year_amenity_cost_mask+Forecast_year_amenity_cost_mask+Interpolation_amenity_cost_mask+Extrapolation_amenity_cost_mask</f>
        <v>0</v>
      </c>
      <c r="AK966" s="101">
        <f t="shared" si="254"/>
        <v>0</v>
      </c>
      <c r="AL966" s="101">
        <f t="shared" si="254"/>
        <v>0</v>
      </c>
      <c r="AM966" s="101">
        <f t="shared" si="254"/>
        <v>0</v>
      </c>
      <c r="AN966" s="101">
        <f t="shared" si="254"/>
        <v>0</v>
      </c>
      <c r="AO966" s="101">
        <f t="shared" si="254"/>
        <v>0</v>
      </c>
      <c r="AP966" s="101">
        <f t="shared" si="254"/>
        <v>0</v>
      </c>
      <c r="AQ966" s="101">
        <f t="shared" si="254"/>
        <v>0</v>
      </c>
      <c r="AR966" s="101">
        <f t="shared" si="254"/>
        <v>0</v>
      </c>
      <c r="AS966" s="101">
        <f t="shared" si="254"/>
        <v>0</v>
      </c>
      <c r="AT966" s="101">
        <f t="shared" si="254"/>
        <v>0</v>
      </c>
      <c r="AU966" s="101">
        <f t="shared" si="254"/>
        <v>0</v>
      </c>
      <c r="AV966" s="101">
        <f t="shared" si="254"/>
        <v>0</v>
      </c>
      <c r="AW966" s="101">
        <f t="shared" si="254"/>
        <v>0</v>
      </c>
      <c r="AX966" s="101">
        <f t="shared" si="254"/>
        <v>0</v>
      </c>
      <c r="AY966" s="101">
        <f t="shared" si="254"/>
        <v>0</v>
      </c>
      <c r="AZ966" s="101">
        <f t="shared" si="254"/>
        <v>0</v>
      </c>
      <c r="BA966" s="101">
        <f t="shared" si="254"/>
        <v>0</v>
      </c>
      <c r="BB966" s="101">
        <f t="shared" si="254"/>
        <v>0</v>
      </c>
      <c r="BC966" s="101">
        <f t="shared" si="254"/>
        <v>0</v>
      </c>
      <c r="BD966" s="101">
        <f t="shared" si="254"/>
        <v>0</v>
      </c>
      <c r="BE966" s="101">
        <f t="shared" si="254"/>
        <v>0</v>
      </c>
      <c r="BF966" s="101">
        <f t="shared" si="254"/>
        <v>0</v>
      </c>
      <c r="BG966" s="101">
        <f t="shared" si="254"/>
        <v>0</v>
      </c>
      <c r="BH966" s="101">
        <f t="shared" si="254"/>
        <v>0</v>
      </c>
      <c r="BI966" s="101">
        <f t="shared" si="254"/>
        <v>0</v>
      </c>
      <c r="BJ966" s="101">
        <f t="shared" si="254"/>
        <v>0</v>
      </c>
      <c r="BK966" s="101">
        <f t="shared" si="254"/>
        <v>0</v>
      </c>
      <c r="BL966" s="101">
        <f t="shared" si="254"/>
        <v>0</v>
      </c>
      <c r="BM966" s="101">
        <f t="shared" si="254"/>
        <v>0</v>
      </c>
      <c r="BN966" s="101">
        <f t="shared" si="254"/>
        <v>0</v>
      </c>
      <c r="BO966" s="101">
        <f t="shared" si="254"/>
        <v>0</v>
      </c>
      <c r="BP966" s="101">
        <f t="shared" ref="BP966:CP966" si="255">Opening_year_amenity_cost_mask+Forecast_year_amenity_cost_mask+Interpolation_amenity_cost_mask+Extrapolation_amenity_cost_mask</f>
        <v>0</v>
      </c>
      <c r="BQ966" s="101">
        <f t="shared" si="255"/>
        <v>0</v>
      </c>
      <c r="BR966" s="101">
        <f t="shared" si="255"/>
        <v>0</v>
      </c>
      <c r="BS966" s="101">
        <f t="shared" si="255"/>
        <v>0</v>
      </c>
      <c r="BT966" s="101">
        <f t="shared" si="255"/>
        <v>0</v>
      </c>
      <c r="BU966" s="101">
        <f t="shared" si="255"/>
        <v>0</v>
      </c>
      <c r="BV966" s="101">
        <f t="shared" si="255"/>
        <v>0</v>
      </c>
      <c r="BW966" s="101">
        <f t="shared" si="255"/>
        <v>0</v>
      </c>
      <c r="BX966" s="101">
        <f t="shared" si="255"/>
        <v>0</v>
      </c>
      <c r="BY966" s="101">
        <f t="shared" si="255"/>
        <v>0</v>
      </c>
      <c r="BZ966" s="101">
        <f t="shared" si="255"/>
        <v>0</v>
      </c>
      <c r="CA966" s="101">
        <f t="shared" si="255"/>
        <v>0</v>
      </c>
      <c r="CB966" s="101">
        <f t="shared" si="255"/>
        <v>0</v>
      </c>
      <c r="CC966" s="101">
        <f t="shared" si="255"/>
        <v>0</v>
      </c>
      <c r="CD966" s="101">
        <f t="shared" si="255"/>
        <v>0</v>
      </c>
      <c r="CE966" s="101">
        <f t="shared" si="255"/>
        <v>0</v>
      </c>
      <c r="CF966" s="101">
        <f t="shared" si="255"/>
        <v>0</v>
      </c>
      <c r="CG966" s="101">
        <f t="shared" si="255"/>
        <v>0</v>
      </c>
      <c r="CH966" s="101">
        <f t="shared" si="255"/>
        <v>0</v>
      </c>
      <c r="CI966" s="101">
        <f t="shared" si="255"/>
        <v>0</v>
      </c>
      <c r="CJ966" s="101">
        <f t="shared" si="255"/>
        <v>0</v>
      </c>
      <c r="CK966" s="101">
        <f t="shared" si="255"/>
        <v>0</v>
      </c>
      <c r="CL966" s="101">
        <f t="shared" si="255"/>
        <v>0</v>
      </c>
      <c r="CM966" s="101">
        <f t="shared" si="255"/>
        <v>0</v>
      </c>
      <c r="CN966" s="101">
        <f t="shared" si="255"/>
        <v>0</v>
      </c>
      <c r="CO966" s="101">
        <f t="shared" si="255"/>
        <v>0</v>
      </c>
      <c r="CP966" s="101">
        <f t="shared" si="255"/>
        <v>0</v>
      </c>
      <c r="CQ966" s="3" t="s">
        <v>286</v>
      </c>
    </row>
    <row r="967" spans="1:95" ht="14.5" x14ac:dyDescent="0.35">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5">
      <c r="B968" s="5" t="s">
        <v>287</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5" x14ac:dyDescent="0.35">
      <c r="A971" s="102"/>
      <c r="B971" s="102" t="s">
        <v>67</v>
      </c>
      <c r="C971" s="102"/>
      <c r="D971" s="101">
        <f t="shared" ref="D971:AI971" si="256">Opening_year_AMI_cost*Opening_year_mask</f>
        <v>0</v>
      </c>
      <c r="E971" s="101">
        <f t="shared" si="256"/>
        <v>0</v>
      </c>
      <c r="F971" s="101">
        <f t="shared" si="256"/>
        <v>0</v>
      </c>
      <c r="G971" s="101">
        <f t="shared" si="256"/>
        <v>0</v>
      </c>
      <c r="H971" s="101">
        <f t="shared" si="256"/>
        <v>0</v>
      </c>
      <c r="I971" s="101">
        <f t="shared" si="256"/>
        <v>0</v>
      </c>
      <c r="J971" s="101">
        <f t="shared" si="256"/>
        <v>0</v>
      </c>
      <c r="K971" s="101">
        <f t="shared" si="256"/>
        <v>0</v>
      </c>
      <c r="L971" s="101">
        <f t="shared" si="256"/>
        <v>0</v>
      </c>
      <c r="M971" s="101">
        <f t="shared" si="256"/>
        <v>0</v>
      </c>
      <c r="N971" s="101">
        <f t="shared" si="256"/>
        <v>0</v>
      </c>
      <c r="O971" s="101">
        <f t="shared" si="256"/>
        <v>0</v>
      </c>
      <c r="P971" s="101">
        <f t="shared" si="256"/>
        <v>0</v>
      </c>
      <c r="Q971" s="101">
        <f t="shared" si="256"/>
        <v>0</v>
      </c>
      <c r="R971" s="101">
        <f t="shared" si="256"/>
        <v>0</v>
      </c>
      <c r="S971" s="101">
        <f t="shared" si="256"/>
        <v>0</v>
      </c>
      <c r="T971" s="101">
        <f t="shared" si="256"/>
        <v>0</v>
      </c>
      <c r="U971" s="101">
        <f t="shared" si="256"/>
        <v>0</v>
      </c>
      <c r="V971" s="101">
        <f t="shared" si="256"/>
        <v>0</v>
      </c>
      <c r="W971" s="101">
        <f t="shared" si="256"/>
        <v>0</v>
      </c>
      <c r="X971" s="101">
        <f t="shared" si="256"/>
        <v>0</v>
      </c>
      <c r="Y971" s="101">
        <f t="shared" si="256"/>
        <v>0</v>
      </c>
      <c r="Z971" s="101">
        <f t="shared" si="256"/>
        <v>0</v>
      </c>
      <c r="AA971" s="101">
        <f t="shared" si="256"/>
        <v>0</v>
      </c>
      <c r="AB971" s="101">
        <f t="shared" si="256"/>
        <v>0</v>
      </c>
      <c r="AC971" s="101">
        <f t="shared" si="256"/>
        <v>0</v>
      </c>
      <c r="AD971" s="101">
        <f t="shared" si="256"/>
        <v>0</v>
      </c>
      <c r="AE971" s="101">
        <f t="shared" si="256"/>
        <v>0</v>
      </c>
      <c r="AF971" s="101">
        <f t="shared" si="256"/>
        <v>0</v>
      </c>
      <c r="AG971" s="101">
        <f t="shared" si="256"/>
        <v>0</v>
      </c>
      <c r="AH971" s="101">
        <f t="shared" si="256"/>
        <v>0</v>
      </c>
      <c r="AI971" s="101">
        <f t="shared" si="256"/>
        <v>0</v>
      </c>
      <c r="AJ971" s="101">
        <f t="shared" ref="AJ971:BO971" si="257">Opening_year_AMI_cost*Opening_year_mask</f>
        <v>0</v>
      </c>
      <c r="AK971" s="101">
        <f t="shared" si="257"/>
        <v>0</v>
      </c>
      <c r="AL971" s="101">
        <f t="shared" si="257"/>
        <v>0</v>
      </c>
      <c r="AM971" s="101">
        <f t="shared" si="257"/>
        <v>0</v>
      </c>
      <c r="AN971" s="101">
        <f t="shared" si="257"/>
        <v>0</v>
      </c>
      <c r="AO971" s="101">
        <f t="shared" si="257"/>
        <v>0</v>
      </c>
      <c r="AP971" s="101">
        <f t="shared" si="257"/>
        <v>0</v>
      </c>
      <c r="AQ971" s="101">
        <f t="shared" si="257"/>
        <v>0</v>
      </c>
      <c r="AR971" s="101">
        <f t="shared" si="257"/>
        <v>0</v>
      </c>
      <c r="AS971" s="101">
        <f t="shared" si="257"/>
        <v>0</v>
      </c>
      <c r="AT971" s="101">
        <f t="shared" si="257"/>
        <v>0</v>
      </c>
      <c r="AU971" s="101">
        <f t="shared" si="257"/>
        <v>0</v>
      </c>
      <c r="AV971" s="101">
        <f t="shared" si="257"/>
        <v>0</v>
      </c>
      <c r="AW971" s="101">
        <f t="shared" si="257"/>
        <v>0</v>
      </c>
      <c r="AX971" s="101">
        <f t="shared" si="257"/>
        <v>0</v>
      </c>
      <c r="AY971" s="101">
        <f t="shared" si="257"/>
        <v>0</v>
      </c>
      <c r="AZ971" s="101">
        <f t="shared" si="257"/>
        <v>0</v>
      </c>
      <c r="BA971" s="101">
        <f t="shared" si="257"/>
        <v>0</v>
      </c>
      <c r="BB971" s="101">
        <f t="shared" si="257"/>
        <v>0</v>
      </c>
      <c r="BC971" s="101">
        <f t="shared" si="257"/>
        <v>0</v>
      </c>
      <c r="BD971" s="101">
        <f t="shared" si="257"/>
        <v>0</v>
      </c>
      <c r="BE971" s="101">
        <f t="shared" si="257"/>
        <v>0</v>
      </c>
      <c r="BF971" s="101">
        <f t="shared" si="257"/>
        <v>0</v>
      </c>
      <c r="BG971" s="101">
        <f t="shared" si="257"/>
        <v>0</v>
      </c>
      <c r="BH971" s="101">
        <f t="shared" si="257"/>
        <v>0</v>
      </c>
      <c r="BI971" s="101">
        <f t="shared" si="257"/>
        <v>0</v>
      </c>
      <c r="BJ971" s="101">
        <f t="shared" si="257"/>
        <v>0</v>
      </c>
      <c r="BK971" s="101">
        <f t="shared" si="257"/>
        <v>0</v>
      </c>
      <c r="BL971" s="101">
        <f t="shared" si="257"/>
        <v>0</v>
      </c>
      <c r="BM971" s="101">
        <f t="shared" si="257"/>
        <v>0</v>
      </c>
      <c r="BN971" s="101">
        <f t="shared" si="257"/>
        <v>0</v>
      </c>
      <c r="BO971" s="101">
        <f t="shared" si="257"/>
        <v>0</v>
      </c>
      <c r="BP971" s="101">
        <f t="shared" ref="BP971:CP971" si="258">Opening_year_AMI_cost*Opening_year_mask</f>
        <v>0</v>
      </c>
      <c r="BQ971" s="101">
        <f t="shared" si="258"/>
        <v>0</v>
      </c>
      <c r="BR971" s="101">
        <f t="shared" si="258"/>
        <v>0</v>
      </c>
      <c r="BS971" s="101">
        <f t="shared" si="258"/>
        <v>0</v>
      </c>
      <c r="BT971" s="101">
        <f t="shared" si="258"/>
        <v>0</v>
      </c>
      <c r="BU971" s="101">
        <f t="shared" si="258"/>
        <v>0</v>
      </c>
      <c r="BV971" s="101">
        <f t="shared" si="258"/>
        <v>0</v>
      </c>
      <c r="BW971" s="101">
        <f t="shared" si="258"/>
        <v>0</v>
      </c>
      <c r="BX971" s="101">
        <f t="shared" si="258"/>
        <v>0</v>
      </c>
      <c r="BY971" s="101">
        <f t="shared" si="258"/>
        <v>0</v>
      </c>
      <c r="BZ971" s="101">
        <f t="shared" si="258"/>
        <v>0</v>
      </c>
      <c r="CA971" s="101">
        <f t="shared" si="258"/>
        <v>0</v>
      </c>
      <c r="CB971" s="101">
        <f t="shared" si="258"/>
        <v>0</v>
      </c>
      <c r="CC971" s="101">
        <f t="shared" si="258"/>
        <v>0</v>
      </c>
      <c r="CD971" s="101">
        <f t="shared" si="258"/>
        <v>0</v>
      </c>
      <c r="CE971" s="101">
        <f t="shared" si="258"/>
        <v>0</v>
      </c>
      <c r="CF971" s="101">
        <f t="shared" si="258"/>
        <v>0</v>
      </c>
      <c r="CG971" s="101">
        <f t="shared" si="258"/>
        <v>0</v>
      </c>
      <c r="CH971" s="101">
        <f t="shared" si="258"/>
        <v>0</v>
      </c>
      <c r="CI971" s="101">
        <f t="shared" si="258"/>
        <v>0</v>
      </c>
      <c r="CJ971" s="101">
        <f t="shared" si="258"/>
        <v>0</v>
      </c>
      <c r="CK971" s="101">
        <f t="shared" si="258"/>
        <v>0</v>
      </c>
      <c r="CL971" s="101">
        <f t="shared" si="258"/>
        <v>0</v>
      </c>
      <c r="CM971" s="101">
        <f t="shared" si="258"/>
        <v>0</v>
      </c>
      <c r="CN971" s="101">
        <f t="shared" si="258"/>
        <v>0</v>
      </c>
      <c r="CO971" s="101">
        <f t="shared" si="258"/>
        <v>0</v>
      </c>
      <c r="CP971" s="101">
        <f t="shared" si="258"/>
        <v>0</v>
      </c>
      <c r="CQ971" s="3" t="s">
        <v>288</v>
      </c>
    </row>
    <row r="972" spans="1:95" ht="14.5" x14ac:dyDescent="0.35">
      <c r="A972" s="102"/>
      <c r="B972" s="102" t="s">
        <v>69</v>
      </c>
      <c r="C972" s="102"/>
      <c r="D972" s="101">
        <f t="shared" ref="D972:AI972" si="259">Forecast_year_AMI_cost*Forecast_year_mask</f>
        <v>0</v>
      </c>
      <c r="E972" s="101">
        <f t="shared" si="259"/>
        <v>0</v>
      </c>
      <c r="F972" s="101">
        <f t="shared" si="259"/>
        <v>0</v>
      </c>
      <c r="G972" s="101">
        <f t="shared" si="259"/>
        <v>0</v>
      </c>
      <c r="H972" s="101">
        <f t="shared" si="259"/>
        <v>0</v>
      </c>
      <c r="I972" s="101">
        <f t="shared" si="259"/>
        <v>0</v>
      </c>
      <c r="J972" s="101">
        <f t="shared" si="259"/>
        <v>0</v>
      </c>
      <c r="K972" s="101">
        <f t="shared" si="259"/>
        <v>0</v>
      </c>
      <c r="L972" s="101">
        <f t="shared" si="259"/>
        <v>0</v>
      </c>
      <c r="M972" s="101">
        <f t="shared" si="259"/>
        <v>0</v>
      </c>
      <c r="N972" s="101">
        <f t="shared" si="259"/>
        <v>0</v>
      </c>
      <c r="O972" s="101">
        <f t="shared" si="259"/>
        <v>0</v>
      </c>
      <c r="P972" s="101">
        <f t="shared" si="259"/>
        <v>0</v>
      </c>
      <c r="Q972" s="101">
        <f t="shared" si="259"/>
        <v>0</v>
      </c>
      <c r="R972" s="101">
        <f t="shared" si="259"/>
        <v>0</v>
      </c>
      <c r="S972" s="101">
        <f t="shared" si="259"/>
        <v>0</v>
      </c>
      <c r="T972" s="101">
        <f t="shared" si="259"/>
        <v>0</v>
      </c>
      <c r="U972" s="101">
        <f t="shared" si="259"/>
        <v>0</v>
      </c>
      <c r="V972" s="101">
        <f t="shared" si="259"/>
        <v>0</v>
      </c>
      <c r="W972" s="101">
        <f t="shared" si="259"/>
        <v>0</v>
      </c>
      <c r="X972" s="101">
        <f t="shared" si="259"/>
        <v>0</v>
      </c>
      <c r="Y972" s="101">
        <f t="shared" si="259"/>
        <v>0</v>
      </c>
      <c r="Z972" s="101">
        <f t="shared" si="259"/>
        <v>0</v>
      </c>
      <c r="AA972" s="101">
        <f t="shared" si="259"/>
        <v>0</v>
      </c>
      <c r="AB972" s="101">
        <f t="shared" si="259"/>
        <v>0</v>
      </c>
      <c r="AC972" s="101">
        <f t="shared" si="259"/>
        <v>0</v>
      </c>
      <c r="AD972" s="101">
        <f t="shared" si="259"/>
        <v>0</v>
      </c>
      <c r="AE972" s="101">
        <f t="shared" si="259"/>
        <v>0</v>
      </c>
      <c r="AF972" s="101">
        <f t="shared" si="259"/>
        <v>0</v>
      </c>
      <c r="AG972" s="101">
        <f t="shared" si="259"/>
        <v>0</v>
      </c>
      <c r="AH972" s="101">
        <f t="shared" si="259"/>
        <v>0</v>
      </c>
      <c r="AI972" s="101">
        <f t="shared" si="259"/>
        <v>0</v>
      </c>
      <c r="AJ972" s="101">
        <f t="shared" ref="AJ972:BO972" si="260">Forecast_year_AMI_cost*Forecast_year_mask</f>
        <v>0</v>
      </c>
      <c r="AK972" s="101">
        <f t="shared" si="260"/>
        <v>0</v>
      </c>
      <c r="AL972" s="101">
        <f t="shared" si="260"/>
        <v>0</v>
      </c>
      <c r="AM972" s="101">
        <f t="shared" si="260"/>
        <v>0</v>
      </c>
      <c r="AN972" s="101">
        <f t="shared" si="260"/>
        <v>0</v>
      </c>
      <c r="AO972" s="101">
        <f t="shared" si="260"/>
        <v>0</v>
      </c>
      <c r="AP972" s="101">
        <f t="shared" si="260"/>
        <v>0</v>
      </c>
      <c r="AQ972" s="101">
        <f t="shared" si="260"/>
        <v>0</v>
      </c>
      <c r="AR972" s="101">
        <f t="shared" si="260"/>
        <v>0</v>
      </c>
      <c r="AS972" s="101">
        <f t="shared" si="260"/>
        <v>0</v>
      </c>
      <c r="AT972" s="101">
        <f t="shared" si="260"/>
        <v>0</v>
      </c>
      <c r="AU972" s="101">
        <f t="shared" si="260"/>
        <v>0</v>
      </c>
      <c r="AV972" s="101">
        <f t="shared" si="260"/>
        <v>0</v>
      </c>
      <c r="AW972" s="101">
        <f t="shared" si="260"/>
        <v>0</v>
      </c>
      <c r="AX972" s="101">
        <f t="shared" si="260"/>
        <v>0</v>
      </c>
      <c r="AY972" s="101">
        <f t="shared" si="260"/>
        <v>0</v>
      </c>
      <c r="AZ972" s="101">
        <f t="shared" si="260"/>
        <v>0</v>
      </c>
      <c r="BA972" s="101">
        <f t="shared" si="260"/>
        <v>0</v>
      </c>
      <c r="BB972" s="101">
        <f t="shared" si="260"/>
        <v>0</v>
      </c>
      <c r="BC972" s="101">
        <f t="shared" si="260"/>
        <v>0</v>
      </c>
      <c r="BD972" s="101">
        <f t="shared" si="260"/>
        <v>0</v>
      </c>
      <c r="BE972" s="101">
        <f t="shared" si="260"/>
        <v>0</v>
      </c>
      <c r="BF972" s="101">
        <f t="shared" si="260"/>
        <v>0</v>
      </c>
      <c r="BG972" s="101">
        <f t="shared" si="260"/>
        <v>0</v>
      </c>
      <c r="BH972" s="101">
        <f t="shared" si="260"/>
        <v>0</v>
      </c>
      <c r="BI972" s="101">
        <f t="shared" si="260"/>
        <v>0</v>
      </c>
      <c r="BJ972" s="101">
        <f t="shared" si="260"/>
        <v>0</v>
      </c>
      <c r="BK972" s="101">
        <f t="shared" si="260"/>
        <v>0</v>
      </c>
      <c r="BL972" s="101">
        <f t="shared" si="260"/>
        <v>0</v>
      </c>
      <c r="BM972" s="101">
        <f t="shared" si="260"/>
        <v>0</v>
      </c>
      <c r="BN972" s="101">
        <f t="shared" si="260"/>
        <v>0</v>
      </c>
      <c r="BO972" s="101">
        <f t="shared" si="260"/>
        <v>0</v>
      </c>
      <c r="BP972" s="101">
        <f t="shared" ref="BP972:CP972" si="261">Forecast_year_AMI_cost*Forecast_year_mask</f>
        <v>0</v>
      </c>
      <c r="BQ972" s="101">
        <f t="shared" si="261"/>
        <v>0</v>
      </c>
      <c r="BR972" s="101">
        <f t="shared" si="261"/>
        <v>0</v>
      </c>
      <c r="BS972" s="101">
        <f t="shared" si="261"/>
        <v>0</v>
      </c>
      <c r="BT972" s="101">
        <f t="shared" si="261"/>
        <v>0</v>
      </c>
      <c r="BU972" s="101">
        <f t="shared" si="261"/>
        <v>0</v>
      </c>
      <c r="BV972" s="101">
        <f t="shared" si="261"/>
        <v>0</v>
      </c>
      <c r="BW972" s="101">
        <f t="shared" si="261"/>
        <v>0</v>
      </c>
      <c r="BX972" s="101">
        <f t="shared" si="261"/>
        <v>0</v>
      </c>
      <c r="BY972" s="101">
        <f t="shared" si="261"/>
        <v>0</v>
      </c>
      <c r="BZ972" s="101">
        <f t="shared" si="261"/>
        <v>0</v>
      </c>
      <c r="CA972" s="101">
        <f t="shared" si="261"/>
        <v>0</v>
      </c>
      <c r="CB972" s="101">
        <f t="shared" si="261"/>
        <v>0</v>
      </c>
      <c r="CC972" s="101">
        <f t="shared" si="261"/>
        <v>0</v>
      </c>
      <c r="CD972" s="101">
        <f t="shared" si="261"/>
        <v>0</v>
      </c>
      <c r="CE972" s="101">
        <f t="shared" si="261"/>
        <v>0</v>
      </c>
      <c r="CF972" s="101">
        <f t="shared" si="261"/>
        <v>0</v>
      </c>
      <c r="CG972" s="101">
        <f t="shared" si="261"/>
        <v>0</v>
      </c>
      <c r="CH972" s="101">
        <f t="shared" si="261"/>
        <v>0</v>
      </c>
      <c r="CI972" s="101">
        <f t="shared" si="261"/>
        <v>0</v>
      </c>
      <c r="CJ972" s="101">
        <f t="shared" si="261"/>
        <v>0</v>
      </c>
      <c r="CK972" s="101">
        <f t="shared" si="261"/>
        <v>0</v>
      </c>
      <c r="CL972" s="101">
        <f t="shared" si="261"/>
        <v>0</v>
      </c>
      <c r="CM972" s="101">
        <f t="shared" si="261"/>
        <v>0</v>
      </c>
      <c r="CN972" s="101">
        <f t="shared" si="261"/>
        <v>0</v>
      </c>
      <c r="CO972" s="101">
        <f t="shared" si="261"/>
        <v>0</v>
      </c>
      <c r="CP972" s="101">
        <f t="shared" si="261"/>
        <v>0</v>
      </c>
      <c r="CQ972" s="3" t="s">
        <v>289</v>
      </c>
    </row>
    <row r="973" spans="1:95" ht="14.5" x14ac:dyDescent="0.35">
      <c r="A973" s="102"/>
      <c r="B973" s="102" t="s">
        <v>268</v>
      </c>
      <c r="C973" s="102"/>
      <c r="D973" s="101">
        <f t="shared" ref="D973:AI973" si="262">(Opening_year_AMI_cost+(Difference_AMI_cost)*(year-Opening_year)/(Forecast_and_opening_year_difference))*Interpolation_mask</f>
        <v>0</v>
      </c>
      <c r="E973" s="101">
        <f t="shared" si="262"/>
        <v>0</v>
      </c>
      <c r="F973" s="101">
        <f t="shared" si="262"/>
        <v>0</v>
      </c>
      <c r="G973" s="101">
        <f t="shared" si="262"/>
        <v>0</v>
      </c>
      <c r="H973" s="101">
        <f t="shared" si="262"/>
        <v>0</v>
      </c>
      <c r="I973" s="101">
        <f t="shared" si="262"/>
        <v>0</v>
      </c>
      <c r="J973" s="101">
        <f t="shared" si="262"/>
        <v>0</v>
      </c>
      <c r="K973" s="101">
        <f t="shared" si="262"/>
        <v>0</v>
      </c>
      <c r="L973" s="101">
        <f t="shared" si="262"/>
        <v>0</v>
      </c>
      <c r="M973" s="101">
        <f t="shared" si="262"/>
        <v>0</v>
      </c>
      <c r="N973" s="101">
        <f t="shared" si="262"/>
        <v>0</v>
      </c>
      <c r="O973" s="101">
        <f t="shared" si="262"/>
        <v>0</v>
      </c>
      <c r="P973" s="101">
        <f t="shared" si="262"/>
        <v>0</v>
      </c>
      <c r="Q973" s="101">
        <f t="shared" si="262"/>
        <v>0</v>
      </c>
      <c r="R973" s="101">
        <f t="shared" si="262"/>
        <v>0</v>
      </c>
      <c r="S973" s="101">
        <f t="shared" si="262"/>
        <v>0</v>
      </c>
      <c r="T973" s="101">
        <f t="shared" si="262"/>
        <v>0</v>
      </c>
      <c r="U973" s="101">
        <f t="shared" si="262"/>
        <v>0</v>
      </c>
      <c r="V973" s="101">
        <f t="shared" si="262"/>
        <v>0</v>
      </c>
      <c r="W973" s="101">
        <f t="shared" si="262"/>
        <v>0</v>
      </c>
      <c r="X973" s="101">
        <f t="shared" si="262"/>
        <v>0</v>
      </c>
      <c r="Y973" s="101">
        <f t="shared" si="262"/>
        <v>0</v>
      </c>
      <c r="Z973" s="101">
        <f t="shared" si="262"/>
        <v>0</v>
      </c>
      <c r="AA973" s="101">
        <f t="shared" si="262"/>
        <v>0</v>
      </c>
      <c r="AB973" s="101">
        <f t="shared" si="262"/>
        <v>0</v>
      </c>
      <c r="AC973" s="101">
        <f t="shared" si="262"/>
        <v>0</v>
      </c>
      <c r="AD973" s="101">
        <f t="shared" si="262"/>
        <v>0</v>
      </c>
      <c r="AE973" s="101">
        <f t="shared" si="262"/>
        <v>0</v>
      </c>
      <c r="AF973" s="101">
        <f t="shared" si="262"/>
        <v>0</v>
      </c>
      <c r="AG973" s="101">
        <f t="shared" si="262"/>
        <v>0</v>
      </c>
      <c r="AH973" s="101">
        <f t="shared" si="262"/>
        <v>0</v>
      </c>
      <c r="AI973" s="101">
        <f t="shared" si="262"/>
        <v>0</v>
      </c>
      <c r="AJ973" s="101">
        <f t="shared" ref="AJ973:BO973" si="263">(Opening_year_AMI_cost+(Difference_AMI_cost)*(year-Opening_year)/(Forecast_and_opening_year_difference))*Interpolation_mask</f>
        <v>0</v>
      </c>
      <c r="AK973" s="101">
        <f t="shared" si="263"/>
        <v>0</v>
      </c>
      <c r="AL973" s="101">
        <f t="shared" si="263"/>
        <v>0</v>
      </c>
      <c r="AM973" s="101">
        <f t="shared" si="263"/>
        <v>0</v>
      </c>
      <c r="AN973" s="101">
        <f t="shared" si="263"/>
        <v>0</v>
      </c>
      <c r="AO973" s="101">
        <f t="shared" si="263"/>
        <v>0</v>
      </c>
      <c r="AP973" s="101">
        <f t="shared" si="263"/>
        <v>0</v>
      </c>
      <c r="AQ973" s="101">
        <f t="shared" si="263"/>
        <v>0</v>
      </c>
      <c r="AR973" s="101">
        <f t="shared" si="263"/>
        <v>0</v>
      </c>
      <c r="AS973" s="101">
        <f t="shared" si="263"/>
        <v>0</v>
      </c>
      <c r="AT973" s="101">
        <f t="shared" si="263"/>
        <v>0</v>
      </c>
      <c r="AU973" s="101">
        <f t="shared" si="263"/>
        <v>0</v>
      </c>
      <c r="AV973" s="101">
        <f t="shared" si="263"/>
        <v>0</v>
      </c>
      <c r="AW973" s="101">
        <f t="shared" si="263"/>
        <v>0</v>
      </c>
      <c r="AX973" s="101">
        <f t="shared" si="263"/>
        <v>0</v>
      </c>
      <c r="AY973" s="101">
        <f t="shared" si="263"/>
        <v>0</v>
      </c>
      <c r="AZ973" s="101">
        <f t="shared" si="263"/>
        <v>0</v>
      </c>
      <c r="BA973" s="101">
        <f t="shared" si="263"/>
        <v>0</v>
      </c>
      <c r="BB973" s="101">
        <f t="shared" si="263"/>
        <v>0</v>
      </c>
      <c r="BC973" s="101">
        <f t="shared" si="263"/>
        <v>0</v>
      </c>
      <c r="BD973" s="101">
        <f t="shared" si="263"/>
        <v>0</v>
      </c>
      <c r="BE973" s="101">
        <f t="shared" si="263"/>
        <v>0</v>
      </c>
      <c r="BF973" s="101">
        <f t="shared" si="263"/>
        <v>0</v>
      </c>
      <c r="BG973" s="101">
        <f t="shared" si="263"/>
        <v>0</v>
      </c>
      <c r="BH973" s="101">
        <f t="shared" si="263"/>
        <v>0</v>
      </c>
      <c r="BI973" s="101">
        <f t="shared" si="263"/>
        <v>0</v>
      </c>
      <c r="BJ973" s="101">
        <f t="shared" si="263"/>
        <v>0</v>
      </c>
      <c r="BK973" s="101">
        <f t="shared" si="263"/>
        <v>0</v>
      </c>
      <c r="BL973" s="101">
        <f t="shared" si="263"/>
        <v>0</v>
      </c>
      <c r="BM973" s="101">
        <f t="shared" si="263"/>
        <v>0</v>
      </c>
      <c r="BN973" s="101">
        <f t="shared" si="263"/>
        <v>0</v>
      </c>
      <c r="BO973" s="101">
        <f t="shared" si="263"/>
        <v>0</v>
      </c>
      <c r="BP973" s="101">
        <f t="shared" ref="BP973:CP973" si="264">(Opening_year_AMI_cost+(Difference_AMI_cost)*(year-Opening_year)/(Forecast_and_opening_year_difference))*Interpolation_mask</f>
        <v>0</v>
      </c>
      <c r="BQ973" s="101">
        <f t="shared" si="264"/>
        <v>0</v>
      </c>
      <c r="BR973" s="101">
        <f t="shared" si="264"/>
        <v>0</v>
      </c>
      <c r="BS973" s="101">
        <f t="shared" si="264"/>
        <v>0</v>
      </c>
      <c r="BT973" s="101">
        <f t="shared" si="264"/>
        <v>0</v>
      </c>
      <c r="BU973" s="101">
        <f t="shared" si="264"/>
        <v>0</v>
      </c>
      <c r="BV973" s="101">
        <f t="shared" si="264"/>
        <v>0</v>
      </c>
      <c r="BW973" s="101">
        <f t="shared" si="264"/>
        <v>0</v>
      </c>
      <c r="BX973" s="101">
        <f t="shared" si="264"/>
        <v>0</v>
      </c>
      <c r="BY973" s="101">
        <f t="shared" si="264"/>
        <v>0</v>
      </c>
      <c r="BZ973" s="101">
        <f t="shared" si="264"/>
        <v>0</v>
      </c>
      <c r="CA973" s="101">
        <f t="shared" si="264"/>
        <v>0</v>
      </c>
      <c r="CB973" s="101">
        <f t="shared" si="264"/>
        <v>0</v>
      </c>
      <c r="CC973" s="101">
        <f t="shared" si="264"/>
        <v>0</v>
      </c>
      <c r="CD973" s="101">
        <f t="shared" si="264"/>
        <v>0</v>
      </c>
      <c r="CE973" s="101">
        <f t="shared" si="264"/>
        <v>0</v>
      </c>
      <c r="CF973" s="101">
        <f t="shared" si="264"/>
        <v>0</v>
      </c>
      <c r="CG973" s="101">
        <f t="shared" si="264"/>
        <v>0</v>
      </c>
      <c r="CH973" s="101">
        <f t="shared" si="264"/>
        <v>0</v>
      </c>
      <c r="CI973" s="101">
        <f t="shared" si="264"/>
        <v>0</v>
      </c>
      <c r="CJ973" s="101">
        <f t="shared" si="264"/>
        <v>0</v>
      </c>
      <c r="CK973" s="101">
        <f t="shared" si="264"/>
        <v>0</v>
      </c>
      <c r="CL973" s="101">
        <f t="shared" si="264"/>
        <v>0</v>
      </c>
      <c r="CM973" s="101">
        <f t="shared" si="264"/>
        <v>0</v>
      </c>
      <c r="CN973" s="101">
        <f t="shared" si="264"/>
        <v>0</v>
      </c>
      <c r="CO973" s="101">
        <f t="shared" si="264"/>
        <v>0</v>
      </c>
      <c r="CP973" s="101">
        <f t="shared" si="264"/>
        <v>0</v>
      </c>
      <c r="CQ973" s="3" t="s">
        <v>290</v>
      </c>
    </row>
    <row r="974" spans="1:95" ht="14.5" x14ac:dyDescent="0.35">
      <c r="A974" s="102"/>
      <c r="B974" s="102" t="s">
        <v>270</v>
      </c>
      <c r="C974" s="102"/>
      <c r="D974" s="101">
        <f t="shared" ref="D974:AI974" si="265">Forecast_year_AMI_cost*Extrapolation_mask</f>
        <v>0</v>
      </c>
      <c r="E974" s="101">
        <f t="shared" si="265"/>
        <v>0</v>
      </c>
      <c r="F974" s="101">
        <f t="shared" si="265"/>
        <v>0</v>
      </c>
      <c r="G974" s="101">
        <f t="shared" si="265"/>
        <v>0</v>
      </c>
      <c r="H974" s="101">
        <f t="shared" si="265"/>
        <v>0</v>
      </c>
      <c r="I974" s="101">
        <f t="shared" si="265"/>
        <v>0</v>
      </c>
      <c r="J974" s="101">
        <f t="shared" si="265"/>
        <v>0</v>
      </c>
      <c r="K974" s="101">
        <f t="shared" si="265"/>
        <v>0</v>
      </c>
      <c r="L974" s="101">
        <f t="shared" si="265"/>
        <v>0</v>
      </c>
      <c r="M974" s="101">
        <f t="shared" si="265"/>
        <v>0</v>
      </c>
      <c r="N974" s="101">
        <f t="shared" si="265"/>
        <v>0</v>
      </c>
      <c r="O974" s="101">
        <f t="shared" si="265"/>
        <v>0</v>
      </c>
      <c r="P974" s="101">
        <f t="shared" si="265"/>
        <v>0</v>
      </c>
      <c r="Q974" s="101">
        <f t="shared" si="265"/>
        <v>0</v>
      </c>
      <c r="R974" s="101">
        <f t="shared" si="265"/>
        <v>0</v>
      </c>
      <c r="S974" s="101">
        <f t="shared" si="265"/>
        <v>0</v>
      </c>
      <c r="T974" s="101">
        <f t="shared" si="265"/>
        <v>0</v>
      </c>
      <c r="U974" s="101">
        <f t="shared" si="265"/>
        <v>0</v>
      </c>
      <c r="V974" s="101">
        <f t="shared" si="265"/>
        <v>0</v>
      </c>
      <c r="W974" s="101">
        <f t="shared" si="265"/>
        <v>0</v>
      </c>
      <c r="X974" s="101">
        <f t="shared" si="265"/>
        <v>0</v>
      </c>
      <c r="Y974" s="101">
        <f t="shared" si="265"/>
        <v>0</v>
      </c>
      <c r="Z974" s="101">
        <f t="shared" si="265"/>
        <v>0</v>
      </c>
      <c r="AA974" s="101">
        <f t="shared" si="265"/>
        <v>0</v>
      </c>
      <c r="AB974" s="101">
        <f t="shared" si="265"/>
        <v>0</v>
      </c>
      <c r="AC974" s="101">
        <f t="shared" si="265"/>
        <v>0</v>
      </c>
      <c r="AD974" s="101">
        <f t="shared" si="265"/>
        <v>0</v>
      </c>
      <c r="AE974" s="101">
        <f t="shared" si="265"/>
        <v>0</v>
      </c>
      <c r="AF974" s="101">
        <f t="shared" si="265"/>
        <v>0</v>
      </c>
      <c r="AG974" s="101">
        <f t="shared" si="265"/>
        <v>0</v>
      </c>
      <c r="AH974" s="101">
        <f t="shared" si="265"/>
        <v>0</v>
      </c>
      <c r="AI974" s="101">
        <f t="shared" si="265"/>
        <v>0</v>
      </c>
      <c r="AJ974" s="101">
        <f t="shared" ref="AJ974:BO974" si="266">Forecast_year_AMI_cost*Extrapolation_mask</f>
        <v>0</v>
      </c>
      <c r="AK974" s="101">
        <f t="shared" si="266"/>
        <v>0</v>
      </c>
      <c r="AL974" s="101">
        <f t="shared" si="266"/>
        <v>0</v>
      </c>
      <c r="AM974" s="101">
        <f t="shared" si="266"/>
        <v>0</v>
      </c>
      <c r="AN974" s="101">
        <f t="shared" si="266"/>
        <v>0</v>
      </c>
      <c r="AO974" s="101">
        <f t="shared" si="266"/>
        <v>0</v>
      </c>
      <c r="AP974" s="101">
        <f t="shared" si="266"/>
        <v>0</v>
      </c>
      <c r="AQ974" s="101">
        <f t="shared" si="266"/>
        <v>0</v>
      </c>
      <c r="AR974" s="101">
        <f t="shared" si="266"/>
        <v>0</v>
      </c>
      <c r="AS974" s="101">
        <f t="shared" si="266"/>
        <v>0</v>
      </c>
      <c r="AT974" s="101">
        <f t="shared" si="266"/>
        <v>0</v>
      </c>
      <c r="AU974" s="101">
        <f t="shared" si="266"/>
        <v>0</v>
      </c>
      <c r="AV974" s="101">
        <f t="shared" si="266"/>
        <v>0</v>
      </c>
      <c r="AW974" s="101">
        <f t="shared" si="266"/>
        <v>0</v>
      </c>
      <c r="AX974" s="101">
        <f t="shared" si="266"/>
        <v>0</v>
      </c>
      <c r="AY974" s="101">
        <f t="shared" si="266"/>
        <v>0</v>
      </c>
      <c r="AZ974" s="101">
        <f t="shared" si="266"/>
        <v>0</v>
      </c>
      <c r="BA974" s="101">
        <f t="shared" si="266"/>
        <v>0</v>
      </c>
      <c r="BB974" s="101">
        <f t="shared" si="266"/>
        <v>0</v>
      </c>
      <c r="BC974" s="101">
        <f t="shared" si="266"/>
        <v>0</v>
      </c>
      <c r="BD974" s="101">
        <f t="shared" si="266"/>
        <v>0</v>
      </c>
      <c r="BE974" s="101">
        <f t="shared" si="266"/>
        <v>0</v>
      </c>
      <c r="BF974" s="101">
        <f t="shared" si="266"/>
        <v>0</v>
      </c>
      <c r="BG974" s="101">
        <f t="shared" si="266"/>
        <v>0</v>
      </c>
      <c r="BH974" s="101">
        <f t="shared" si="266"/>
        <v>0</v>
      </c>
      <c r="BI974" s="101">
        <f t="shared" si="266"/>
        <v>0</v>
      </c>
      <c r="BJ974" s="101">
        <f t="shared" si="266"/>
        <v>0</v>
      </c>
      <c r="BK974" s="101">
        <f t="shared" si="266"/>
        <v>0</v>
      </c>
      <c r="BL974" s="101">
        <f t="shared" si="266"/>
        <v>0</v>
      </c>
      <c r="BM974" s="101">
        <f t="shared" si="266"/>
        <v>0</v>
      </c>
      <c r="BN974" s="101">
        <f t="shared" si="266"/>
        <v>0</v>
      </c>
      <c r="BO974" s="101">
        <f t="shared" si="266"/>
        <v>0</v>
      </c>
      <c r="BP974" s="101">
        <f t="shared" ref="BP974:CP974" si="267">Forecast_year_AMI_cost*Extrapolation_mask</f>
        <v>0</v>
      </c>
      <c r="BQ974" s="101">
        <f t="shared" si="267"/>
        <v>0</v>
      </c>
      <c r="BR974" s="101">
        <f t="shared" si="267"/>
        <v>0</v>
      </c>
      <c r="BS974" s="101">
        <f t="shared" si="267"/>
        <v>0</v>
      </c>
      <c r="BT974" s="101">
        <f t="shared" si="267"/>
        <v>0</v>
      </c>
      <c r="BU974" s="101">
        <f t="shared" si="267"/>
        <v>0</v>
      </c>
      <c r="BV974" s="101">
        <f t="shared" si="267"/>
        <v>0</v>
      </c>
      <c r="BW974" s="101">
        <f t="shared" si="267"/>
        <v>0</v>
      </c>
      <c r="BX974" s="101">
        <f t="shared" si="267"/>
        <v>0</v>
      </c>
      <c r="BY974" s="101">
        <f t="shared" si="267"/>
        <v>0</v>
      </c>
      <c r="BZ974" s="101">
        <f t="shared" si="267"/>
        <v>0</v>
      </c>
      <c r="CA974" s="101">
        <f t="shared" si="267"/>
        <v>0</v>
      </c>
      <c r="CB974" s="101">
        <f t="shared" si="267"/>
        <v>0</v>
      </c>
      <c r="CC974" s="101">
        <f t="shared" si="267"/>
        <v>0</v>
      </c>
      <c r="CD974" s="101">
        <f t="shared" si="267"/>
        <v>0</v>
      </c>
      <c r="CE974" s="101">
        <f t="shared" si="267"/>
        <v>0</v>
      </c>
      <c r="CF974" s="101">
        <f t="shared" si="267"/>
        <v>0</v>
      </c>
      <c r="CG974" s="101">
        <f t="shared" si="267"/>
        <v>0</v>
      </c>
      <c r="CH974" s="101">
        <f t="shared" si="267"/>
        <v>0</v>
      </c>
      <c r="CI974" s="101">
        <f t="shared" si="267"/>
        <v>0</v>
      </c>
      <c r="CJ974" s="101">
        <f t="shared" si="267"/>
        <v>0</v>
      </c>
      <c r="CK974" s="101">
        <f t="shared" si="267"/>
        <v>0</v>
      </c>
      <c r="CL974" s="101">
        <f t="shared" si="267"/>
        <v>0</v>
      </c>
      <c r="CM974" s="101">
        <f t="shared" si="267"/>
        <v>0</v>
      </c>
      <c r="CN974" s="101">
        <f t="shared" si="267"/>
        <v>0</v>
      </c>
      <c r="CO974" s="101">
        <f t="shared" si="267"/>
        <v>0</v>
      </c>
      <c r="CP974" s="101">
        <f t="shared" si="267"/>
        <v>0</v>
      </c>
      <c r="CQ974" s="3" t="s">
        <v>291</v>
      </c>
    </row>
    <row r="975" spans="1:95" ht="14.5" x14ac:dyDescent="0.35">
      <c r="A975" s="102"/>
      <c r="B975" s="102" t="s">
        <v>279</v>
      </c>
      <c r="C975" s="102"/>
      <c r="D975" s="101">
        <f t="shared" ref="D975:AI975" si="268">Opening_year_AMI_cost_mask+Forecast_year_AMI_cost_mask+Interpolation_AMI_cost_mask+Extrapolation_AMI_cost_mask</f>
        <v>0</v>
      </c>
      <c r="E975" s="101">
        <f t="shared" si="268"/>
        <v>0</v>
      </c>
      <c r="F975" s="101">
        <f t="shared" si="268"/>
        <v>0</v>
      </c>
      <c r="G975" s="101">
        <f t="shared" si="268"/>
        <v>0</v>
      </c>
      <c r="H975" s="101">
        <f t="shared" si="268"/>
        <v>0</v>
      </c>
      <c r="I975" s="101">
        <f t="shared" si="268"/>
        <v>0</v>
      </c>
      <c r="J975" s="101">
        <f t="shared" si="268"/>
        <v>0</v>
      </c>
      <c r="K975" s="101">
        <f t="shared" si="268"/>
        <v>0</v>
      </c>
      <c r="L975" s="101">
        <f t="shared" si="268"/>
        <v>0</v>
      </c>
      <c r="M975" s="101">
        <f t="shared" si="268"/>
        <v>0</v>
      </c>
      <c r="N975" s="101">
        <f t="shared" si="268"/>
        <v>0</v>
      </c>
      <c r="O975" s="101">
        <f t="shared" si="268"/>
        <v>0</v>
      </c>
      <c r="P975" s="101">
        <f t="shared" si="268"/>
        <v>0</v>
      </c>
      <c r="Q975" s="101">
        <f t="shared" si="268"/>
        <v>0</v>
      </c>
      <c r="R975" s="101">
        <f t="shared" si="268"/>
        <v>0</v>
      </c>
      <c r="S975" s="101">
        <f t="shared" si="268"/>
        <v>0</v>
      </c>
      <c r="T975" s="101">
        <f t="shared" si="268"/>
        <v>0</v>
      </c>
      <c r="U975" s="101">
        <f t="shared" si="268"/>
        <v>0</v>
      </c>
      <c r="V975" s="101">
        <f t="shared" si="268"/>
        <v>0</v>
      </c>
      <c r="W975" s="101">
        <f t="shared" si="268"/>
        <v>0</v>
      </c>
      <c r="X975" s="101">
        <f t="shared" si="268"/>
        <v>0</v>
      </c>
      <c r="Y975" s="101">
        <f t="shared" si="268"/>
        <v>0</v>
      </c>
      <c r="Z975" s="101">
        <f t="shared" si="268"/>
        <v>0</v>
      </c>
      <c r="AA975" s="101">
        <f t="shared" si="268"/>
        <v>0</v>
      </c>
      <c r="AB975" s="101">
        <f t="shared" si="268"/>
        <v>0</v>
      </c>
      <c r="AC975" s="101">
        <f t="shared" si="268"/>
        <v>0</v>
      </c>
      <c r="AD975" s="101">
        <f t="shared" si="268"/>
        <v>0</v>
      </c>
      <c r="AE975" s="101">
        <f t="shared" si="268"/>
        <v>0</v>
      </c>
      <c r="AF975" s="101">
        <f t="shared" si="268"/>
        <v>0</v>
      </c>
      <c r="AG975" s="101">
        <f t="shared" si="268"/>
        <v>0</v>
      </c>
      <c r="AH975" s="101">
        <f t="shared" si="268"/>
        <v>0</v>
      </c>
      <c r="AI975" s="101">
        <f t="shared" si="268"/>
        <v>0</v>
      </c>
      <c r="AJ975" s="101">
        <f t="shared" ref="AJ975:BO975" si="269">Opening_year_AMI_cost_mask+Forecast_year_AMI_cost_mask+Interpolation_AMI_cost_mask+Extrapolation_AMI_cost_mask</f>
        <v>0</v>
      </c>
      <c r="AK975" s="101">
        <f t="shared" si="269"/>
        <v>0</v>
      </c>
      <c r="AL975" s="101">
        <f t="shared" si="269"/>
        <v>0</v>
      </c>
      <c r="AM975" s="101">
        <f t="shared" si="269"/>
        <v>0</v>
      </c>
      <c r="AN975" s="101">
        <f t="shared" si="269"/>
        <v>0</v>
      </c>
      <c r="AO975" s="101">
        <f t="shared" si="269"/>
        <v>0</v>
      </c>
      <c r="AP975" s="101">
        <f t="shared" si="269"/>
        <v>0</v>
      </c>
      <c r="AQ975" s="101">
        <f t="shared" si="269"/>
        <v>0</v>
      </c>
      <c r="AR975" s="101">
        <f t="shared" si="269"/>
        <v>0</v>
      </c>
      <c r="AS975" s="101">
        <f t="shared" si="269"/>
        <v>0</v>
      </c>
      <c r="AT975" s="101">
        <f t="shared" si="269"/>
        <v>0</v>
      </c>
      <c r="AU975" s="101">
        <f t="shared" si="269"/>
        <v>0</v>
      </c>
      <c r="AV975" s="101">
        <f t="shared" si="269"/>
        <v>0</v>
      </c>
      <c r="AW975" s="101">
        <f t="shared" si="269"/>
        <v>0</v>
      </c>
      <c r="AX975" s="101">
        <f t="shared" si="269"/>
        <v>0</v>
      </c>
      <c r="AY975" s="101">
        <f t="shared" si="269"/>
        <v>0</v>
      </c>
      <c r="AZ975" s="101">
        <f t="shared" si="269"/>
        <v>0</v>
      </c>
      <c r="BA975" s="101">
        <f t="shared" si="269"/>
        <v>0</v>
      </c>
      <c r="BB975" s="101">
        <f t="shared" si="269"/>
        <v>0</v>
      </c>
      <c r="BC975" s="101">
        <f t="shared" si="269"/>
        <v>0</v>
      </c>
      <c r="BD975" s="101">
        <f t="shared" si="269"/>
        <v>0</v>
      </c>
      <c r="BE975" s="101">
        <f t="shared" si="269"/>
        <v>0</v>
      </c>
      <c r="BF975" s="101">
        <f t="shared" si="269"/>
        <v>0</v>
      </c>
      <c r="BG975" s="101">
        <f t="shared" si="269"/>
        <v>0</v>
      </c>
      <c r="BH975" s="101">
        <f t="shared" si="269"/>
        <v>0</v>
      </c>
      <c r="BI975" s="101">
        <f t="shared" si="269"/>
        <v>0</v>
      </c>
      <c r="BJ975" s="101">
        <f t="shared" si="269"/>
        <v>0</v>
      </c>
      <c r="BK975" s="101">
        <f t="shared" si="269"/>
        <v>0</v>
      </c>
      <c r="BL975" s="101">
        <f t="shared" si="269"/>
        <v>0</v>
      </c>
      <c r="BM975" s="101">
        <f t="shared" si="269"/>
        <v>0</v>
      </c>
      <c r="BN975" s="101">
        <f t="shared" si="269"/>
        <v>0</v>
      </c>
      <c r="BO975" s="101">
        <f t="shared" si="269"/>
        <v>0</v>
      </c>
      <c r="BP975" s="101">
        <f t="shared" ref="BP975:CP975" si="270">Opening_year_AMI_cost_mask+Forecast_year_AMI_cost_mask+Interpolation_AMI_cost_mask+Extrapolation_AMI_cost_mask</f>
        <v>0</v>
      </c>
      <c r="BQ975" s="101">
        <f t="shared" si="270"/>
        <v>0</v>
      </c>
      <c r="BR975" s="101">
        <f t="shared" si="270"/>
        <v>0</v>
      </c>
      <c r="BS975" s="101">
        <f t="shared" si="270"/>
        <v>0</v>
      </c>
      <c r="BT975" s="101">
        <f t="shared" si="270"/>
        <v>0</v>
      </c>
      <c r="BU975" s="101">
        <f t="shared" si="270"/>
        <v>0</v>
      </c>
      <c r="BV975" s="101">
        <f t="shared" si="270"/>
        <v>0</v>
      </c>
      <c r="BW975" s="101">
        <f t="shared" si="270"/>
        <v>0</v>
      </c>
      <c r="BX975" s="101">
        <f t="shared" si="270"/>
        <v>0</v>
      </c>
      <c r="BY975" s="101">
        <f t="shared" si="270"/>
        <v>0</v>
      </c>
      <c r="BZ975" s="101">
        <f t="shared" si="270"/>
        <v>0</v>
      </c>
      <c r="CA975" s="101">
        <f t="shared" si="270"/>
        <v>0</v>
      </c>
      <c r="CB975" s="101">
        <f t="shared" si="270"/>
        <v>0</v>
      </c>
      <c r="CC975" s="101">
        <f t="shared" si="270"/>
        <v>0</v>
      </c>
      <c r="CD975" s="101">
        <f t="shared" si="270"/>
        <v>0</v>
      </c>
      <c r="CE975" s="101">
        <f t="shared" si="270"/>
        <v>0</v>
      </c>
      <c r="CF975" s="101">
        <f t="shared" si="270"/>
        <v>0</v>
      </c>
      <c r="CG975" s="101">
        <f t="shared" si="270"/>
        <v>0</v>
      </c>
      <c r="CH975" s="101">
        <f t="shared" si="270"/>
        <v>0</v>
      </c>
      <c r="CI975" s="101">
        <f t="shared" si="270"/>
        <v>0</v>
      </c>
      <c r="CJ975" s="101">
        <f t="shared" si="270"/>
        <v>0</v>
      </c>
      <c r="CK975" s="101">
        <f t="shared" si="270"/>
        <v>0</v>
      </c>
      <c r="CL975" s="101">
        <f t="shared" si="270"/>
        <v>0</v>
      </c>
      <c r="CM975" s="101">
        <f t="shared" si="270"/>
        <v>0</v>
      </c>
      <c r="CN975" s="101">
        <f t="shared" si="270"/>
        <v>0</v>
      </c>
      <c r="CO975" s="101">
        <f t="shared" si="270"/>
        <v>0</v>
      </c>
      <c r="CP975" s="101">
        <f t="shared" si="270"/>
        <v>0</v>
      </c>
      <c r="CQ975" s="3" t="s">
        <v>292</v>
      </c>
    </row>
    <row r="976" spans="1:95" ht="14.5" x14ac:dyDescent="0.35">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5">
      <c r="B977" s="5" t="s">
        <v>293</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5" x14ac:dyDescent="0.35">
      <c r="A980" s="102"/>
      <c r="B980" s="102" t="s">
        <v>67</v>
      </c>
      <c r="C980" s="102"/>
      <c r="D980" s="101">
        <f t="shared" ref="D980:AI980" si="271">Opening_year_stroke_cost*Opening_year_mask</f>
        <v>0</v>
      </c>
      <c r="E980" s="101">
        <f t="shared" si="271"/>
        <v>0</v>
      </c>
      <c r="F980" s="101">
        <f t="shared" si="271"/>
        <v>0</v>
      </c>
      <c r="G980" s="101">
        <f t="shared" si="271"/>
        <v>0</v>
      </c>
      <c r="H980" s="101">
        <f t="shared" si="271"/>
        <v>0</v>
      </c>
      <c r="I980" s="101">
        <f t="shared" si="271"/>
        <v>0</v>
      </c>
      <c r="J980" s="101">
        <f t="shared" si="271"/>
        <v>0</v>
      </c>
      <c r="K980" s="101">
        <f t="shared" si="271"/>
        <v>0</v>
      </c>
      <c r="L980" s="101">
        <f t="shared" si="271"/>
        <v>0</v>
      </c>
      <c r="M980" s="101">
        <f t="shared" si="271"/>
        <v>0</v>
      </c>
      <c r="N980" s="101">
        <f t="shared" si="271"/>
        <v>0</v>
      </c>
      <c r="O980" s="101">
        <f t="shared" si="271"/>
        <v>0</v>
      </c>
      <c r="P980" s="101">
        <f t="shared" si="271"/>
        <v>0</v>
      </c>
      <c r="Q980" s="101">
        <f t="shared" si="271"/>
        <v>0</v>
      </c>
      <c r="R980" s="101">
        <f t="shared" si="271"/>
        <v>0</v>
      </c>
      <c r="S980" s="101">
        <f t="shared" si="271"/>
        <v>0</v>
      </c>
      <c r="T980" s="101">
        <f t="shared" si="271"/>
        <v>0</v>
      </c>
      <c r="U980" s="101">
        <f t="shared" si="271"/>
        <v>0</v>
      </c>
      <c r="V980" s="101">
        <f t="shared" si="271"/>
        <v>0</v>
      </c>
      <c r="W980" s="101">
        <f t="shared" si="271"/>
        <v>0</v>
      </c>
      <c r="X980" s="101">
        <f t="shared" si="271"/>
        <v>0</v>
      </c>
      <c r="Y980" s="101">
        <f t="shared" si="271"/>
        <v>0</v>
      </c>
      <c r="Z980" s="101">
        <f t="shared" si="271"/>
        <v>0</v>
      </c>
      <c r="AA980" s="101">
        <f t="shared" si="271"/>
        <v>0</v>
      </c>
      <c r="AB980" s="101">
        <f t="shared" si="271"/>
        <v>0</v>
      </c>
      <c r="AC980" s="101">
        <f t="shared" si="271"/>
        <v>0</v>
      </c>
      <c r="AD980" s="101">
        <f t="shared" si="271"/>
        <v>0</v>
      </c>
      <c r="AE980" s="101">
        <f t="shared" si="271"/>
        <v>0</v>
      </c>
      <c r="AF980" s="101">
        <f t="shared" si="271"/>
        <v>0</v>
      </c>
      <c r="AG980" s="101">
        <f t="shared" si="271"/>
        <v>0</v>
      </c>
      <c r="AH980" s="101">
        <f t="shared" si="271"/>
        <v>0</v>
      </c>
      <c r="AI980" s="101">
        <f t="shared" si="271"/>
        <v>0</v>
      </c>
      <c r="AJ980" s="101">
        <f t="shared" ref="AJ980:BO980" si="272">Opening_year_stroke_cost*Opening_year_mask</f>
        <v>0</v>
      </c>
      <c r="AK980" s="101">
        <f t="shared" si="272"/>
        <v>0</v>
      </c>
      <c r="AL980" s="101">
        <f t="shared" si="272"/>
        <v>0</v>
      </c>
      <c r="AM980" s="101">
        <f t="shared" si="272"/>
        <v>0</v>
      </c>
      <c r="AN980" s="101">
        <f t="shared" si="272"/>
        <v>0</v>
      </c>
      <c r="AO980" s="101">
        <f t="shared" si="272"/>
        <v>0</v>
      </c>
      <c r="AP980" s="101">
        <f t="shared" si="272"/>
        <v>0</v>
      </c>
      <c r="AQ980" s="101">
        <f t="shared" si="272"/>
        <v>0</v>
      </c>
      <c r="AR980" s="101">
        <f t="shared" si="272"/>
        <v>0</v>
      </c>
      <c r="AS980" s="101">
        <f t="shared" si="272"/>
        <v>0</v>
      </c>
      <c r="AT980" s="101">
        <f t="shared" si="272"/>
        <v>0</v>
      </c>
      <c r="AU980" s="101">
        <f t="shared" si="272"/>
        <v>0</v>
      </c>
      <c r="AV980" s="101">
        <f t="shared" si="272"/>
        <v>0</v>
      </c>
      <c r="AW980" s="101">
        <f t="shared" si="272"/>
        <v>0</v>
      </c>
      <c r="AX980" s="101">
        <f t="shared" si="272"/>
        <v>0</v>
      </c>
      <c r="AY980" s="101">
        <f t="shared" si="272"/>
        <v>0</v>
      </c>
      <c r="AZ980" s="101">
        <f t="shared" si="272"/>
        <v>0</v>
      </c>
      <c r="BA980" s="101">
        <f t="shared" si="272"/>
        <v>0</v>
      </c>
      <c r="BB980" s="101">
        <f t="shared" si="272"/>
        <v>0</v>
      </c>
      <c r="BC980" s="101">
        <f t="shared" si="272"/>
        <v>0</v>
      </c>
      <c r="BD980" s="101">
        <f t="shared" si="272"/>
        <v>0</v>
      </c>
      <c r="BE980" s="101">
        <f t="shared" si="272"/>
        <v>0</v>
      </c>
      <c r="BF980" s="101">
        <f t="shared" si="272"/>
        <v>0</v>
      </c>
      <c r="BG980" s="101">
        <f t="shared" si="272"/>
        <v>0</v>
      </c>
      <c r="BH980" s="101">
        <f t="shared" si="272"/>
        <v>0</v>
      </c>
      <c r="BI980" s="101">
        <f t="shared" si="272"/>
        <v>0</v>
      </c>
      <c r="BJ980" s="101">
        <f t="shared" si="272"/>
        <v>0</v>
      </c>
      <c r="BK980" s="101">
        <f t="shared" si="272"/>
        <v>0</v>
      </c>
      <c r="BL980" s="101">
        <f t="shared" si="272"/>
        <v>0</v>
      </c>
      <c r="BM980" s="101">
        <f t="shared" si="272"/>
        <v>0</v>
      </c>
      <c r="BN980" s="101">
        <f t="shared" si="272"/>
        <v>0</v>
      </c>
      <c r="BO980" s="101">
        <f t="shared" si="272"/>
        <v>0</v>
      </c>
      <c r="BP980" s="101">
        <f t="shared" ref="BP980:CP980" si="273">Opening_year_stroke_cost*Opening_year_mask</f>
        <v>0</v>
      </c>
      <c r="BQ980" s="101">
        <f t="shared" si="273"/>
        <v>0</v>
      </c>
      <c r="BR980" s="101">
        <f t="shared" si="273"/>
        <v>0</v>
      </c>
      <c r="BS980" s="101">
        <f t="shared" si="273"/>
        <v>0</v>
      </c>
      <c r="BT980" s="101">
        <f t="shared" si="273"/>
        <v>0</v>
      </c>
      <c r="BU980" s="101">
        <f t="shared" si="273"/>
        <v>0</v>
      </c>
      <c r="BV980" s="101">
        <f t="shared" si="273"/>
        <v>0</v>
      </c>
      <c r="BW980" s="101">
        <f t="shared" si="273"/>
        <v>0</v>
      </c>
      <c r="BX980" s="101">
        <f t="shared" si="273"/>
        <v>0</v>
      </c>
      <c r="BY980" s="101">
        <f t="shared" si="273"/>
        <v>0</v>
      </c>
      <c r="BZ980" s="101">
        <f t="shared" si="273"/>
        <v>0</v>
      </c>
      <c r="CA980" s="101">
        <f t="shared" si="273"/>
        <v>0</v>
      </c>
      <c r="CB980" s="101">
        <f t="shared" si="273"/>
        <v>0</v>
      </c>
      <c r="CC980" s="101">
        <f t="shared" si="273"/>
        <v>0</v>
      </c>
      <c r="CD980" s="101">
        <f t="shared" si="273"/>
        <v>0</v>
      </c>
      <c r="CE980" s="101">
        <f t="shared" si="273"/>
        <v>0</v>
      </c>
      <c r="CF980" s="101">
        <f t="shared" si="273"/>
        <v>0</v>
      </c>
      <c r="CG980" s="101">
        <f t="shared" si="273"/>
        <v>0</v>
      </c>
      <c r="CH980" s="101">
        <f t="shared" si="273"/>
        <v>0</v>
      </c>
      <c r="CI980" s="101">
        <f t="shared" si="273"/>
        <v>0</v>
      </c>
      <c r="CJ980" s="101">
        <f t="shared" si="273"/>
        <v>0</v>
      </c>
      <c r="CK980" s="101">
        <f t="shared" si="273"/>
        <v>0</v>
      </c>
      <c r="CL980" s="101">
        <f t="shared" si="273"/>
        <v>0</v>
      </c>
      <c r="CM980" s="101">
        <f t="shared" si="273"/>
        <v>0</v>
      </c>
      <c r="CN980" s="101">
        <f t="shared" si="273"/>
        <v>0</v>
      </c>
      <c r="CO980" s="101">
        <f t="shared" si="273"/>
        <v>0</v>
      </c>
      <c r="CP980" s="101">
        <f t="shared" si="273"/>
        <v>0</v>
      </c>
      <c r="CQ980" s="3" t="s">
        <v>294</v>
      </c>
    </row>
    <row r="981" spans="1:95" ht="14.5" x14ac:dyDescent="0.35">
      <c r="A981" s="102"/>
      <c r="B981" s="102" t="s">
        <v>69</v>
      </c>
      <c r="C981" s="102"/>
      <c r="D981" s="101">
        <f t="shared" ref="D981:AI981" si="274">Forecast_year_stroke_cost*Forecast_year_mask</f>
        <v>0</v>
      </c>
      <c r="E981" s="101">
        <f t="shared" si="274"/>
        <v>0</v>
      </c>
      <c r="F981" s="101">
        <f t="shared" si="274"/>
        <v>0</v>
      </c>
      <c r="G981" s="101">
        <f t="shared" si="274"/>
        <v>0</v>
      </c>
      <c r="H981" s="101">
        <f t="shared" si="274"/>
        <v>0</v>
      </c>
      <c r="I981" s="101">
        <f t="shared" si="274"/>
        <v>0</v>
      </c>
      <c r="J981" s="101">
        <f t="shared" si="274"/>
        <v>0</v>
      </c>
      <c r="K981" s="101">
        <f t="shared" si="274"/>
        <v>0</v>
      </c>
      <c r="L981" s="101">
        <f t="shared" si="274"/>
        <v>0</v>
      </c>
      <c r="M981" s="101">
        <f t="shared" si="274"/>
        <v>0</v>
      </c>
      <c r="N981" s="101">
        <f t="shared" si="274"/>
        <v>0</v>
      </c>
      <c r="O981" s="101">
        <f t="shared" si="274"/>
        <v>0</v>
      </c>
      <c r="P981" s="101">
        <f t="shared" si="274"/>
        <v>0</v>
      </c>
      <c r="Q981" s="101">
        <f t="shared" si="274"/>
        <v>0</v>
      </c>
      <c r="R981" s="101">
        <f t="shared" si="274"/>
        <v>0</v>
      </c>
      <c r="S981" s="101">
        <f t="shared" si="274"/>
        <v>0</v>
      </c>
      <c r="T981" s="101">
        <f t="shared" si="274"/>
        <v>0</v>
      </c>
      <c r="U981" s="101">
        <f t="shared" si="274"/>
        <v>0</v>
      </c>
      <c r="V981" s="101">
        <f t="shared" si="274"/>
        <v>0</v>
      </c>
      <c r="W981" s="101">
        <f t="shared" si="274"/>
        <v>0</v>
      </c>
      <c r="X981" s="101">
        <f t="shared" si="274"/>
        <v>0</v>
      </c>
      <c r="Y981" s="101">
        <f t="shared" si="274"/>
        <v>0</v>
      </c>
      <c r="Z981" s="101">
        <f t="shared" si="274"/>
        <v>0</v>
      </c>
      <c r="AA981" s="101">
        <f t="shared" si="274"/>
        <v>0</v>
      </c>
      <c r="AB981" s="101">
        <f t="shared" si="274"/>
        <v>0</v>
      </c>
      <c r="AC981" s="101">
        <f t="shared" si="274"/>
        <v>0</v>
      </c>
      <c r="AD981" s="101">
        <f t="shared" si="274"/>
        <v>0</v>
      </c>
      <c r="AE981" s="101">
        <f t="shared" si="274"/>
        <v>0</v>
      </c>
      <c r="AF981" s="101">
        <f t="shared" si="274"/>
        <v>0</v>
      </c>
      <c r="AG981" s="101">
        <f t="shared" si="274"/>
        <v>0</v>
      </c>
      <c r="AH981" s="101">
        <f t="shared" si="274"/>
        <v>0</v>
      </c>
      <c r="AI981" s="101">
        <f t="shared" si="274"/>
        <v>0</v>
      </c>
      <c r="AJ981" s="101">
        <f t="shared" ref="AJ981:BO981" si="275">Forecast_year_stroke_cost*Forecast_year_mask</f>
        <v>0</v>
      </c>
      <c r="AK981" s="101">
        <f t="shared" si="275"/>
        <v>0</v>
      </c>
      <c r="AL981" s="101">
        <f t="shared" si="275"/>
        <v>0</v>
      </c>
      <c r="AM981" s="101">
        <f t="shared" si="275"/>
        <v>0</v>
      </c>
      <c r="AN981" s="101">
        <f t="shared" si="275"/>
        <v>0</v>
      </c>
      <c r="AO981" s="101">
        <f t="shared" si="275"/>
        <v>0</v>
      </c>
      <c r="AP981" s="101">
        <f t="shared" si="275"/>
        <v>0</v>
      </c>
      <c r="AQ981" s="101">
        <f t="shared" si="275"/>
        <v>0</v>
      </c>
      <c r="AR981" s="101">
        <f t="shared" si="275"/>
        <v>0</v>
      </c>
      <c r="AS981" s="101">
        <f t="shared" si="275"/>
        <v>0</v>
      </c>
      <c r="AT981" s="101">
        <f t="shared" si="275"/>
        <v>0</v>
      </c>
      <c r="AU981" s="101">
        <f t="shared" si="275"/>
        <v>0</v>
      </c>
      <c r="AV981" s="101">
        <f t="shared" si="275"/>
        <v>0</v>
      </c>
      <c r="AW981" s="101">
        <f t="shared" si="275"/>
        <v>0</v>
      </c>
      <c r="AX981" s="101">
        <f t="shared" si="275"/>
        <v>0</v>
      </c>
      <c r="AY981" s="101">
        <f t="shared" si="275"/>
        <v>0</v>
      </c>
      <c r="AZ981" s="101">
        <f t="shared" si="275"/>
        <v>0</v>
      </c>
      <c r="BA981" s="101">
        <f t="shared" si="275"/>
        <v>0</v>
      </c>
      <c r="BB981" s="101">
        <f t="shared" si="275"/>
        <v>0</v>
      </c>
      <c r="BC981" s="101">
        <f t="shared" si="275"/>
        <v>0</v>
      </c>
      <c r="BD981" s="101">
        <f t="shared" si="275"/>
        <v>0</v>
      </c>
      <c r="BE981" s="101">
        <f t="shared" si="275"/>
        <v>0</v>
      </c>
      <c r="BF981" s="101">
        <f t="shared" si="275"/>
        <v>0</v>
      </c>
      <c r="BG981" s="101">
        <f t="shared" si="275"/>
        <v>0</v>
      </c>
      <c r="BH981" s="101">
        <f t="shared" si="275"/>
        <v>0</v>
      </c>
      <c r="BI981" s="101">
        <f t="shared" si="275"/>
        <v>0</v>
      </c>
      <c r="BJ981" s="101">
        <f t="shared" si="275"/>
        <v>0</v>
      </c>
      <c r="BK981" s="101">
        <f t="shared" si="275"/>
        <v>0</v>
      </c>
      <c r="BL981" s="101">
        <f t="shared" si="275"/>
        <v>0</v>
      </c>
      <c r="BM981" s="101">
        <f t="shared" si="275"/>
        <v>0</v>
      </c>
      <c r="BN981" s="101">
        <f t="shared" si="275"/>
        <v>0</v>
      </c>
      <c r="BO981" s="101">
        <f t="shared" si="275"/>
        <v>0</v>
      </c>
      <c r="BP981" s="101">
        <f t="shared" ref="BP981:CP981" si="276">Forecast_year_stroke_cost*Forecast_year_mask</f>
        <v>0</v>
      </c>
      <c r="BQ981" s="101">
        <f t="shared" si="276"/>
        <v>0</v>
      </c>
      <c r="BR981" s="101">
        <f t="shared" si="276"/>
        <v>0</v>
      </c>
      <c r="BS981" s="101">
        <f t="shared" si="276"/>
        <v>0</v>
      </c>
      <c r="BT981" s="101">
        <f t="shared" si="276"/>
        <v>0</v>
      </c>
      <c r="BU981" s="101">
        <f t="shared" si="276"/>
        <v>0</v>
      </c>
      <c r="BV981" s="101">
        <f t="shared" si="276"/>
        <v>0</v>
      </c>
      <c r="BW981" s="101">
        <f t="shared" si="276"/>
        <v>0</v>
      </c>
      <c r="BX981" s="101">
        <f t="shared" si="276"/>
        <v>0</v>
      </c>
      <c r="BY981" s="101">
        <f t="shared" si="276"/>
        <v>0</v>
      </c>
      <c r="BZ981" s="101">
        <f t="shared" si="276"/>
        <v>0</v>
      </c>
      <c r="CA981" s="101">
        <f t="shared" si="276"/>
        <v>0</v>
      </c>
      <c r="CB981" s="101">
        <f t="shared" si="276"/>
        <v>0</v>
      </c>
      <c r="CC981" s="101">
        <f t="shared" si="276"/>
        <v>0</v>
      </c>
      <c r="CD981" s="101">
        <f t="shared" si="276"/>
        <v>0</v>
      </c>
      <c r="CE981" s="101">
        <f t="shared" si="276"/>
        <v>0</v>
      </c>
      <c r="CF981" s="101">
        <f t="shared" si="276"/>
        <v>0</v>
      </c>
      <c r="CG981" s="101">
        <f t="shared" si="276"/>
        <v>0</v>
      </c>
      <c r="CH981" s="101">
        <f t="shared" si="276"/>
        <v>0</v>
      </c>
      <c r="CI981" s="101">
        <f t="shared" si="276"/>
        <v>0</v>
      </c>
      <c r="CJ981" s="101">
        <f t="shared" si="276"/>
        <v>0</v>
      </c>
      <c r="CK981" s="101">
        <f t="shared" si="276"/>
        <v>0</v>
      </c>
      <c r="CL981" s="101">
        <f t="shared" si="276"/>
        <v>0</v>
      </c>
      <c r="CM981" s="101">
        <f t="shared" si="276"/>
        <v>0</v>
      </c>
      <c r="CN981" s="101">
        <f t="shared" si="276"/>
        <v>0</v>
      </c>
      <c r="CO981" s="101">
        <f t="shared" si="276"/>
        <v>0</v>
      </c>
      <c r="CP981" s="101">
        <f t="shared" si="276"/>
        <v>0</v>
      </c>
      <c r="CQ981" s="3" t="s">
        <v>295</v>
      </c>
    </row>
    <row r="982" spans="1:95" ht="14.5" x14ac:dyDescent="0.35">
      <c r="A982" s="102"/>
      <c r="B982" s="102" t="s">
        <v>268</v>
      </c>
      <c r="C982" s="102"/>
      <c r="D982" s="101">
        <f t="shared" ref="D982:AI982" si="277">(Opening_year_stroke_cost+(Difference_stroke_cost)*(year-Opening_year)/(Forecast_and_opening_year_difference))*Interpolation_mask</f>
        <v>0</v>
      </c>
      <c r="E982" s="101">
        <f t="shared" si="277"/>
        <v>0</v>
      </c>
      <c r="F982" s="101">
        <f t="shared" si="277"/>
        <v>0</v>
      </c>
      <c r="G982" s="101">
        <f t="shared" si="277"/>
        <v>0</v>
      </c>
      <c r="H982" s="101">
        <f t="shared" si="277"/>
        <v>0</v>
      </c>
      <c r="I982" s="101">
        <f t="shared" si="277"/>
        <v>0</v>
      </c>
      <c r="J982" s="101">
        <f t="shared" si="277"/>
        <v>0</v>
      </c>
      <c r="K982" s="101">
        <f t="shared" si="277"/>
        <v>0</v>
      </c>
      <c r="L982" s="101">
        <f t="shared" si="277"/>
        <v>0</v>
      </c>
      <c r="M982" s="101">
        <f t="shared" si="277"/>
        <v>0</v>
      </c>
      <c r="N982" s="101">
        <f t="shared" si="277"/>
        <v>0</v>
      </c>
      <c r="O982" s="101">
        <f t="shared" si="277"/>
        <v>0</v>
      </c>
      <c r="P982" s="101">
        <f t="shared" si="277"/>
        <v>0</v>
      </c>
      <c r="Q982" s="101">
        <f t="shared" si="277"/>
        <v>0</v>
      </c>
      <c r="R982" s="101">
        <f t="shared" si="277"/>
        <v>0</v>
      </c>
      <c r="S982" s="101">
        <f t="shared" si="277"/>
        <v>0</v>
      </c>
      <c r="T982" s="101">
        <f t="shared" si="277"/>
        <v>0</v>
      </c>
      <c r="U982" s="101">
        <f t="shared" si="277"/>
        <v>0</v>
      </c>
      <c r="V982" s="101">
        <f t="shared" si="277"/>
        <v>0</v>
      </c>
      <c r="W982" s="101">
        <f t="shared" si="277"/>
        <v>0</v>
      </c>
      <c r="X982" s="101">
        <f t="shared" si="277"/>
        <v>0</v>
      </c>
      <c r="Y982" s="101">
        <f t="shared" si="277"/>
        <v>0</v>
      </c>
      <c r="Z982" s="101">
        <f t="shared" si="277"/>
        <v>0</v>
      </c>
      <c r="AA982" s="101">
        <f t="shared" si="277"/>
        <v>0</v>
      </c>
      <c r="AB982" s="101">
        <f t="shared" si="277"/>
        <v>0</v>
      </c>
      <c r="AC982" s="101">
        <f t="shared" si="277"/>
        <v>0</v>
      </c>
      <c r="AD982" s="101">
        <f t="shared" si="277"/>
        <v>0</v>
      </c>
      <c r="AE982" s="101">
        <f t="shared" si="277"/>
        <v>0</v>
      </c>
      <c r="AF982" s="101">
        <f t="shared" si="277"/>
        <v>0</v>
      </c>
      <c r="AG982" s="101">
        <f t="shared" si="277"/>
        <v>0</v>
      </c>
      <c r="AH982" s="101">
        <f t="shared" si="277"/>
        <v>0</v>
      </c>
      <c r="AI982" s="101">
        <f t="shared" si="277"/>
        <v>0</v>
      </c>
      <c r="AJ982" s="101">
        <f t="shared" ref="AJ982:BO982" si="278">(Opening_year_stroke_cost+(Difference_stroke_cost)*(year-Opening_year)/(Forecast_and_opening_year_difference))*Interpolation_mask</f>
        <v>0</v>
      </c>
      <c r="AK982" s="101">
        <f t="shared" si="278"/>
        <v>0</v>
      </c>
      <c r="AL982" s="101">
        <f t="shared" si="278"/>
        <v>0</v>
      </c>
      <c r="AM982" s="101">
        <f t="shared" si="278"/>
        <v>0</v>
      </c>
      <c r="AN982" s="101">
        <f t="shared" si="278"/>
        <v>0</v>
      </c>
      <c r="AO982" s="101">
        <f t="shared" si="278"/>
        <v>0</v>
      </c>
      <c r="AP982" s="101">
        <f t="shared" si="278"/>
        <v>0</v>
      </c>
      <c r="AQ982" s="101">
        <f t="shared" si="278"/>
        <v>0</v>
      </c>
      <c r="AR982" s="101">
        <f t="shared" si="278"/>
        <v>0</v>
      </c>
      <c r="AS982" s="101">
        <f t="shared" si="278"/>
        <v>0</v>
      </c>
      <c r="AT982" s="101">
        <f t="shared" si="278"/>
        <v>0</v>
      </c>
      <c r="AU982" s="101">
        <f t="shared" si="278"/>
        <v>0</v>
      </c>
      <c r="AV982" s="101">
        <f t="shared" si="278"/>
        <v>0</v>
      </c>
      <c r="AW982" s="101">
        <f t="shared" si="278"/>
        <v>0</v>
      </c>
      <c r="AX982" s="101">
        <f t="shared" si="278"/>
        <v>0</v>
      </c>
      <c r="AY982" s="101">
        <f t="shared" si="278"/>
        <v>0</v>
      </c>
      <c r="AZ982" s="101">
        <f t="shared" si="278"/>
        <v>0</v>
      </c>
      <c r="BA982" s="101">
        <f t="shared" si="278"/>
        <v>0</v>
      </c>
      <c r="BB982" s="101">
        <f t="shared" si="278"/>
        <v>0</v>
      </c>
      <c r="BC982" s="101">
        <f t="shared" si="278"/>
        <v>0</v>
      </c>
      <c r="BD982" s="101">
        <f t="shared" si="278"/>
        <v>0</v>
      </c>
      <c r="BE982" s="101">
        <f t="shared" si="278"/>
        <v>0</v>
      </c>
      <c r="BF982" s="101">
        <f t="shared" si="278"/>
        <v>0</v>
      </c>
      <c r="BG982" s="101">
        <f t="shared" si="278"/>
        <v>0</v>
      </c>
      <c r="BH982" s="101">
        <f t="shared" si="278"/>
        <v>0</v>
      </c>
      <c r="BI982" s="101">
        <f t="shared" si="278"/>
        <v>0</v>
      </c>
      <c r="BJ982" s="101">
        <f t="shared" si="278"/>
        <v>0</v>
      </c>
      <c r="BK982" s="101">
        <f t="shared" si="278"/>
        <v>0</v>
      </c>
      <c r="BL982" s="101">
        <f t="shared" si="278"/>
        <v>0</v>
      </c>
      <c r="BM982" s="101">
        <f t="shared" si="278"/>
        <v>0</v>
      </c>
      <c r="BN982" s="101">
        <f t="shared" si="278"/>
        <v>0</v>
      </c>
      <c r="BO982" s="101">
        <f t="shared" si="278"/>
        <v>0</v>
      </c>
      <c r="BP982" s="101">
        <f t="shared" ref="BP982:CP982" si="279">(Opening_year_stroke_cost+(Difference_stroke_cost)*(year-Opening_year)/(Forecast_and_opening_year_difference))*Interpolation_mask</f>
        <v>0</v>
      </c>
      <c r="BQ982" s="101">
        <f t="shared" si="279"/>
        <v>0</v>
      </c>
      <c r="BR982" s="101">
        <f t="shared" si="279"/>
        <v>0</v>
      </c>
      <c r="BS982" s="101">
        <f t="shared" si="279"/>
        <v>0</v>
      </c>
      <c r="BT982" s="101">
        <f t="shared" si="279"/>
        <v>0</v>
      </c>
      <c r="BU982" s="101">
        <f t="shared" si="279"/>
        <v>0</v>
      </c>
      <c r="BV982" s="101">
        <f t="shared" si="279"/>
        <v>0</v>
      </c>
      <c r="BW982" s="101">
        <f t="shared" si="279"/>
        <v>0</v>
      </c>
      <c r="BX982" s="101">
        <f t="shared" si="279"/>
        <v>0</v>
      </c>
      <c r="BY982" s="101">
        <f t="shared" si="279"/>
        <v>0</v>
      </c>
      <c r="BZ982" s="101">
        <f t="shared" si="279"/>
        <v>0</v>
      </c>
      <c r="CA982" s="101">
        <f t="shared" si="279"/>
        <v>0</v>
      </c>
      <c r="CB982" s="101">
        <f t="shared" si="279"/>
        <v>0</v>
      </c>
      <c r="CC982" s="101">
        <f t="shared" si="279"/>
        <v>0</v>
      </c>
      <c r="CD982" s="101">
        <f t="shared" si="279"/>
        <v>0</v>
      </c>
      <c r="CE982" s="101">
        <f t="shared" si="279"/>
        <v>0</v>
      </c>
      <c r="CF982" s="101">
        <f t="shared" si="279"/>
        <v>0</v>
      </c>
      <c r="CG982" s="101">
        <f t="shared" si="279"/>
        <v>0</v>
      </c>
      <c r="CH982" s="101">
        <f t="shared" si="279"/>
        <v>0</v>
      </c>
      <c r="CI982" s="101">
        <f t="shared" si="279"/>
        <v>0</v>
      </c>
      <c r="CJ982" s="101">
        <f t="shared" si="279"/>
        <v>0</v>
      </c>
      <c r="CK982" s="101">
        <f t="shared" si="279"/>
        <v>0</v>
      </c>
      <c r="CL982" s="101">
        <f t="shared" si="279"/>
        <v>0</v>
      </c>
      <c r="CM982" s="101">
        <f t="shared" si="279"/>
        <v>0</v>
      </c>
      <c r="CN982" s="101">
        <f t="shared" si="279"/>
        <v>0</v>
      </c>
      <c r="CO982" s="101">
        <f t="shared" si="279"/>
        <v>0</v>
      </c>
      <c r="CP982" s="101">
        <f t="shared" si="279"/>
        <v>0</v>
      </c>
      <c r="CQ982" s="3" t="s">
        <v>296</v>
      </c>
    </row>
    <row r="983" spans="1:95" ht="14.5" x14ac:dyDescent="0.35">
      <c r="A983" s="102"/>
      <c r="B983" s="102" t="s">
        <v>270</v>
      </c>
      <c r="C983" s="102"/>
      <c r="D983" s="101">
        <f t="shared" ref="D983:AI983" si="280">Forecast_year_stroke_cost*Extrapolation_mask</f>
        <v>0</v>
      </c>
      <c r="E983" s="101">
        <f t="shared" si="280"/>
        <v>0</v>
      </c>
      <c r="F983" s="101">
        <f t="shared" si="280"/>
        <v>0</v>
      </c>
      <c r="G983" s="101">
        <f t="shared" si="280"/>
        <v>0</v>
      </c>
      <c r="H983" s="101">
        <f t="shared" si="280"/>
        <v>0</v>
      </c>
      <c r="I983" s="101">
        <f t="shared" si="280"/>
        <v>0</v>
      </c>
      <c r="J983" s="101">
        <f t="shared" si="280"/>
        <v>0</v>
      </c>
      <c r="K983" s="101">
        <f t="shared" si="280"/>
        <v>0</v>
      </c>
      <c r="L983" s="101">
        <f t="shared" si="280"/>
        <v>0</v>
      </c>
      <c r="M983" s="101">
        <f t="shared" si="280"/>
        <v>0</v>
      </c>
      <c r="N983" s="101">
        <f t="shared" si="280"/>
        <v>0</v>
      </c>
      <c r="O983" s="101">
        <f t="shared" si="280"/>
        <v>0</v>
      </c>
      <c r="P983" s="101">
        <f t="shared" si="280"/>
        <v>0</v>
      </c>
      <c r="Q983" s="101">
        <f t="shared" si="280"/>
        <v>0</v>
      </c>
      <c r="R983" s="101">
        <f t="shared" si="280"/>
        <v>0</v>
      </c>
      <c r="S983" s="101">
        <f t="shared" si="280"/>
        <v>0</v>
      </c>
      <c r="T983" s="101">
        <f t="shared" si="280"/>
        <v>0</v>
      </c>
      <c r="U983" s="101">
        <f t="shared" si="280"/>
        <v>0</v>
      </c>
      <c r="V983" s="101">
        <f t="shared" si="280"/>
        <v>0</v>
      </c>
      <c r="W983" s="101">
        <f t="shared" si="280"/>
        <v>0</v>
      </c>
      <c r="X983" s="101">
        <f t="shared" si="280"/>
        <v>0</v>
      </c>
      <c r="Y983" s="101">
        <f t="shared" si="280"/>
        <v>0</v>
      </c>
      <c r="Z983" s="101">
        <f t="shared" si="280"/>
        <v>0</v>
      </c>
      <c r="AA983" s="101">
        <f t="shared" si="280"/>
        <v>0</v>
      </c>
      <c r="AB983" s="101">
        <f t="shared" si="280"/>
        <v>0</v>
      </c>
      <c r="AC983" s="101">
        <f t="shared" si="280"/>
        <v>0</v>
      </c>
      <c r="AD983" s="101">
        <f t="shared" si="280"/>
        <v>0</v>
      </c>
      <c r="AE983" s="101">
        <f t="shared" si="280"/>
        <v>0</v>
      </c>
      <c r="AF983" s="101">
        <f t="shared" si="280"/>
        <v>0</v>
      </c>
      <c r="AG983" s="101">
        <f t="shared" si="280"/>
        <v>0</v>
      </c>
      <c r="AH983" s="101">
        <f t="shared" si="280"/>
        <v>0</v>
      </c>
      <c r="AI983" s="101">
        <f t="shared" si="280"/>
        <v>0</v>
      </c>
      <c r="AJ983" s="101">
        <f t="shared" ref="AJ983:BO983" si="281">Forecast_year_stroke_cost*Extrapolation_mask</f>
        <v>0</v>
      </c>
      <c r="AK983" s="101">
        <f t="shared" si="281"/>
        <v>0</v>
      </c>
      <c r="AL983" s="101">
        <f t="shared" si="281"/>
        <v>0</v>
      </c>
      <c r="AM983" s="101">
        <f t="shared" si="281"/>
        <v>0</v>
      </c>
      <c r="AN983" s="101">
        <f t="shared" si="281"/>
        <v>0</v>
      </c>
      <c r="AO983" s="101">
        <f t="shared" si="281"/>
        <v>0</v>
      </c>
      <c r="AP983" s="101">
        <f t="shared" si="281"/>
        <v>0</v>
      </c>
      <c r="AQ983" s="101">
        <f t="shared" si="281"/>
        <v>0</v>
      </c>
      <c r="AR983" s="101">
        <f t="shared" si="281"/>
        <v>0</v>
      </c>
      <c r="AS983" s="101">
        <f t="shared" si="281"/>
        <v>0</v>
      </c>
      <c r="AT983" s="101">
        <f t="shared" si="281"/>
        <v>0</v>
      </c>
      <c r="AU983" s="101">
        <f t="shared" si="281"/>
        <v>0</v>
      </c>
      <c r="AV983" s="101">
        <f t="shared" si="281"/>
        <v>0</v>
      </c>
      <c r="AW983" s="101">
        <f t="shared" si="281"/>
        <v>0</v>
      </c>
      <c r="AX983" s="101">
        <f t="shared" si="281"/>
        <v>0</v>
      </c>
      <c r="AY983" s="101">
        <f t="shared" si="281"/>
        <v>0</v>
      </c>
      <c r="AZ983" s="101">
        <f t="shared" si="281"/>
        <v>0</v>
      </c>
      <c r="BA983" s="101">
        <f t="shared" si="281"/>
        <v>0</v>
      </c>
      <c r="BB983" s="101">
        <f t="shared" si="281"/>
        <v>0</v>
      </c>
      <c r="BC983" s="101">
        <f t="shared" si="281"/>
        <v>0</v>
      </c>
      <c r="BD983" s="101">
        <f t="shared" si="281"/>
        <v>0</v>
      </c>
      <c r="BE983" s="101">
        <f t="shared" si="281"/>
        <v>0</v>
      </c>
      <c r="BF983" s="101">
        <f t="shared" si="281"/>
        <v>0</v>
      </c>
      <c r="BG983" s="101">
        <f t="shared" si="281"/>
        <v>0</v>
      </c>
      <c r="BH983" s="101">
        <f t="shared" si="281"/>
        <v>0</v>
      </c>
      <c r="BI983" s="101">
        <f t="shared" si="281"/>
        <v>0</v>
      </c>
      <c r="BJ983" s="101">
        <f t="shared" si="281"/>
        <v>0</v>
      </c>
      <c r="BK983" s="101">
        <f t="shared" si="281"/>
        <v>0</v>
      </c>
      <c r="BL983" s="101">
        <f t="shared" si="281"/>
        <v>0</v>
      </c>
      <c r="BM983" s="101">
        <f t="shared" si="281"/>
        <v>0</v>
      </c>
      <c r="BN983" s="101">
        <f t="shared" si="281"/>
        <v>0</v>
      </c>
      <c r="BO983" s="101">
        <f t="shared" si="281"/>
        <v>0</v>
      </c>
      <c r="BP983" s="101">
        <f t="shared" ref="BP983:CP983" si="282">Forecast_year_stroke_cost*Extrapolation_mask</f>
        <v>0</v>
      </c>
      <c r="BQ983" s="101">
        <f t="shared" si="282"/>
        <v>0</v>
      </c>
      <c r="BR983" s="101">
        <f t="shared" si="282"/>
        <v>0</v>
      </c>
      <c r="BS983" s="101">
        <f t="shared" si="282"/>
        <v>0</v>
      </c>
      <c r="BT983" s="101">
        <f t="shared" si="282"/>
        <v>0</v>
      </c>
      <c r="BU983" s="101">
        <f t="shared" si="282"/>
        <v>0</v>
      </c>
      <c r="BV983" s="101">
        <f t="shared" si="282"/>
        <v>0</v>
      </c>
      <c r="BW983" s="101">
        <f t="shared" si="282"/>
        <v>0</v>
      </c>
      <c r="BX983" s="101">
        <f t="shared" si="282"/>
        <v>0</v>
      </c>
      <c r="BY983" s="101">
        <f t="shared" si="282"/>
        <v>0</v>
      </c>
      <c r="BZ983" s="101">
        <f t="shared" si="282"/>
        <v>0</v>
      </c>
      <c r="CA983" s="101">
        <f t="shared" si="282"/>
        <v>0</v>
      </c>
      <c r="CB983" s="101">
        <f t="shared" si="282"/>
        <v>0</v>
      </c>
      <c r="CC983" s="101">
        <f t="shared" si="282"/>
        <v>0</v>
      </c>
      <c r="CD983" s="101">
        <f t="shared" si="282"/>
        <v>0</v>
      </c>
      <c r="CE983" s="101">
        <f t="shared" si="282"/>
        <v>0</v>
      </c>
      <c r="CF983" s="101">
        <f t="shared" si="282"/>
        <v>0</v>
      </c>
      <c r="CG983" s="101">
        <f t="shared" si="282"/>
        <v>0</v>
      </c>
      <c r="CH983" s="101">
        <f t="shared" si="282"/>
        <v>0</v>
      </c>
      <c r="CI983" s="101">
        <f t="shared" si="282"/>
        <v>0</v>
      </c>
      <c r="CJ983" s="101">
        <f t="shared" si="282"/>
        <v>0</v>
      </c>
      <c r="CK983" s="101">
        <f t="shared" si="282"/>
        <v>0</v>
      </c>
      <c r="CL983" s="101">
        <f t="shared" si="282"/>
        <v>0</v>
      </c>
      <c r="CM983" s="101">
        <f t="shared" si="282"/>
        <v>0</v>
      </c>
      <c r="CN983" s="101">
        <f t="shared" si="282"/>
        <v>0</v>
      </c>
      <c r="CO983" s="101">
        <f t="shared" si="282"/>
        <v>0</v>
      </c>
      <c r="CP983" s="101">
        <f t="shared" si="282"/>
        <v>0</v>
      </c>
      <c r="CQ983" s="3" t="s">
        <v>297</v>
      </c>
    </row>
    <row r="984" spans="1:95" ht="14.5" x14ac:dyDescent="0.35">
      <c r="A984" s="102"/>
      <c r="B984" s="102" t="s">
        <v>279</v>
      </c>
      <c r="C984" s="102"/>
      <c r="D984" s="101">
        <f t="shared" ref="D984:AI984" si="283">Opening_year_stroke_cost_mask+Forecast_year_stroke_cost_mask+Interpolation_stroke_cost_mask+Extrapolation_stroke_cost_mask</f>
        <v>0</v>
      </c>
      <c r="E984" s="101">
        <f t="shared" si="283"/>
        <v>0</v>
      </c>
      <c r="F984" s="101">
        <f t="shared" si="283"/>
        <v>0</v>
      </c>
      <c r="G984" s="101">
        <f t="shared" si="283"/>
        <v>0</v>
      </c>
      <c r="H984" s="101">
        <f t="shared" si="283"/>
        <v>0</v>
      </c>
      <c r="I984" s="101">
        <f t="shared" si="283"/>
        <v>0</v>
      </c>
      <c r="J984" s="101">
        <f t="shared" si="283"/>
        <v>0</v>
      </c>
      <c r="K984" s="101">
        <f t="shared" si="283"/>
        <v>0</v>
      </c>
      <c r="L984" s="101">
        <f t="shared" si="283"/>
        <v>0</v>
      </c>
      <c r="M984" s="101">
        <f t="shared" si="283"/>
        <v>0</v>
      </c>
      <c r="N984" s="101">
        <f t="shared" si="283"/>
        <v>0</v>
      </c>
      <c r="O984" s="101">
        <f t="shared" si="283"/>
        <v>0</v>
      </c>
      <c r="P984" s="101">
        <f t="shared" si="283"/>
        <v>0</v>
      </c>
      <c r="Q984" s="101">
        <f t="shared" si="283"/>
        <v>0</v>
      </c>
      <c r="R984" s="101">
        <f t="shared" si="283"/>
        <v>0</v>
      </c>
      <c r="S984" s="101">
        <f t="shared" si="283"/>
        <v>0</v>
      </c>
      <c r="T984" s="101">
        <f t="shared" si="283"/>
        <v>0</v>
      </c>
      <c r="U984" s="101">
        <f t="shared" si="283"/>
        <v>0</v>
      </c>
      <c r="V984" s="101">
        <f t="shared" si="283"/>
        <v>0</v>
      </c>
      <c r="W984" s="101">
        <f t="shared" si="283"/>
        <v>0</v>
      </c>
      <c r="X984" s="101">
        <f t="shared" si="283"/>
        <v>0</v>
      </c>
      <c r="Y984" s="101">
        <f t="shared" si="283"/>
        <v>0</v>
      </c>
      <c r="Z984" s="101">
        <f t="shared" si="283"/>
        <v>0</v>
      </c>
      <c r="AA984" s="101">
        <f t="shared" si="283"/>
        <v>0</v>
      </c>
      <c r="AB984" s="101">
        <f t="shared" si="283"/>
        <v>0</v>
      </c>
      <c r="AC984" s="101">
        <f t="shared" si="283"/>
        <v>0</v>
      </c>
      <c r="AD984" s="101">
        <f t="shared" si="283"/>
        <v>0</v>
      </c>
      <c r="AE984" s="101">
        <f t="shared" si="283"/>
        <v>0</v>
      </c>
      <c r="AF984" s="101">
        <f t="shared" si="283"/>
        <v>0</v>
      </c>
      <c r="AG984" s="101">
        <f t="shared" si="283"/>
        <v>0</v>
      </c>
      <c r="AH984" s="101">
        <f t="shared" si="283"/>
        <v>0</v>
      </c>
      <c r="AI984" s="101">
        <f t="shared" si="283"/>
        <v>0</v>
      </c>
      <c r="AJ984" s="101">
        <f t="shared" ref="AJ984:BO984" si="284">Opening_year_stroke_cost_mask+Forecast_year_stroke_cost_mask+Interpolation_stroke_cost_mask+Extrapolation_stroke_cost_mask</f>
        <v>0</v>
      </c>
      <c r="AK984" s="101">
        <f t="shared" si="284"/>
        <v>0</v>
      </c>
      <c r="AL984" s="101">
        <f t="shared" si="284"/>
        <v>0</v>
      </c>
      <c r="AM984" s="101">
        <f t="shared" si="284"/>
        <v>0</v>
      </c>
      <c r="AN984" s="101">
        <f t="shared" si="284"/>
        <v>0</v>
      </c>
      <c r="AO984" s="101">
        <f t="shared" si="284"/>
        <v>0</v>
      </c>
      <c r="AP984" s="101">
        <f t="shared" si="284"/>
        <v>0</v>
      </c>
      <c r="AQ984" s="101">
        <f t="shared" si="284"/>
        <v>0</v>
      </c>
      <c r="AR984" s="101">
        <f t="shared" si="284"/>
        <v>0</v>
      </c>
      <c r="AS984" s="101">
        <f t="shared" si="284"/>
        <v>0</v>
      </c>
      <c r="AT984" s="101">
        <f t="shared" si="284"/>
        <v>0</v>
      </c>
      <c r="AU984" s="101">
        <f t="shared" si="284"/>
        <v>0</v>
      </c>
      <c r="AV984" s="101">
        <f t="shared" si="284"/>
        <v>0</v>
      </c>
      <c r="AW984" s="101">
        <f t="shared" si="284"/>
        <v>0</v>
      </c>
      <c r="AX984" s="101">
        <f t="shared" si="284"/>
        <v>0</v>
      </c>
      <c r="AY984" s="101">
        <f t="shared" si="284"/>
        <v>0</v>
      </c>
      <c r="AZ984" s="101">
        <f t="shared" si="284"/>
        <v>0</v>
      </c>
      <c r="BA984" s="101">
        <f t="shared" si="284"/>
        <v>0</v>
      </c>
      <c r="BB984" s="101">
        <f t="shared" si="284"/>
        <v>0</v>
      </c>
      <c r="BC984" s="101">
        <f t="shared" si="284"/>
        <v>0</v>
      </c>
      <c r="BD984" s="101">
        <f t="shared" si="284"/>
        <v>0</v>
      </c>
      <c r="BE984" s="101">
        <f t="shared" si="284"/>
        <v>0</v>
      </c>
      <c r="BF984" s="101">
        <f t="shared" si="284"/>
        <v>0</v>
      </c>
      <c r="BG984" s="101">
        <f t="shared" si="284"/>
        <v>0</v>
      </c>
      <c r="BH984" s="101">
        <f t="shared" si="284"/>
        <v>0</v>
      </c>
      <c r="BI984" s="101">
        <f t="shared" si="284"/>
        <v>0</v>
      </c>
      <c r="BJ984" s="101">
        <f t="shared" si="284"/>
        <v>0</v>
      </c>
      <c r="BK984" s="101">
        <f t="shared" si="284"/>
        <v>0</v>
      </c>
      <c r="BL984" s="101">
        <f t="shared" si="284"/>
        <v>0</v>
      </c>
      <c r="BM984" s="101">
        <f t="shared" si="284"/>
        <v>0</v>
      </c>
      <c r="BN984" s="101">
        <f t="shared" si="284"/>
        <v>0</v>
      </c>
      <c r="BO984" s="101">
        <f t="shared" si="284"/>
        <v>0</v>
      </c>
      <c r="BP984" s="101">
        <f t="shared" ref="BP984:CP984" si="285">Opening_year_stroke_cost_mask+Forecast_year_stroke_cost_mask+Interpolation_stroke_cost_mask+Extrapolation_stroke_cost_mask</f>
        <v>0</v>
      </c>
      <c r="BQ984" s="101">
        <f t="shared" si="285"/>
        <v>0</v>
      </c>
      <c r="BR984" s="101">
        <f t="shared" si="285"/>
        <v>0</v>
      </c>
      <c r="BS984" s="101">
        <f t="shared" si="285"/>
        <v>0</v>
      </c>
      <c r="BT984" s="101">
        <f t="shared" si="285"/>
        <v>0</v>
      </c>
      <c r="BU984" s="101">
        <f t="shared" si="285"/>
        <v>0</v>
      </c>
      <c r="BV984" s="101">
        <f t="shared" si="285"/>
        <v>0</v>
      </c>
      <c r="BW984" s="101">
        <f t="shared" si="285"/>
        <v>0</v>
      </c>
      <c r="BX984" s="101">
        <f t="shared" si="285"/>
        <v>0</v>
      </c>
      <c r="BY984" s="101">
        <f t="shared" si="285"/>
        <v>0</v>
      </c>
      <c r="BZ984" s="101">
        <f t="shared" si="285"/>
        <v>0</v>
      </c>
      <c r="CA984" s="101">
        <f t="shared" si="285"/>
        <v>0</v>
      </c>
      <c r="CB984" s="101">
        <f t="shared" si="285"/>
        <v>0</v>
      </c>
      <c r="CC984" s="101">
        <f t="shared" si="285"/>
        <v>0</v>
      </c>
      <c r="CD984" s="101">
        <f t="shared" si="285"/>
        <v>0</v>
      </c>
      <c r="CE984" s="101">
        <f t="shared" si="285"/>
        <v>0</v>
      </c>
      <c r="CF984" s="101">
        <f t="shared" si="285"/>
        <v>0</v>
      </c>
      <c r="CG984" s="101">
        <f t="shared" si="285"/>
        <v>0</v>
      </c>
      <c r="CH984" s="101">
        <f t="shared" si="285"/>
        <v>0</v>
      </c>
      <c r="CI984" s="101">
        <f t="shared" si="285"/>
        <v>0</v>
      </c>
      <c r="CJ984" s="101">
        <f t="shared" si="285"/>
        <v>0</v>
      </c>
      <c r="CK984" s="101">
        <f t="shared" si="285"/>
        <v>0</v>
      </c>
      <c r="CL984" s="101">
        <f t="shared" si="285"/>
        <v>0</v>
      </c>
      <c r="CM984" s="101">
        <f t="shared" si="285"/>
        <v>0</v>
      </c>
      <c r="CN984" s="101">
        <f t="shared" si="285"/>
        <v>0</v>
      </c>
      <c r="CO984" s="101">
        <f t="shared" si="285"/>
        <v>0</v>
      </c>
      <c r="CP984" s="101">
        <f t="shared" si="285"/>
        <v>0</v>
      </c>
      <c r="CQ984" s="3" t="s">
        <v>298</v>
      </c>
    </row>
    <row r="985" spans="1:95" ht="14.5" x14ac:dyDescent="0.35">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5">
      <c r="B986" s="5" t="s">
        <v>299</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5" x14ac:dyDescent="0.35">
      <c r="A989" s="102"/>
      <c r="B989" s="102" t="s">
        <v>67</v>
      </c>
      <c r="C989" s="102"/>
      <c r="D989" s="101">
        <f t="shared" ref="D989:AI989" si="286">Opening_year_dementia_cost*Opening_year_mask</f>
        <v>0</v>
      </c>
      <c r="E989" s="101">
        <f t="shared" si="286"/>
        <v>0</v>
      </c>
      <c r="F989" s="101">
        <f t="shared" si="286"/>
        <v>0</v>
      </c>
      <c r="G989" s="101">
        <f t="shared" si="286"/>
        <v>0</v>
      </c>
      <c r="H989" s="101">
        <f t="shared" si="286"/>
        <v>0</v>
      </c>
      <c r="I989" s="101">
        <f t="shared" si="286"/>
        <v>0</v>
      </c>
      <c r="J989" s="101">
        <f t="shared" si="286"/>
        <v>0</v>
      </c>
      <c r="K989" s="101">
        <f t="shared" si="286"/>
        <v>0</v>
      </c>
      <c r="L989" s="101">
        <f t="shared" si="286"/>
        <v>0</v>
      </c>
      <c r="M989" s="101">
        <f t="shared" si="286"/>
        <v>0</v>
      </c>
      <c r="N989" s="101">
        <f t="shared" si="286"/>
        <v>0</v>
      </c>
      <c r="O989" s="101">
        <f t="shared" si="286"/>
        <v>0</v>
      </c>
      <c r="P989" s="101">
        <f t="shared" si="286"/>
        <v>0</v>
      </c>
      <c r="Q989" s="101">
        <f t="shared" si="286"/>
        <v>0</v>
      </c>
      <c r="R989" s="101">
        <f t="shared" si="286"/>
        <v>0</v>
      </c>
      <c r="S989" s="101">
        <f t="shared" si="286"/>
        <v>0</v>
      </c>
      <c r="T989" s="101">
        <f t="shared" si="286"/>
        <v>0</v>
      </c>
      <c r="U989" s="101">
        <f t="shared" si="286"/>
        <v>0</v>
      </c>
      <c r="V989" s="101">
        <f t="shared" si="286"/>
        <v>0</v>
      </c>
      <c r="W989" s="101">
        <f t="shared" si="286"/>
        <v>0</v>
      </c>
      <c r="X989" s="101">
        <f t="shared" si="286"/>
        <v>0</v>
      </c>
      <c r="Y989" s="101">
        <f t="shared" si="286"/>
        <v>0</v>
      </c>
      <c r="Z989" s="101">
        <f t="shared" si="286"/>
        <v>0</v>
      </c>
      <c r="AA989" s="101">
        <f t="shared" si="286"/>
        <v>0</v>
      </c>
      <c r="AB989" s="101">
        <f t="shared" si="286"/>
        <v>0</v>
      </c>
      <c r="AC989" s="101">
        <f t="shared" si="286"/>
        <v>0</v>
      </c>
      <c r="AD989" s="101">
        <f t="shared" si="286"/>
        <v>0</v>
      </c>
      <c r="AE989" s="101">
        <f t="shared" si="286"/>
        <v>0</v>
      </c>
      <c r="AF989" s="101">
        <f t="shared" si="286"/>
        <v>0</v>
      </c>
      <c r="AG989" s="101">
        <f t="shared" si="286"/>
        <v>0</v>
      </c>
      <c r="AH989" s="101">
        <f t="shared" si="286"/>
        <v>0</v>
      </c>
      <c r="AI989" s="101">
        <f t="shared" si="286"/>
        <v>0</v>
      </c>
      <c r="AJ989" s="101">
        <f t="shared" ref="AJ989:BO989" si="287">Opening_year_dementia_cost*Opening_year_mask</f>
        <v>0</v>
      </c>
      <c r="AK989" s="101">
        <f t="shared" si="287"/>
        <v>0</v>
      </c>
      <c r="AL989" s="101">
        <f t="shared" si="287"/>
        <v>0</v>
      </c>
      <c r="AM989" s="101">
        <f t="shared" si="287"/>
        <v>0</v>
      </c>
      <c r="AN989" s="101">
        <f t="shared" si="287"/>
        <v>0</v>
      </c>
      <c r="AO989" s="101">
        <f t="shared" si="287"/>
        <v>0</v>
      </c>
      <c r="AP989" s="101">
        <f t="shared" si="287"/>
        <v>0</v>
      </c>
      <c r="AQ989" s="101">
        <f t="shared" si="287"/>
        <v>0</v>
      </c>
      <c r="AR989" s="101">
        <f t="shared" si="287"/>
        <v>0</v>
      </c>
      <c r="AS989" s="101">
        <f t="shared" si="287"/>
        <v>0</v>
      </c>
      <c r="AT989" s="101">
        <f t="shared" si="287"/>
        <v>0</v>
      </c>
      <c r="AU989" s="101">
        <f t="shared" si="287"/>
        <v>0</v>
      </c>
      <c r="AV989" s="101">
        <f t="shared" si="287"/>
        <v>0</v>
      </c>
      <c r="AW989" s="101">
        <f t="shared" si="287"/>
        <v>0</v>
      </c>
      <c r="AX989" s="101">
        <f t="shared" si="287"/>
        <v>0</v>
      </c>
      <c r="AY989" s="101">
        <f t="shared" si="287"/>
        <v>0</v>
      </c>
      <c r="AZ989" s="101">
        <f t="shared" si="287"/>
        <v>0</v>
      </c>
      <c r="BA989" s="101">
        <f t="shared" si="287"/>
        <v>0</v>
      </c>
      <c r="BB989" s="101">
        <f t="shared" si="287"/>
        <v>0</v>
      </c>
      <c r="BC989" s="101">
        <f t="shared" si="287"/>
        <v>0</v>
      </c>
      <c r="BD989" s="101">
        <f t="shared" si="287"/>
        <v>0</v>
      </c>
      <c r="BE989" s="101">
        <f t="shared" si="287"/>
        <v>0</v>
      </c>
      <c r="BF989" s="101">
        <f t="shared" si="287"/>
        <v>0</v>
      </c>
      <c r="BG989" s="101">
        <f t="shared" si="287"/>
        <v>0</v>
      </c>
      <c r="BH989" s="101">
        <f t="shared" si="287"/>
        <v>0</v>
      </c>
      <c r="BI989" s="101">
        <f t="shared" si="287"/>
        <v>0</v>
      </c>
      <c r="BJ989" s="101">
        <f t="shared" si="287"/>
        <v>0</v>
      </c>
      <c r="BK989" s="101">
        <f t="shared" si="287"/>
        <v>0</v>
      </c>
      <c r="BL989" s="101">
        <f t="shared" si="287"/>
        <v>0</v>
      </c>
      <c r="BM989" s="101">
        <f t="shared" si="287"/>
        <v>0</v>
      </c>
      <c r="BN989" s="101">
        <f t="shared" si="287"/>
        <v>0</v>
      </c>
      <c r="BO989" s="101">
        <f t="shared" si="287"/>
        <v>0</v>
      </c>
      <c r="BP989" s="101">
        <f t="shared" ref="BP989:CP989" si="288">Opening_year_dementia_cost*Opening_year_mask</f>
        <v>0</v>
      </c>
      <c r="BQ989" s="101">
        <f t="shared" si="288"/>
        <v>0</v>
      </c>
      <c r="BR989" s="101">
        <f t="shared" si="288"/>
        <v>0</v>
      </c>
      <c r="BS989" s="101">
        <f t="shared" si="288"/>
        <v>0</v>
      </c>
      <c r="BT989" s="101">
        <f t="shared" si="288"/>
        <v>0</v>
      </c>
      <c r="BU989" s="101">
        <f t="shared" si="288"/>
        <v>0</v>
      </c>
      <c r="BV989" s="101">
        <f t="shared" si="288"/>
        <v>0</v>
      </c>
      <c r="BW989" s="101">
        <f t="shared" si="288"/>
        <v>0</v>
      </c>
      <c r="BX989" s="101">
        <f t="shared" si="288"/>
        <v>0</v>
      </c>
      <c r="BY989" s="101">
        <f t="shared" si="288"/>
        <v>0</v>
      </c>
      <c r="BZ989" s="101">
        <f t="shared" si="288"/>
        <v>0</v>
      </c>
      <c r="CA989" s="101">
        <f t="shared" si="288"/>
        <v>0</v>
      </c>
      <c r="CB989" s="101">
        <f t="shared" si="288"/>
        <v>0</v>
      </c>
      <c r="CC989" s="101">
        <f t="shared" si="288"/>
        <v>0</v>
      </c>
      <c r="CD989" s="101">
        <f t="shared" si="288"/>
        <v>0</v>
      </c>
      <c r="CE989" s="101">
        <f t="shared" si="288"/>
        <v>0</v>
      </c>
      <c r="CF989" s="101">
        <f t="shared" si="288"/>
        <v>0</v>
      </c>
      <c r="CG989" s="101">
        <f t="shared" si="288"/>
        <v>0</v>
      </c>
      <c r="CH989" s="101">
        <f t="shared" si="288"/>
        <v>0</v>
      </c>
      <c r="CI989" s="101">
        <f t="shared" si="288"/>
        <v>0</v>
      </c>
      <c r="CJ989" s="101">
        <f t="shared" si="288"/>
        <v>0</v>
      </c>
      <c r="CK989" s="101">
        <f t="shared" si="288"/>
        <v>0</v>
      </c>
      <c r="CL989" s="101">
        <f t="shared" si="288"/>
        <v>0</v>
      </c>
      <c r="CM989" s="101">
        <f t="shared" si="288"/>
        <v>0</v>
      </c>
      <c r="CN989" s="101">
        <f t="shared" si="288"/>
        <v>0</v>
      </c>
      <c r="CO989" s="101">
        <f t="shared" si="288"/>
        <v>0</v>
      </c>
      <c r="CP989" s="101">
        <f t="shared" si="288"/>
        <v>0</v>
      </c>
      <c r="CQ989" s="3" t="s">
        <v>300</v>
      </c>
    </row>
    <row r="990" spans="1:95" ht="14.5" x14ac:dyDescent="0.35">
      <c r="A990" s="102"/>
      <c r="B990" s="102" t="s">
        <v>69</v>
      </c>
      <c r="C990" s="102"/>
      <c r="D990" s="101">
        <f t="shared" ref="D990:AI990" si="289">Forecast_year_dementia_cost*Forecast_year_mask</f>
        <v>0</v>
      </c>
      <c r="E990" s="101">
        <f t="shared" si="289"/>
        <v>0</v>
      </c>
      <c r="F990" s="101">
        <f t="shared" si="289"/>
        <v>0</v>
      </c>
      <c r="G990" s="101">
        <f t="shared" si="289"/>
        <v>0</v>
      </c>
      <c r="H990" s="101">
        <f t="shared" si="289"/>
        <v>0</v>
      </c>
      <c r="I990" s="101">
        <f t="shared" si="289"/>
        <v>0</v>
      </c>
      <c r="J990" s="101">
        <f t="shared" si="289"/>
        <v>0</v>
      </c>
      <c r="K990" s="101">
        <f t="shared" si="289"/>
        <v>0</v>
      </c>
      <c r="L990" s="101">
        <f t="shared" si="289"/>
        <v>0</v>
      </c>
      <c r="M990" s="101">
        <f t="shared" si="289"/>
        <v>0</v>
      </c>
      <c r="N990" s="101">
        <f t="shared" si="289"/>
        <v>0</v>
      </c>
      <c r="O990" s="101">
        <f t="shared" si="289"/>
        <v>0</v>
      </c>
      <c r="P990" s="101">
        <f t="shared" si="289"/>
        <v>0</v>
      </c>
      <c r="Q990" s="101">
        <f t="shared" si="289"/>
        <v>0</v>
      </c>
      <c r="R990" s="101">
        <f t="shared" si="289"/>
        <v>0</v>
      </c>
      <c r="S990" s="101">
        <f t="shared" si="289"/>
        <v>0</v>
      </c>
      <c r="T990" s="101">
        <f t="shared" si="289"/>
        <v>0</v>
      </c>
      <c r="U990" s="101">
        <f t="shared" si="289"/>
        <v>0</v>
      </c>
      <c r="V990" s="101">
        <f t="shared" si="289"/>
        <v>0</v>
      </c>
      <c r="W990" s="101">
        <f t="shared" si="289"/>
        <v>0</v>
      </c>
      <c r="X990" s="101">
        <f t="shared" si="289"/>
        <v>0</v>
      </c>
      <c r="Y990" s="101">
        <f t="shared" si="289"/>
        <v>0</v>
      </c>
      <c r="Z990" s="101">
        <f t="shared" si="289"/>
        <v>0</v>
      </c>
      <c r="AA990" s="101">
        <f t="shared" si="289"/>
        <v>0</v>
      </c>
      <c r="AB990" s="101">
        <f t="shared" si="289"/>
        <v>0</v>
      </c>
      <c r="AC990" s="101">
        <f t="shared" si="289"/>
        <v>0</v>
      </c>
      <c r="AD990" s="101">
        <f t="shared" si="289"/>
        <v>0</v>
      </c>
      <c r="AE990" s="101">
        <f t="shared" si="289"/>
        <v>0</v>
      </c>
      <c r="AF990" s="101">
        <f t="shared" si="289"/>
        <v>0</v>
      </c>
      <c r="AG990" s="101">
        <f t="shared" si="289"/>
        <v>0</v>
      </c>
      <c r="AH990" s="101">
        <f t="shared" si="289"/>
        <v>0</v>
      </c>
      <c r="AI990" s="101">
        <f t="shared" si="289"/>
        <v>0</v>
      </c>
      <c r="AJ990" s="101">
        <f t="shared" ref="AJ990:BO990" si="290">Forecast_year_dementia_cost*Forecast_year_mask</f>
        <v>0</v>
      </c>
      <c r="AK990" s="101">
        <f t="shared" si="290"/>
        <v>0</v>
      </c>
      <c r="AL990" s="101">
        <f t="shared" si="290"/>
        <v>0</v>
      </c>
      <c r="AM990" s="101">
        <f t="shared" si="290"/>
        <v>0</v>
      </c>
      <c r="AN990" s="101">
        <f t="shared" si="290"/>
        <v>0</v>
      </c>
      <c r="AO990" s="101">
        <f t="shared" si="290"/>
        <v>0</v>
      </c>
      <c r="AP990" s="101">
        <f t="shared" si="290"/>
        <v>0</v>
      </c>
      <c r="AQ990" s="101">
        <f t="shared" si="290"/>
        <v>0</v>
      </c>
      <c r="AR990" s="101">
        <f t="shared" si="290"/>
        <v>0</v>
      </c>
      <c r="AS990" s="101">
        <f t="shared" si="290"/>
        <v>0</v>
      </c>
      <c r="AT990" s="101">
        <f t="shared" si="290"/>
        <v>0</v>
      </c>
      <c r="AU990" s="101">
        <f t="shared" si="290"/>
        <v>0</v>
      </c>
      <c r="AV990" s="101">
        <f t="shared" si="290"/>
        <v>0</v>
      </c>
      <c r="AW990" s="101">
        <f t="shared" si="290"/>
        <v>0</v>
      </c>
      <c r="AX990" s="101">
        <f t="shared" si="290"/>
        <v>0</v>
      </c>
      <c r="AY990" s="101">
        <f t="shared" si="290"/>
        <v>0</v>
      </c>
      <c r="AZ990" s="101">
        <f t="shared" si="290"/>
        <v>0</v>
      </c>
      <c r="BA990" s="101">
        <f t="shared" si="290"/>
        <v>0</v>
      </c>
      <c r="BB990" s="101">
        <f t="shared" si="290"/>
        <v>0</v>
      </c>
      <c r="BC990" s="101">
        <f t="shared" si="290"/>
        <v>0</v>
      </c>
      <c r="BD990" s="101">
        <f t="shared" si="290"/>
        <v>0</v>
      </c>
      <c r="BE990" s="101">
        <f t="shared" si="290"/>
        <v>0</v>
      </c>
      <c r="BF990" s="101">
        <f t="shared" si="290"/>
        <v>0</v>
      </c>
      <c r="BG990" s="101">
        <f t="shared" si="290"/>
        <v>0</v>
      </c>
      <c r="BH990" s="101">
        <f t="shared" si="290"/>
        <v>0</v>
      </c>
      <c r="BI990" s="101">
        <f t="shared" si="290"/>
        <v>0</v>
      </c>
      <c r="BJ990" s="101">
        <f t="shared" si="290"/>
        <v>0</v>
      </c>
      <c r="BK990" s="101">
        <f t="shared" si="290"/>
        <v>0</v>
      </c>
      <c r="BL990" s="101">
        <f t="shared" si="290"/>
        <v>0</v>
      </c>
      <c r="BM990" s="101">
        <f t="shared" si="290"/>
        <v>0</v>
      </c>
      <c r="BN990" s="101">
        <f t="shared" si="290"/>
        <v>0</v>
      </c>
      <c r="BO990" s="101">
        <f t="shared" si="290"/>
        <v>0</v>
      </c>
      <c r="BP990" s="101">
        <f t="shared" ref="BP990:CP990" si="291">Forecast_year_dementia_cost*Forecast_year_mask</f>
        <v>0</v>
      </c>
      <c r="BQ990" s="101">
        <f t="shared" si="291"/>
        <v>0</v>
      </c>
      <c r="BR990" s="101">
        <f t="shared" si="291"/>
        <v>0</v>
      </c>
      <c r="BS990" s="101">
        <f t="shared" si="291"/>
        <v>0</v>
      </c>
      <c r="BT990" s="101">
        <f t="shared" si="291"/>
        <v>0</v>
      </c>
      <c r="BU990" s="101">
        <f t="shared" si="291"/>
        <v>0</v>
      </c>
      <c r="BV990" s="101">
        <f t="shared" si="291"/>
        <v>0</v>
      </c>
      <c r="BW990" s="101">
        <f t="shared" si="291"/>
        <v>0</v>
      </c>
      <c r="BX990" s="101">
        <f t="shared" si="291"/>
        <v>0</v>
      </c>
      <c r="BY990" s="101">
        <f t="shared" si="291"/>
        <v>0</v>
      </c>
      <c r="BZ990" s="101">
        <f t="shared" si="291"/>
        <v>0</v>
      </c>
      <c r="CA990" s="101">
        <f t="shared" si="291"/>
        <v>0</v>
      </c>
      <c r="CB990" s="101">
        <f t="shared" si="291"/>
        <v>0</v>
      </c>
      <c r="CC990" s="101">
        <f t="shared" si="291"/>
        <v>0</v>
      </c>
      <c r="CD990" s="101">
        <f t="shared" si="291"/>
        <v>0</v>
      </c>
      <c r="CE990" s="101">
        <f t="shared" si="291"/>
        <v>0</v>
      </c>
      <c r="CF990" s="101">
        <f t="shared" si="291"/>
        <v>0</v>
      </c>
      <c r="CG990" s="101">
        <f t="shared" si="291"/>
        <v>0</v>
      </c>
      <c r="CH990" s="101">
        <f t="shared" si="291"/>
        <v>0</v>
      </c>
      <c r="CI990" s="101">
        <f t="shared" si="291"/>
        <v>0</v>
      </c>
      <c r="CJ990" s="101">
        <f t="shared" si="291"/>
        <v>0</v>
      </c>
      <c r="CK990" s="101">
        <f t="shared" si="291"/>
        <v>0</v>
      </c>
      <c r="CL990" s="101">
        <f t="shared" si="291"/>
        <v>0</v>
      </c>
      <c r="CM990" s="101">
        <f t="shared" si="291"/>
        <v>0</v>
      </c>
      <c r="CN990" s="101">
        <f t="shared" si="291"/>
        <v>0</v>
      </c>
      <c r="CO990" s="101">
        <f t="shared" si="291"/>
        <v>0</v>
      </c>
      <c r="CP990" s="101">
        <f t="shared" si="291"/>
        <v>0</v>
      </c>
      <c r="CQ990" s="3" t="s">
        <v>301</v>
      </c>
    </row>
    <row r="991" spans="1:95" ht="14.5" x14ac:dyDescent="0.35">
      <c r="A991" s="102"/>
      <c r="B991" s="102" t="s">
        <v>268</v>
      </c>
      <c r="C991" s="102"/>
      <c r="D991" s="101">
        <f t="shared" ref="D991:AI991" si="292">(Opening_year_dementia_cost+(Difference_dementia_cost)*(year-Opening_year)/(Forecast_and_opening_year_difference))*Interpolation_mask</f>
        <v>0</v>
      </c>
      <c r="E991" s="101">
        <f t="shared" si="292"/>
        <v>0</v>
      </c>
      <c r="F991" s="101">
        <f t="shared" si="292"/>
        <v>0</v>
      </c>
      <c r="G991" s="101">
        <f t="shared" si="292"/>
        <v>0</v>
      </c>
      <c r="H991" s="101">
        <f t="shared" si="292"/>
        <v>0</v>
      </c>
      <c r="I991" s="101">
        <f t="shared" si="292"/>
        <v>0</v>
      </c>
      <c r="J991" s="101">
        <f t="shared" si="292"/>
        <v>0</v>
      </c>
      <c r="K991" s="101">
        <f t="shared" si="292"/>
        <v>0</v>
      </c>
      <c r="L991" s="101">
        <f t="shared" si="292"/>
        <v>0</v>
      </c>
      <c r="M991" s="101">
        <f t="shared" si="292"/>
        <v>0</v>
      </c>
      <c r="N991" s="101">
        <f t="shared" si="292"/>
        <v>0</v>
      </c>
      <c r="O991" s="101">
        <f t="shared" si="292"/>
        <v>0</v>
      </c>
      <c r="P991" s="101">
        <f t="shared" si="292"/>
        <v>0</v>
      </c>
      <c r="Q991" s="101">
        <f t="shared" si="292"/>
        <v>0</v>
      </c>
      <c r="R991" s="101">
        <f t="shared" si="292"/>
        <v>0</v>
      </c>
      <c r="S991" s="101">
        <f t="shared" si="292"/>
        <v>0</v>
      </c>
      <c r="T991" s="101">
        <f t="shared" si="292"/>
        <v>0</v>
      </c>
      <c r="U991" s="101">
        <f t="shared" si="292"/>
        <v>0</v>
      </c>
      <c r="V991" s="101">
        <f t="shared" si="292"/>
        <v>0</v>
      </c>
      <c r="W991" s="101">
        <f t="shared" si="292"/>
        <v>0</v>
      </c>
      <c r="X991" s="101">
        <f t="shared" si="292"/>
        <v>0</v>
      </c>
      <c r="Y991" s="101">
        <f t="shared" si="292"/>
        <v>0</v>
      </c>
      <c r="Z991" s="101">
        <f t="shared" si="292"/>
        <v>0</v>
      </c>
      <c r="AA991" s="101">
        <f t="shared" si="292"/>
        <v>0</v>
      </c>
      <c r="AB991" s="101">
        <f t="shared" si="292"/>
        <v>0</v>
      </c>
      <c r="AC991" s="101">
        <f t="shared" si="292"/>
        <v>0</v>
      </c>
      <c r="AD991" s="101">
        <f t="shared" si="292"/>
        <v>0</v>
      </c>
      <c r="AE991" s="101">
        <f t="shared" si="292"/>
        <v>0</v>
      </c>
      <c r="AF991" s="101">
        <f t="shared" si="292"/>
        <v>0</v>
      </c>
      <c r="AG991" s="101">
        <f t="shared" si="292"/>
        <v>0</v>
      </c>
      <c r="AH991" s="101">
        <f t="shared" si="292"/>
        <v>0</v>
      </c>
      <c r="AI991" s="101">
        <f t="shared" si="292"/>
        <v>0</v>
      </c>
      <c r="AJ991" s="101">
        <f t="shared" ref="AJ991:BO991" si="293">(Opening_year_dementia_cost+(Difference_dementia_cost)*(year-Opening_year)/(Forecast_and_opening_year_difference))*Interpolation_mask</f>
        <v>0</v>
      </c>
      <c r="AK991" s="101">
        <f t="shared" si="293"/>
        <v>0</v>
      </c>
      <c r="AL991" s="101">
        <f t="shared" si="293"/>
        <v>0</v>
      </c>
      <c r="AM991" s="101">
        <f t="shared" si="293"/>
        <v>0</v>
      </c>
      <c r="AN991" s="101">
        <f t="shared" si="293"/>
        <v>0</v>
      </c>
      <c r="AO991" s="101">
        <f t="shared" si="293"/>
        <v>0</v>
      </c>
      <c r="AP991" s="101">
        <f t="shared" si="293"/>
        <v>0</v>
      </c>
      <c r="AQ991" s="101">
        <f t="shared" si="293"/>
        <v>0</v>
      </c>
      <c r="AR991" s="101">
        <f t="shared" si="293"/>
        <v>0</v>
      </c>
      <c r="AS991" s="101">
        <f t="shared" si="293"/>
        <v>0</v>
      </c>
      <c r="AT991" s="101">
        <f t="shared" si="293"/>
        <v>0</v>
      </c>
      <c r="AU991" s="101">
        <f t="shared" si="293"/>
        <v>0</v>
      </c>
      <c r="AV991" s="101">
        <f t="shared" si="293"/>
        <v>0</v>
      </c>
      <c r="AW991" s="101">
        <f t="shared" si="293"/>
        <v>0</v>
      </c>
      <c r="AX991" s="101">
        <f t="shared" si="293"/>
        <v>0</v>
      </c>
      <c r="AY991" s="101">
        <f t="shared" si="293"/>
        <v>0</v>
      </c>
      <c r="AZ991" s="101">
        <f t="shared" si="293"/>
        <v>0</v>
      </c>
      <c r="BA991" s="101">
        <f t="shared" si="293"/>
        <v>0</v>
      </c>
      <c r="BB991" s="101">
        <f t="shared" si="293"/>
        <v>0</v>
      </c>
      <c r="BC991" s="101">
        <f t="shared" si="293"/>
        <v>0</v>
      </c>
      <c r="BD991" s="101">
        <f t="shared" si="293"/>
        <v>0</v>
      </c>
      <c r="BE991" s="101">
        <f t="shared" si="293"/>
        <v>0</v>
      </c>
      <c r="BF991" s="101">
        <f t="shared" si="293"/>
        <v>0</v>
      </c>
      <c r="BG991" s="101">
        <f t="shared" si="293"/>
        <v>0</v>
      </c>
      <c r="BH991" s="101">
        <f t="shared" si="293"/>
        <v>0</v>
      </c>
      <c r="BI991" s="101">
        <f t="shared" si="293"/>
        <v>0</v>
      </c>
      <c r="BJ991" s="101">
        <f t="shared" si="293"/>
        <v>0</v>
      </c>
      <c r="BK991" s="101">
        <f t="shared" si="293"/>
        <v>0</v>
      </c>
      <c r="BL991" s="101">
        <f t="shared" si="293"/>
        <v>0</v>
      </c>
      <c r="BM991" s="101">
        <f t="shared" si="293"/>
        <v>0</v>
      </c>
      <c r="BN991" s="101">
        <f t="shared" si="293"/>
        <v>0</v>
      </c>
      <c r="BO991" s="101">
        <f t="shared" si="293"/>
        <v>0</v>
      </c>
      <c r="BP991" s="101">
        <f t="shared" ref="BP991:CP991" si="294">(Opening_year_dementia_cost+(Difference_dementia_cost)*(year-Opening_year)/(Forecast_and_opening_year_difference))*Interpolation_mask</f>
        <v>0</v>
      </c>
      <c r="BQ991" s="101">
        <f t="shared" si="294"/>
        <v>0</v>
      </c>
      <c r="BR991" s="101">
        <f t="shared" si="294"/>
        <v>0</v>
      </c>
      <c r="BS991" s="101">
        <f t="shared" si="294"/>
        <v>0</v>
      </c>
      <c r="BT991" s="101">
        <f t="shared" si="294"/>
        <v>0</v>
      </c>
      <c r="BU991" s="101">
        <f t="shared" si="294"/>
        <v>0</v>
      </c>
      <c r="BV991" s="101">
        <f t="shared" si="294"/>
        <v>0</v>
      </c>
      <c r="BW991" s="101">
        <f t="shared" si="294"/>
        <v>0</v>
      </c>
      <c r="BX991" s="101">
        <f t="shared" si="294"/>
        <v>0</v>
      </c>
      <c r="BY991" s="101">
        <f t="shared" si="294"/>
        <v>0</v>
      </c>
      <c r="BZ991" s="101">
        <f t="shared" si="294"/>
        <v>0</v>
      </c>
      <c r="CA991" s="101">
        <f t="shared" si="294"/>
        <v>0</v>
      </c>
      <c r="CB991" s="101">
        <f t="shared" si="294"/>
        <v>0</v>
      </c>
      <c r="CC991" s="101">
        <f t="shared" si="294"/>
        <v>0</v>
      </c>
      <c r="CD991" s="101">
        <f t="shared" si="294"/>
        <v>0</v>
      </c>
      <c r="CE991" s="101">
        <f t="shared" si="294"/>
        <v>0</v>
      </c>
      <c r="CF991" s="101">
        <f t="shared" si="294"/>
        <v>0</v>
      </c>
      <c r="CG991" s="101">
        <f t="shared" si="294"/>
        <v>0</v>
      </c>
      <c r="CH991" s="101">
        <f t="shared" si="294"/>
        <v>0</v>
      </c>
      <c r="CI991" s="101">
        <f t="shared" si="294"/>
        <v>0</v>
      </c>
      <c r="CJ991" s="101">
        <f t="shared" si="294"/>
        <v>0</v>
      </c>
      <c r="CK991" s="101">
        <f t="shared" si="294"/>
        <v>0</v>
      </c>
      <c r="CL991" s="101">
        <f t="shared" si="294"/>
        <v>0</v>
      </c>
      <c r="CM991" s="101">
        <f t="shared" si="294"/>
        <v>0</v>
      </c>
      <c r="CN991" s="101">
        <f t="shared" si="294"/>
        <v>0</v>
      </c>
      <c r="CO991" s="101">
        <f t="shared" si="294"/>
        <v>0</v>
      </c>
      <c r="CP991" s="101">
        <f t="shared" si="294"/>
        <v>0</v>
      </c>
      <c r="CQ991" s="3" t="s">
        <v>302</v>
      </c>
    </row>
    <row r="992" spans="1:95" ht="14.5" x14ac:dyDescent="0.35">
      <c r="A992" s="102"/>
      <c r="B992" s="102" t="s">
        <v>270</v>
      </c>
      <c r="C992" s="102"/>
      <c r="D992" s="101">
        <f t="shared" ref="D992:AI992" si="295">Forecast_year_dementia_cost*Extrapolation_mask</f>
        <v>0</v>
      </c>
      <c r="E992" s="101">
        <f t="shared" si="295"/>
        <v>0</v>
      </c>
      <c r="F992" s="101">
        <f t="shared" si="295"/>
        <v>0</v>
      </c>
      <c r="G992" s="101">
        <f t="shared" si="295"/>
        <v>0</v>
      </c>
      <c r="H992" s="101">
        <f t="shared" si="295"/>
        <v>0</v>
      </c>
      <c r="I992" s="101">
        <f t="shared" si="295"/>
        <v>0</v>
      </c>
      <c r="J992" s="101">
        <f t="shared" si="295"/>
        <v>0</v>
      </c>
      <c r="K992" s="101">
        <f t="shared" si="295"/>
        <v>0</v>
      </c>
      <c r="L992" s="101">
        <f t="shared" si="295"/>
        <v>0</v>
      </c>
      <c r="M992" s="101">
        <f t="shared" si="295"/>
        <v>0</v>
      </c>
      <c r="N992" s="101">
        <f t="shared" si="295"/>
        <v>0</v>
      </c>
      <c r="O992" s="101">
        <f t="shared" si="295"/>
        <v>0</v>
      </c>
      <c r="P992" s="101">
        <f t="shared" si="295"/>
        <v>0</v>
      </c>
      <c r="Q992" s="101">
        <f t="shared" si="295"/>
        <v>0</v>
      </c>
      <c r="R992" s="101">
        <f t="shared" si="295"/>
        <v>0</v>
      </c>
      <c r="S992" s="101">
        <f t="shared" si="295"/>
        <v>0</v>
      </c>
      <c r="T992" s="101">
        <f t="shared" si="295"/>
        <v>0</v>
      </c>
      <c r="U992" s="101">
        <f t="shared" si="295"/>
        <v>0</v>
      </c>
      <c r="V992" s="101">
        <f t="shared" si="295"/>
        <v>0</v>
      </c>
      <c r="W992" s="101">
        <f t="shared" si="295"/>
        <v>0</v>
      </c>
      <c r="X992" s="101">
        <f t="shared" si="295"/>
        <v>0</v>
      </c>
      <c r="Y992" s="101">
        <f t="shared" si="295"/>
        <v>0</v>
      </c>
      <c r="Z992" s="101">
        <f t="shared" si="295"/>
        <v>0</v>
      </c>
      <c r="AA992" s="101">
        <f t="shared" si="295"/>
        <v>0</v>
      </c>
      <c r="AB992" s="101">
        <f t="shared" si="295"/>
        <v>0</v>
      </c>
      <c r="AC992" s="101">
        <f t="shared" si="295"/>
        <v>0</v>
      </c>
      <c r="AD992" s="101">
        <f t="shared" si="295"/>
        <v>0</v>
      </c>
      <c r="AE992" s="101">
        <f t="shared" si="295"/>
        <v>0</v>
      </c>
      <c r="AF992" s="101">
        <f t="shared" si="295"/>
        <v>0</v>
      </c>
      <c r="AG992" s="101">
        <f t="shared" si="295"/>
        <v>0</v>
      </c>
      <c r="AH992" s="101">
        <f t="shared" si="295"/>
        <v>0</v>
      </c>
      <c r="AI992" s="101">
        <f t="shared" si="295"/>
        <v>0</v>
      </c>
      <c r="AJ992" s="101">
        <f t="shared" ref="AJ992:BO992" si="296">Forecast_year_dementia_cost*Extrapolation_mask</f>
        <v>0</v>
      </c>
      <c r="AK992" s="101">
        <f t="shared" si="296"/>
        <v>0</v>
      </c>
      <c r="AL992" s="101">
        <f t="shared" si="296"/>
        <v>0</v>
      </c>
      <c r="AM992" s="101">
        <f t="shared" si="296"/>
        <v>0</v>
      </c>
      <c r="AN992" s="101">
        <f t="shared" si="296"/>
        <v>0</v>
      </c>
      <c r="AO992" s="101">
        <f t="shared" si="296"/>
        <v>0</v>
      </c>
      <c r="AP992" s="101">
        <f t="shared" si="296"/>
        <v>0</v>
      </c>
      <c r="AQ992" s="101">
        <f t="shared" si="296"/>
        <v>0</v>
      </c>
      <c r="AR992" s="101">
        <f t="shared" si="296"/>
        <v>0</v>
      </c>
      <c r="AS992" s="101">
        <f t="shared" si="296"/>
        <v>0</v>
      </c>
      <c r="AT992" s="101">
        <f t="shared" si="296"/>
        <v>0</v>
      </c>
      <c r="AU992" s="101">
        <f t="shared" si="296"/>
        <v>0</v>
      </c>
      <c r="AV992" s="101">
        <f t="shared" si="296"/>
        <v>0</v>
      </c>
      <c r="AW992" s="101">
        <f t="shared" si="296"/>
        <v>0</v>
      </c>
      <c r="AX992" s="101">
        <f t="shared" si="296"/>
        <v>0</v>
      </c>
      <c r="AY992" s="101">
        <f t="shared" si="296"/>
        <v>0</v>
      </c>
      <c r="AZ992" s="101">
        <f t="shared" si="296"/>
        <v>0</v>
      </c>
      <c r="BA992" s="101">
        <f t="shared" si="296"/>
        <v>0</v>
      </c>
      <c r="BB992" s="101">
        <f t="shared" si="296"/>
        <v>0</v>
      </c>
      <c r="BC992" s="101">
        <f t="shared" si="296"/>
        <v>0</v>
      </c>
      <c r="BD992" s="101">
        <f t="shared" si="296"/>
        <v>0</v>
      </c>
      <c r="BE992" s="101">
        <f t="shared" si="296"/>
        <v>0</v>
      </c>
      <c r="BF992" s="101">
        <f t="shared" si="296"/>
        <v>0</v>
      </c>
      <c r="BG992" s="101">
        <f t="shared" si="296"/>
        <v>0</v>
      </c>
      <c r="BH992" s="101">
        <f t="shared" si="296"/>
        <v>0</v>
      </c>
      <c r="BI992" s="101">
        <f t="shared" si="296"/>
        <v>0</v>
      </c>
      <c r="BJ992" s="101">
        <f t="shared" si="296"/>
        <v>0</v>
      </c>
      <c r="BK992" s="101">
        <f t="shared" si="296"/>
        <v>0</v>
      </c>
      <c r="BL992" s="101">
        <f t="shared" si="296"/>
        <v>0</v>
      </c>
      <c r="BM992" s="101">
        <f t="shared" si="296"/>
        <v>0</v>
      </c>
      <c r="BN992" s="101">
        <f t="shared" si="296"/>
        <v>0</v>
      </c>
      <c r="BO992" s="101">
        <f t="shared" si="296"/>
        <v>0</v>
      </c>
      <c r="BP992" s="101">
        <f t="shared" ref="BP992:CP992" si="297">Forecast_year_dementia_cost*Extrapolation_mask</f>
        <v>0</v>
      </c>
      <c r="BQ992" s="101">
        <f t="shared" si="297"/>
        <v>0</v>
      </c>
      <c r="BR992" s="101">
        <f t="shared" si="297"/>
        <v>0</v>
      </c>
      <c r="BS992" s="101">
        <f t="shared" si="297"/>
        <v>0</v>
      </c>
      <c r="BT992" s="101">
        <f t="shared" si="297"/>
        <v>0</v>
      </c>
      <c r="BU992" s="101">
        <f t="shared" si="297"/>
        <v>0</v>
      </c>
      <c r="BV992" s="101">
        <f t="shared" si="297"/>
        <v>0</v>
      </c>
      <c r="BW992" s="101">
        <f t="shared" si="297"/>
        <v>0</v>
      </c>
      <c r="BX992" s="101">
        <f t="shared" si="297"/>
        <v>0</v>
      </c>
      <c r="BY992" s="101">
        <f t="shared" si="297"/>
        <v>0</v>
      </c>
      <c r="BZ992" s="101">
        <f t="shared" si="297"/>
        <v>0</v>
      </c>
      <c r="CA992" s="101">
        <f t="shared" si="297"/>
        <v>0</v>
      </c>
      <c r="CB992" s="101">
        <f t="shared" si="297"/>
        <v>0</v>
      </c>
      <c r="CC992" s="101">
        <f t="shared" si="297"/>
        <v>0</v>
      </c>
      <c r="CD992" s="101">
        <f t="shared" si="297"/>
        <v>0</v>
      </c>
      <c r="CE992" s="101">
        <f t="shared" si="297"/>
        <v>0</v>
      </c>
      <c r="CF992" s="101">
        <f t="shared" si="297"/>
        <v>0</v>
      </c>
      <c r="CG992" s="101">
        <f t="shared" si="297"/>
        <v>0</v>
      </c>
      <c r="CH992" s="101">
        <f t="shared" si="297"/>
        <v>0</v>
      </c>
      <c r="CI992" s="101">
        <f t="shared" si="297"/>
        <v>0</v>
      </c>
      <c r="CJ992" s="101">
        <f t="shared" si="297"/>
        <v>0</v>
      </c>
      <c r="CK992" s="101">
        <f t="shared" si="297"/>
        <v>0</v>
      </c>
      <c r="CL992" s="101">
        <f t="shared" si="297"/>
        <v>0</v>
      </c>
      <c r="CM992" s="101">
        <f t="shared" si="297"/>
        <v>0</v>
      </c>
      <c r="CN992" s="101">
        <f t="shared" si="297"/>
        <v>0</v>
      </c>
      <c r="CO992" s="101">
        <f t="shared" si="297"/>
        <v>0</v>
      </c>
      <c r="CP992" s="101">
        <f t="shared" si="297"/>
        <v>0</v>
      </c>
      <c r="CQ992" s="3" t="s">
        <v>303</v>
      </c>
    </row>
    <row r="993" spans="1:95" ht="14.5" x14ac:dyDescent="0.35">
      <c r="A993" s="102"/>
      <c r="B993" s="102" t="s">
        <v>279</v>
      </c>
      <c r="C993" s="102"/>
      <c r="D993" s="101">
        <f t="shared" ref="D993:AI993" si="298">Opening_year_dementia_cost_mask+Forecast_year_dementia_cost_mask+Interpolation_dementia_cost_mask+Extrapolation_dementia_cost_mask</f>
        <v>0</v>
      </c>
      <c r="E993" s="101">
        <f t="shared" si="298"/>
        <v>0</v>
      </c>
      <c r="F993" s="101">
        <f t="shared" si="298"/>
        <v>0</v>
      </c>
      <c r="G993" s="101">
        <f t="shared" si="298"/>
        <v>0</v>
      </c>
      <c r="H993" s="101">
        <f t="shared" si="298"/>
        <v>0</v>
      </c>
      <c r="I993" s="101">
        <f t="shared" si="298"/>
        <v>0</v>
      </c>
      <c r="J993" s="101">
        <f t="shared" si="298"/>
        <v>0</v>
      </c>
      <c r="K993" s="101">
        <f t="shared" si="298"/>
        <v>0</v>
      </c>
      <c r="L993" s="101">
        <f t="shared" si="298"/>
        <v>0</v>
      </c>
      <c r="M993" s="101">
        <f t="shared" si="298"/>
        <v>0</v>
      </c>
      <c r="N993" s="101">
        <f t="shared" si="298"/>
        <v>0</v>
      </c>
      <c r="O993" s="101">
        <f t="shared" si="298"/>
        <v>0</v>
      </c>
      <c r="P993" s="101">
        <f t="shared" si="298"/>
        <v>0</v>
      </c>
      <c r="Q993" s="101">
        <f t="shared" si="298"/>
        <v>0</v>
      </c>
      <c r="R993" s="101">
        <f t="shared" si="298"/>
        <v>0</v>
      </c>
      <c r="S993" s="101">
        <f t="shared" si="298"/>
        <v>0</v>
      </c>
      <c r="T993" s="101">
        <f t="shared" si="298"/>
        <v>0</v>
      </c>
      <c r="U993" s="101">
        <f t="shared" si="298"/>
        <v>0</v>
      </c>
      <c r="V993" s="101">
        <f t="shared" si="298"/>
        <v>0</v>
      </c>
      <c r="W993" s="101">
        <f t="shared" si="298"/>
        <v>0</v>
      </c>
      <c r="X993" s="101">
        <f t="shared" si="298"/>
        <v>0</v>
      </c>
      <c r="Y993" s="101">
        <f t="shared" si="298"/>
        <v>0</v>
      </c>
      <c r="Z993" s="101">
        <f t="shared" si="298"/>
        <v>0</v>
      </c>
      <c r="AA993" s="101">
        <f t="shared" si="298"/>
        <v>0</v>
      </c>
      <c r="AB993" s="101">
        <f t="shared" si="298"/>
        <v>0</v>
      </c>
      <c r="AC993" s="101">
        <f t="shared" si="298"/>
        <v>0</v>
      </c>
      <c r="AD993" s="101">
        <f t="shared" si="298"/>
        <v>0</v>
      </c>
      <c r="AE993" s="101">
        <f t="shared" si="298"/>
        <v>0</v>
      </c>
      <c r="AF993" s="101">
        <f t="shared" si="298"/>
        <v>0</v>
      </c>
      <c r="AG993" s="101">
        <f t="shared" si="298"/>
        <v>0</v>
      </c>
      <c r="AH993" s="101">
        <f t="shared" si="298"/>
        <v>0</v>
      </c>
      <c r="AI993" s="101">
        <f t="shared" si="298"/>
        <v>0</v>
      </c>
      <c r="AJ993" s="101">
        <f t="shared" ref="AJ993:BO993" si="299">Opening_year_dementia_cost_mask+Forecast_year_dementia_cost_mask+Interpolation_dementia_cost_mask+Extrapolation_dementia_cost_mask</f>
        <v>0</v>
      </c>
      <c r="AK993" s="101">
        <f t="shared" si="299"/>
        <v>0</v>
      </c>
      <c r="AL993" s="101">
        <f t="shared" si="299"/>
        <v>0</v>
      </c>
      <c r="AM993" s="101">
        <f t="shared" si="299"/>
        <v>0</v>
      </c>
      <c r="AN993" s="101">
        <f t="shared" si="299"/>
        <v>0</v>
      </c>
      <c r="AO993" s="101">
        <f t="shared" si="299"/>
        <v>0</v>
      </c>
      <c r="AP993" s="101">
        <f t="shared" si="299"/>
        <v>0</v>
      </c>
      <c r="AQ993" s="101">
        <f t="shared" si="299"/>
        <v>0</v>
      </c>
      <c r="AR993" s="101">
        <f t="shared" si="299"/>
        <v>0</v>
      </c>
      <c r="AS993" s="101">
        <f t="shared" si="299"/>
        <v>0</v>
      </c>
      <c r="AT993" s="101">
        <f t="shared" si="299"/>
        <v>0</v>
      </c>
      <c r="AU993" s="101">
        <f t="shared" si="299"/>
        <v>0</v>
      </c>
      <c r="AV993" s="101">
        <f t="shared" si="299"/>
        <v>0</v>
      </c>
      <c r="AW993" s="101">
        <f t="shared" si="299"/>
        <v>0</v>
      </c>
      <c r="AX993" s="101">
        <f t="shared" si="299"/>
        <v>0</v>
      </c>
      <c r="AY993" s="101">
        <f t="shared" si="299"/>
        <v>0</v>
      </c>
      <c r="AZ993" s="101">
        <f t="shared" si="299"/>
        <v>0</v>
      </c>
      <c r="BA993" s="101">
        <f t="shared" si="299"/>
        <v>0</v>
      </c>
      <c r="BB993" s="101">
        <f t="shared" si="299"/>
        <v>0</v>
      </c>
      <c r="BC993" s="101">
        <f t="shared" si="299"/>
        <v>0</v>
      </c>
      <c r="BD993" s="101">
        <f t="shared" si="299"/>
        <v>0</v>
      </c>
      <c r="BE993" s="101">
        <f t="shared" si="299"/>
        <v>0</v>
      </c>
      <c r="BF993" s="101">
        <f t="shared" si="299"/>
        <v>0</v>
      </c>
      <c r="BG993" s="101">
        <f t="shared" si="299"/>
        <v>0</v>
      </c>
      <c r="BH993" s="101">
        <f t="shared" si="299"/>
        <v>0</v>
      </c>
      <c r="BI993" s="101">
        <f t="shared" si="299"/>
        <v>0</v>
      </c>
      <c r="BJ993" s="101">
        <f t="shared" si="299"/>
        <v>0</v>
      </c>
      <c r="BK993" s="101">
        <f t="shared" si="299"/>
        <v>0</v>
      </c>
      <c r="BL993" s="101">
        <f t="shared" si="299"/>
        <v>0</v>
      </c>
      <c r="BM993" s="101">
        <f t="shared" si="299"/>
        <v>0</v>
      </c>
      <c r="BN993" s="101">
        <f t="shared" si="299"/>
        <v>0</v>
      </c>
      <c r="BO993" s="101">
        <f t="shared" si="299"/>
        <v>0</v>
      </c>
      <c r="BP993" s="101">
        <f t="shared" ref="BP993:CP993" si="300">Opening_year_dementia_cost_mask+Forecast_year_dementia_cost_mask+Interpolation_dementia_cost_mask+Extrapolation_dementia_cost_mask</f>
        <v>0</v>
      </c>
      <c r="BQ993" s="101">
        <f t="shared" si="300"/>
        <v>0</v>
      </c>
      <c r="BR993" s="101">
        <f t="shared" si="300"/>
        <v>0</v>
      </c>
      <c r="BS993" s="101">
        <f t="shared" si="300"/>
        <v>0</v>
      </c>
      <c r="BT993" s="101">
        <f t="shared" si="300"/>
        <v>0</v>
      </c>
      <c r="BU993" s="101">
        <f t="shared" si="300"/>
        <v>0</v>
      </c>
      <c r="BV993" s="101">
        <f t="shared" si="300"/>
        <v>0</v>
      </c>
      <c r="BW993" s="101">
        <f t="shared" si="300"/>
        <v>0</v>
      </c>
      <c r="BX993" s="101">
        <f t="shared" si="300"/>
        <v>0</v>
      </c>
      <c r="BY993" s="101">
        <f t="shared" si="300"/>
        <v>0</v>
      </c>
      <c r="BZ993" s="101">
        <f t="shared" si="300"/>
        <v>0</v>
      </c>
      <c r="CA993" s="101">
        <f t="shared" si="300"/>
        <v>0</v>
      </c>
      <c r="CB993" s="101">
        <f t="shared" si="300"/>
        <v>0</v>
      </c>
      <c r="CC993" s="101">
        <f t="shared" si="300"/>
        <v>0</v>
      </c>
      <c r="CD993" s="101">
        <f t="shared" si="300"/>
        <v>0</v>
      </c>
      <c r="CE993" s="101">
        <f t="shared" si="300"/>
        <v>0</v>
      </c>
      <c r="CF993" s="101">
        <f t="shared" si="300"/>
        <v>0</v>
      </c>
      <c r="CG993" s="101">
        <f t="shared" si="300"/>
        <v>0</v>
      </c>
      <c r="CH993" s="101">
        <f t="shared" si="300"/>
        <v>0</v>
      </c>
      <c r="CI993" s="101">
        <f t="shared" si="300"/>
        <v>0</v>
      </c>
      <c r="CJ993" s="101">
        <f t="shared" si="300"/>
        <v>0</v>
      </c>
      <c r="CK993" s="101">
        <f t="shared" si="300"/>
        <v>0</v>
      </c>
      <c r="CL993" s="101">
        <f t="shared" si="300"/>
        <v>0</v>
      </c>
      <c r="CM993" s="101">
        <f t="shared" si="300"/>
        <v>0</v>
      </c>
      <c r="CN993" s="101">
        <f t="shared" si="300"/>
        <v>0</v>
      </c>
      <c r="CO993" s="101">
        <f t="shared" si="300"/>
        <v>0</v>
      </c>
      <c r="CP993" s="101">
        <f t="shared" si="300"/>
        <v>0</v>
      </c>
      <c r="CQ993" s="3" t="s">
        <v>304</v>
      </c>
    </row>
    <row r="994" spans="1:95" ht="14.5" x14ac:dyDescent="0.35">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5" x14ac:dyDescent="0.35">
      <c r="B995" s="5" t="s">
        <v>305</v>
      </c>
    </row>
    <row r="996" spans="1:95" ht="14.5" x14ac:dyDescent="0.3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5" x14ac:dyDescent="0.3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5" x14ac:dyDescent="0.35">
      <c r="A998" s="102"/>
      <c r="B998" s="102" t="s">
        <v>306</v>
      </c>
      <c r="C998" s="102"/>
      <c r="D998" s="120">
        <f t="shared" ref="D998:AI998" si="301">GDP_deflator_in</f>
        <v>72.125210139005858</v>
      </c>
      <c r="E998" s="120">
        <f t="shared" si="301"/>
        <v>73.710065801155281</v>
      </c>
      <c r="F998" s="120">
        <f t="shared" si="301"/>
        <v>74.846244183861117</v>
      </c>
      <c r="G998" s="120">
        <f t="shared" si="301"/>
        <v>76.423935131295991</v>
      </c>
      <c r="H998" s="120">
        <f t="shared" si="301"/>
        <v>77.431667831365459</v>
      </c>
      <c r="I998" s="120">
        <f t="shared" si="301"/>
        <v>77.943269996563018</v>
      </c>
      <c r="J998" s="120">
        <f t="shared" si="301"/>
        <v>79.471638632557088</v>
      </c>
      <c r="K998" s="120">
        <f t="shared" si="301"/>
        <v>80.947362190865917</v>
      </c>
      <c r="L998" s="120">
        <f t="shared" si="301"/>
        <v>82.502935975486295</v>
      </c>
      <c r="M998" s="120">
        <f t="shared" si="301"/>
        <v>84.261510010352509</v>
      </c>
      <c r="N998" s="120">
        <f t="shared" si="301"/>
        <v>88.639462210283355</v>
      </c>
      <c r="O998" s="120">
        <f t="shared" si="301"/>
        <v>88.514027784555992</v>
      </c>
      <c r="P998" s="120">
        <f t="shared" si="301"/>
        <v>93.323524250482578</v>
      </c>
      <c r="Q998" s="120">
        <f t="shared" si="301"/>
        <v>100</v>
      </c>
      <c r="R998" s="120">
        <f t="shared" si="301"/>
        <v>103.83644513853338</v>
      </c>
      <c r="S998" s="120">
        <f t="shared" si="301"/>
        <v>107.35218079199443</v>
      </c>
      <c r="T998" s="120">
        <f t="shared" si="301"/>
        <v>109.76846895421627</v>
      </c>
      <c r="U998" s="120">
        <f t="shared" si="301"/>
        <v>112.02379237117708</v>
      </c>
      <c r="V998" s="120">
        <f t="shared" si="301"/>
        <v>114.18299879546288</v>
      </c>
      <c r="W998" s="120">
        <f t="shared" si="301"/>
        <v>116.26899816682132</v>
      </c>
      <c r="X998" s="120">
        <f t="shared" si="301"/>
        <v>118.51378524529244</v>
      </c>
      <c r="Y998" s="120">
        <f t="shared" si="301"/>
        <v>121.07411999722073</v>
      </c>
      <c r="Z998" s="120">
        <f t="shared" si="301"/>
        <v>123.8588247571568</v>
      </c>
      <c r="AA998" s="120">
        <f t="shared" si="301"/>
        <v>126.7075777265714</v>
      </c>
      <c r="AB998" s="120">
        <f t="shared" si="301"/>
        <v>129.62185201428252</v>
      </c>
      <c r="AC998" s="120">
        <f t="shared" si="301"/>
        <v>132.603154610611</v>
      </c>
      <c r="AD998" s="120">
        <f t="shared" si="301"/>
        <v>135.65302716665505</v>
      </c>
      <c r="AE998" s="120">
        <f t="shared" si="301"/>
        <v>138.7730467914881</v>
      </c>
      <c r="AF998" s="120">
        <f t="shared" si="301"/>
        <v>141.96482686769235</v>
      </c>
      <c r="AG998" s="120">
        <f t="shared" si="301"/>
        <v>145.23001788564923</v>
      </c>
      <c r="AH998" s="120">
        <f t="shared" si="301"/>
        <v>148.57030829701912</v>
      </c>
      <c r="AI998" s="120">
        <f t="shared" si="301"/>
        <v>151.98742538785055</v>
      </c>
      <c r="AJ998" s="120">
        <f t="shared" ref="AJ998:BO998" si="302">GDP_deflator_in</f>
        <v>155.48313617177109</v>
      </c>
      <c r="AK998" s="120">
        <f t="shared" si="302"/>
        <v>159.05924830372183</v>
      </c>
      <c r="AL998" s="120">
        <f t="shared" si="302"/>
        <v>162.71761101470739</v>
      </c>
      <c r="AM998" s="120">
        <f t="shared" si="302"/>
        <v>166.46011606804564</v>
      </c>
      <c r="AN998" s="120">
        <f t="shared" si="302"/>
        <v>170.2886987376107</v>
      </c>
      <c r="AO998" s="120">
        <f t="shared" si="302"/>
        <v>174.20533880857573</v>
      </c>
      <c r="AP998" s="120">
        <f t="shared" si="302"/>
        <v>178.21206160117296</v>
      </c>
      <c r="AQ998" s="120">
        <f t="shared" si="302"/>
        <v>182.31093901799991</v>
      </c>
      <c r="AR998" s="120">
        <f t="shared" si="302"/>
        <v>186.50409061541387</v>
      </c>
      <c r="AS998" s="120">
        <f t="shared" si="302"/>
        <v>190.79368469956839</v>
      </c>
      <c r="AT998" s="120">
        <f t="shared" si="302"/>
        <v>195.18193944765844</v>
      </c>
      <c r="AU998" s="120">
        <f t="shared" si="302"/>
        <v>199.67112405495456</v>
      </c>
      <c r="AV998" s="120">
        <f t="shared" si="302"/>
        <v>204.2635599082185</v>
      </c>
      <c r="AW998" s="120">
        <f t="shared" si="302"/>
        <v>208.96162178610754</v>
      </c>
      <c r="AX998" s="120">
        <f t="shared" si="302"/>
        <v>213.76773908718798</v>
      </c>
      <c r="AY998" s="120">
        <f t="shared" si="302"/>
        <v>218.68439708619331</v>
      </c>
      <c r="AZ998" s="120">
        <f t="shared" si="302"/>
        <v>223.71413821917571</v>
      </c>
      <c r="BA998" s="120">
        <f t="shared" si="302"/>
        <v>228.85956339821672</v>
      </c>
      <c r="BB998" s="120">
        <f t="shared" si="302"/>
        <v>234.1233333563757</v>
      </c>
      <c r="BC998" s="120">
        <f t="shared" si="302"/>
        <v>239.50817002357229</v>
      </c>
      <c r="BD998" s="120">
        <f t="shared" si="302"/>
        <v>245.01685793411446</v>
      </c>
      <c r="BE998" s="120">
        <f t="shared" si="302"/>
        <v>250.65224566659907</v>
      </c>
      <c r="BF998" s="120">
        <f t="shared" si="302"/>
        <v>256.41724731693085</v>
      </c>
      <c r="BG998" s="120">
        <f t="shared" si="302"/>
        <v>262.31484400522021</v>
      </c>
      <c r="BH998" s="120">
        <f t="shared" si="302"/>
        <v>268.34808541734026</v>
      </c>
      <c r="BI998" s="120">
        <f t="shared" si="302"/>
        <v>274.52009138193904</v>
      </c>
      <c r="BJ998" s="120">
        <f t="shared" si="302"/>
        <v>280.83405348372361</v>
      </c>
      <c r="BK998" s="120">
        <f t="shared" si="302"/>
        <v>287.29323671384918</v>
      </c>
      <c r="BL998" s="120">
        <f t="shared" si="302"/>
        <v>293.90098115826771</v>
      </c>
      <c r="BM998" s="120">
        <f t="shared" si="302"/>
        <v>300.66070372490782</v>
      </c>
      <c r="BN998" s="120">
        <f t="shared" si="302"/>
        <v>307.57589991058069</v>
      </c>
      <c r="BO998" s="120">
        <f t="shared" si="302"/>
        <v>314.65014560852399</v>
      </c>
      <c r="BP998" s="120">
        <f t="shared" ref="BP998:CP998" si="303">GDP_deflator_in</f>
        <v>321.88709895752004</v>
      </c>
      <c r="BQ998" s="120">
        <f t="shared" si="303"/>
        <v>329.29050223354295</v>
      </c>
      <c r="BR998" s="120">
        <f t="shared" si="303"/>
        <v>336.86418378491442</v>
      </c>
      <c r="BS998" s="120">
        <f t="shared" si="303"/>
        <v>344.61206001196734</v>
      </c>
      <c r="BT998" s="120">
        <f t="shared" si="303"/>
        <v>352.53813739224262</v>
      </c>
      <c r="BU998" s="120">
        <f t="shared" si="303"/>
        <v>360.64651455226414</v>
      </c>
      <c r="BV998" s="120">
        <f t="shared" si="303"/>
        <v>368.94138438696615</v>
      </c>
      <c r="BW998" s="120">
        <f t="shared" si="303"/>
        <v>377.42703622786632</v>
      </c>
      <c r="BX998" s="120">
        <f t="shared" si="303"/>
        <v>386.10785806110727</v>
      </c>
      <c r="BY998" s="120">
        <f t="shared" si="303"/>
        <v>394.98833879651272</v>
      </c>
      <c r="BZ998" s="120">
        <f t="shared" si="303"/>
        <v>404.07307058883248</v>
      </c>
      <c r="CA998" s="120">
        <f t="shared" si="303"/>
        <v>413.36675121237556</v>
      </c>
      <c r="CB998" s="120">
        <f t="shared" si="303"/>
        <v>422.87418649026023</v>
      </c>
      <c r="CC998" s="120">
        <f t="shared" si="303"/>
        <v>432.60029277953612</v>
      </c>
      <c r="CD998" s="120">
        <f t="shared" si="303"/>
        <v>442.5500995134654</v>
      </c>
      <c r="CE998" s="120">
        <f t="shared" si="303"/>
        <v>452.72875180227504</v>
      </c>
      <c r="CF998" s="120">
        <f t="shared" si="303"/>
        <v>463.14151309372738</v>
      </c>
      <c r="CG998" s="120">
        <f t="shared" si="303"/>
        <v>473.7937678948831</v>
      </c>
      <c r="CH998" s="120">
        <f t="shared" si="303"/>
        <v>484.69102455646532</v>
      </c>
      <c r="CI998" s="120">
        <f t="shared" si="303"/>
        <v>495.83891812126399</v>
      </c>
      <c r="CJ998" s="120">
        <f t="shared" si="303"/>
        <v>507.24321323805299</v>
      </c>
      <c r="CK998" s="120">
        <f t="shared" si="303"/>
        <v>518.90980714252817</v>
      </c>
      <c r="CL998" s="120">
        <f t="shared" si="303"/>
        <v>530.84473270680621</v>
      </c>
      <c r="CM998" s="120">
        <f t="shared" si="303"/>
        <v>543.05416155906278</v>
      </c>
      <c r="CN998" s="120">
        <f t="shared" si="303"/>
        <v>555.54440727492101</v>
      </c>
      <c r="CO998" s="120">
        <f t="shared" si="303"/>
        <v>568.3219286422443</v>
      </c>
      <c r="CP998" s="120">
        <f t="shared" si="303"/>
        <v>581.39333300101578</v>
      </c>
      <c r="CQ998" s="3" t="s">
        <v>307</v>
      </c>
    </row>
    <row r="999" spans="1:95" ht="14.5" x14ac:dyDescent="0.35">
      <c r="A999" s="102"/>
      <c r="B999" s="102" t="s">
        <v>185</v>
      </c>
      <c r="C999" s="102"/>
      <c r="D999" s="120">
        <f t="shared" ref="D999:AI999" si="304">GDP_capita_in</f>
        <v>135.32541538721591</v>
      </c>
      <c r="E999" s="120">
        <f t="shared" si="304"/>
        <v>135.72920035087168</v>
      </c>
      <c r="F999" s="120">
        <f t="shared" si="304"/>
        <v>136.85675715976171</v>
      </c>
      <c r="G999" s="120">
        <f t="shared" si="304"/>
        <v>138.39060036894045</v>
      </c>
      <c r="H999" s="120">
        <f t="shared" si="304"/>
        <v>141.7490909252611</v>
      </c>
      <c r="I999" s="120">
        <f t="shared" si="304"/>
        <v>143.85681138377072</v>
      </c>
      <c r="J999" s="120">
        <f t="shared" si="304"/>
        <v>145.46144065339672</v>
      </c>
      <c r="K999" s="120">
        <f t="shared" si="304"/>
        <v>148.51319769973136</v>
      </c>
      <c r="L999" s="120">
        <f t="shared" si="304"/>
        <v>149.86650227928774</v>
      </c>
      <c r="M999" s="120">
        <f t="shared" si="304"/>
        <v>151.51977746837758</v>
      </c>
      <c r="N999" s="120">
        <f t="shared" si="304"/>
        <v>135.68698078846879</v>
      </c>
      <c r="O999" s="120">
        <f t="shared" si="304"/>
        <v>146.79689353630164</v>
      </c>
      <c r="P999" s="120">
        <f t="shared" si="304"/>
        <v>152.49065861785786</v>
      </c>
      <c r="Q999" s="120">
        <f t="shared" si="304"/>
        <v>151.58851308145597</v>
      </c>
      <c r="R999" s="120">
        <f t="shared" si="304"/>
        <v>151.5071076748473</v>
      </c>
      <c r="S999" s="120">
        <f t="shared" si="304"/>
        <v>153.03863007076464</v>
      </c>
      <c r="T999" s="120">
        <f t="shared" si="304"/>
        <v>154.54647838309143</v>
      </c>
      <c r="U999" s="120">
        <f t="shared" si="304"/>
        <v>156.34589247977652</v>
      </c>
      <c r="V999" s="120">
        <f t="shared" si="304"/>
        <v>157.99935866883249</v>
      </c>
      <c r="W999" s="120">
        <f t="shared" si="304"/>
        <v>159.70578174140101</v>
      </c>
      <c r="X999" s="120">
        <f t="shared" si="304"/>
        <v>161.46540021848608</v>
      </c>
      <c r="Y999" s="120">
        <f t="shared" si="304"/>
        <v>163.95728129882326</v>
      </c>
      <c r="Z999" s="120">
        <f t="shared" si="304"/>
        <v>166.55839339107308</v>
      </c>
      <c r="AA999" s="120">
        <f t="shared" si="304"/>
        <v>169.28233071955196</v>
      </c>
      <c r="AB999" s="120">
        <f t="shared" si="304"/>
        <v>172.10853766475108</v>
      </c>
      <c r="AC999" s="120">
        <f t="shared" si="304"/>
        <v>175.01020233659401</v>
      </c>
      <c r="AD999" s="120">
        <f t="shared" si="304"/>
        <v>178.00867044247028</v>
      </c>
      <c r="AE999" s="120">
        <f t="shared" si="304"/>
        <v>181.18786789535559</v>
      </c>
      <c r="AF999" s="120">
        <f t="shared" si="304"/>
        <v>184.3179905096535</v>
      </c>
      <c r="AG999" s="120">
        <f t="shared" si="304"/>
        <v>187.41021237427449</v>
      </c>
      <c r="AH999" s="120">
        <f t="shared" si="304"/>
        <v>190.43720910551002</v>
      </c>
      <c r="AI999" s="120">
        <f t="shared" si="304"/>
        <v>193.42894820650599</v>
      </c>
      <c r="AJ999" s="120">
        <f t="shared" ref="AJ999:BO999" si="305">GDP_capita_in</f>
        <v>196.385013703195</v>
      </c>
      <c r="AK999" s="120">
        <f t="shared" si="305"/>
        <v>199.33493519397788</v>
      </c>
      <c r="AL999" s="120">
        <f t="shared" si="305"/>
        <v>202.29684792106897</v>
      </c>
      <c r="AM999" s="120">
        <f t="shared" si="305"/>
        <v>205.25283384280362</v>
      </c>
      <c r="AN999" s="120">
        <f t="shared" si="305"/>
        <v>208.24056898035127</v>
      </c>
      <c r="AO999" s="120">
        <f t="shared" si="305"/>
        <v>211.25362282775808</v>
      </c>
      <c r="AP999" s="120">
        <f t="shared" si="305"/>
        <v>214.2985246353085</v>
      </c>
      <c r="AQ999" s="120">
        <f t="shared" si="305"/>
        <v>217.37343523897255</v>
      </c>
      <c r="AR999" s="120">
        <f t="shared" si="305"/>
        <v>220.4908588741545</v>
      </c>
      <c r="AS999" s="120">
        <f t="shared" si="305"/>
        <v>223.66618561340059</v>
      </c>
      <c r="AT999" s="120">
        <f t="shared" si="305"/>
        <v>226.89459878603935</v>
      </c>
      <c r="AU999" s="120">
        <f t="shared" si="305"/>
        <v>230.15923812437669</v>
      </c>
      <c r="AV999" s="120">
        <f t="shared" si="305"/>
        <v>233.46044554318789</v>
      </c>
      <c r="AW999" s="120">
        <f t="shared" si="305"/>
        <v>236.79369094201473</v>
      </c>
      <c r="AX999" s="120">
        <f t="shared" si="305"/>
        <v>240.14277669205759</v>
      </c>
      <c r="AY999" s="120">
        <f t="shared" si="305"/>
        <v>243.51148765492297</v>
      </c>
      <c r="AZ999" s="120">
        <f t="shared" si="305"/>
        <v>246.89878692324032</v>
      </c>
      <c r="BA999" s="120">
        <f t="shared" si="305"/>
        <v>250.32318344236074</v>
      </c>
      <c r="BB999" s="120">
        <f t="shared" si="305"/>
        <v>253.75626203580504</v>
      </c>
      <c r="BC999" s="120">
        <f t="shared" si="305"/>
        <v>257.26689545862678</v>
      </c>
      <c r="BD999" s="120">
        <f t="shared" si="305"/>
        <v>260.76953874569028</v>
      </c>
      <c r="BE999" s="120">
        <f t="shared" si="305"/>
        <v>264.27935276274167</v>
      </c>
      <c r="BF999" s="120">
        <f t="shared" si="305"/>
        <v>267.80445860093369</v>
      </c>
      <c r="BG999" s="120">
        <f t="shared" si="305"/>
        <v>271.38172519038551</v>
      </c>
      <c r="BH999" s="120">
        <f t="shared" si="305"/>
        <v>274.99949545244317</v>
      </c>
      <c r="BI999" s="120">
        <f t="shared" si="305"/>
        <v>278.65989610950714</v>
      </c>
      <c r="BJ999" s="120">
        <f t="shared" si="305"/>
        <v>282.42684908777915</v>
      </c>
      <c r="BK999" s="120">
        <f t="shared" si="305"/>
        <v>286.39659176901557</v>
      </c>
      <c r="BL999" s="120">
        <f t="shared" si="305"/>
        <v>290.52965236267926</v>
      </c>
      <c r="BM999" s="120">
        <f t="shared" si="305"/>
        <v>294.74372951684848</v>
      </c>
      <c r="BN999" s="120">
        <f t="shared" si="305"/>
        <v>299.01427853106128</v>
      </c>
      <c r="BO999" s="120">
        <f t="shared" si="305"/>
        <v>303.36186392728496</v>
      </c>
      <c r="BP999" s="120">
        <f t="shared" ref="BP999:CP999" si="306">GDP_capita_in</f>
        <v>307.0682903879873</v>
      </c>
      <c r="BQ999" s="120">
        <f t="shared" si="306"/>
        <v>310.73354209812715</v>
      </c>
      <c r="BR999" s="120">
        <f t="shared" si="306"/>
        <v>314.24901468553088</v>
      </c>
      <c r="BS999" s="120">
        <f t="shared" si="306"/>
        <v>317.84600352687073</v>
      </c>
      <c r="BT999" s="120">
        <f t="shared" si="306"/>
        <v>321.45675270693988</v>
      </c>
      <c r="BU999" s="120">
        <f t="shared" si="306"/>
        <v>325.05895294663202</v>
      </c>
      <c r="BV999" s="120">
        <f t="shared" si="306"/>
        <v>328.7240765249764</v>
      </c>
      <c r="BW999" s="120">
        <f t="shared" si="306"/>
        <v>332.58092530922613</v>
      </c>
      <c r="BX999" s="120">
        <f t="shared" si="306"/>
        <v>336.62625488691054</v>
      </c>
      <c r="BY999" s="120">
        <f t="shared" si="306"/>
        <v>340.76696400601492</v>
      </c>
      <c r="BZ999" s="120">
        <f t="shared" si="306"/>
        <v>344.93794604766299</v>
      </c>
      <c r="CA999" s="120">
        <f t="shared" si="306"/>
        <v>349.32961570984503</v>
      </c>
      <c r="CB999" s="120">
        <f t="shared" si="306"/>
        <v>353.9153927709246</v>
      </c>
      <c r="CC999" s="120">
        <f t="shared" si="306"/>
        <v>358.63971957709015</v>
      </c>
      <c r="CD999" s="120">
        <f t="shared" si="306"/>
        <v>363.54063210018955</v>
      </c>
      <c r="CE999" s="120">
        <f t="shared" si="306"/>
        <v>368.67631032538367</v>
      </c>
      <c r="CF999" s="120">
        <f t="shared" si="306"/>
        <v>373.85719960817835</v>
      </c>
      <c r="CG999" s="120">
        <f t="shared" si="306"/>
        <v>379.38639175100724</v>
      </c>
      <c r="CH999" s="120">
        <f t="shared" si="306"/>
        <v>385.01849789794193</v>
      </c>
      <c r="CI999" s="120">
        <f t="shared" si="306"/>
        <v>390.72375789961546</v>
      </c>
      <c r="CJ999" s="120">
        <f t="shared" si="306"/>
        <v>396.52664561714562</v>
      </c>
      <c r="CK999" s="120">
        <f t="shared" si="306"/>
        <v>402.43448335492462</v>
      </c>
      <c r="CL999" s="120">
        <f t="shared" si="306"/>
        <v>408.44209769551907</v>
      </c>
      <c r="CM999" s="120">
        <f t="shared" si="306"/>
        <v>414.53885691710786</v>
      </c>
      <c r="CN999" s="120">
        <f t="shared" si="306"/>
        <v>420.71998034555924</v>
      </c>
      <c r="CO999" s="120">
        <f t="shared" si="306"/>
        <v>426.98196476983327</v>
      </c>
      <c r="CP999" s="120">
        <f t="shared" si="306"/>
        <v>433.32285006737499</v>
      </c>
      <c r="CQ999" s="3" t="s">
        <v>308</v>
      </c>
    </row>
    <row r="1000" spans="1:95" ht="14.5" x14ac:dyDescent="0.35">
      <c r="A1000" s="102"/>
      <c r="B1000" s="102" t="s">
        <v>309</v>
      </c>
      <c r="C1000" s="102"/>
      <c r="D1000" s="101">
        <f t="shared" ref="D1000:AI1000" si="307">IF(D997&lt;=Current_year_in,1,0)</f>
        <v>1</v>
      </c>
      <c r="E1000" s="101">
        <f t="shared" si="307"/>
        <v>1</v>
      </c>
      <c r="F1000" s="101">
        <f t="shared" si="307"/>
        <v>1</v>
      </c>
      <c r="G1000" s="101">
        <f t="shared" si="307"/>
        <v>1</v>
      </c>
      <c r="H1000" s="101">
        <f t="shared" si="307"/>
        <v>1</v>
      </c>
      <c r="I1000" s="101">
        <f t="shared" si="307"/>
        <v>1</v>
      </c>
      <c r="J1000" s="101">
        <f t="shared" si="307"/>
        <v>1</v>
      </c>
      <c r="K1000" s="101">
        <f t="shared" si="307"/>
        <v>1</v>
      </c>
      <c r="L1000" s="101">
        <f t="shared" si="307"/>
        <v>1</v>
      </c>
      <c r="M1000" s="101">
        <f t="shared" si="307"/>
        <v>1</v>
      </c>
      <c r="N1000" s="101">
        <f t="shared" si="307"/>
        <v>1</v>
      </c>
      <c r="O1000" s="101">
        <f t="shared" si="307"/>
        <v>1</v>
      </c>
      <c r="P1000" s="101">
        <f t="shared" si="307"/>
        <v>1</v>
      </c>
      <c r="Q1000" s="101">
        <f t="shared" si="307"/>
        <v>1</v>
      </c>
      <c r="R1000" s="101">
        <f t="shared" si="307"/>
        <v>1</v>
      </c>
      <c r="S1000" s="101">
        <f t="shared" si="307"/>
        <v>1</v>
      </c>
      <c r="T1000" s="101">
        <f t="shared" si="307"/>
        <v>0</v>
      </c>
      <c r="U1000" s="101">
        <f t="shared" si="307"/>
        <v>0</v>
      </c>
      <c r="V1000" s="101">
        <f t="shared" si="307"/>
        <v>0</v>
      </c>
      <c r="W1000" s="101">
        <f t="shared" si="307"/>
        <v>0</v>
      </c>
      <c r="X1000" s="101">
        <f t="shared" si="307"/>
        <v>0</v>
      </c>
      <c r="Y1000" s="101">
        <f t="shared" si="307"/>
        <v>0</v>
      </c>
      <c r="Z1000" s="101">
        <f t="shared" si="307"/>
        <v>0</v>
      </c>
      <c r="AA1000" s="101">
        <f t="shared" si="307"/>
        <v>0</v>
      </c>
      <c r="AB1000" s="101">
        <f t="shared" si="307"/>
        <v>0</v>
      </c>
      <c r="AC1000" s="101">
        <f t="shared" si="307"/>
        <v>0</v>
      </c>
      <c r="AD1000" s="101">
        <f t="shared" si="307"/>
        <v>0</v>
      </c>
      <c r="AE1000" s="101">
        <f t="shared" si="307"/>
        <v>0</v>
      </c>
      <c r="AF1000" s="101">
        <f t="shared" si="307"/>
        <v>0</v>
      </c>
      <c r="AG1000" s="101">
        <f t="shared" si="307"/>
        <v>0</v>
      </c>
      <c r="AH1000" s="101">
        <f t="shared" si="307"/>
        <v>0</v>
      </c>
      <c r="AI1000" s="101">
        <f t="shared" si="307"/>
        <v>0</v>
      </c>
      <c r="AJ1000" s="101">
        <f t="shared" ref="AJ1000:BO1000" si="308">IF(AJ997&lt;=Current_year_in,1,0)</f>
        <v>0</v>
      </c>
      <c r="AK1000" s="101">
        <f t="shared" si="308"/>
        <v>0</v>
      </c>
      <c r="AL1000" s="101">
        <f t="shared" si="308"/>
        <v>0</v>
      </c>
      <c r="AM1000" s="101">
        <f t="shared" si="308"/>
        <v>0</v>
      </c>
      <c r="AN1000" s="101">
        <f t="shared" si="308"/>
        <v>0</v>
      </c>
      <c r="AO1000" s="101">
        <f t="shared" si="308"/>
        <v>0</v>
      </c>
      <c r="AP1000" s="101">
        <f t="shared" si="308"/>
        <v>0</v>
      </c>
      <c r="AQ1000" s="101">
        <f t="shared" si="308"/>
        <v>0</v>
      </c>
      <c r="AR1000" s="101">
        <f t="shared" si="308"/>
        <v>0</v>
      </c>
      <c r="AS1000" s="101">
        <f t="shared" si="308"/>
        <v>0</v>
      </c>
      <c r="AT1000" s="101">
        <f t="shared" si="308"/>
        <v>0</v>
      </c>
      <c r="AU1000" s="101">
        <f t="shared" si="308"/>
        <v>0</v>
      </c>
      <c r="AV1000" s="101">
        <f t="shared" si="308"/>
        <v>0</v>
      </c>
      <c r="AW1000" s="101">
        <f t="shared" si="308"/>
        <v>0</v>
      </c>
      <c r="AX1000" s="101">
        <f t="shared" si="308"/>
        <v>0</v>
      </c>
      <c r="AY1000" s="101">
        <f t="shared" si="308"/>
        <v>0</v>
      </c>
      <c r="AZ1000" s="101">
        <f t="shared" si="308"/>
        <v>0</v>
      </c>
      <c r="BA1000" s="101">
        <f t="shared" si="308"/>
        <v>0</v>
      </c>
      <c r="BB1000" s="101">
        <f t="shared" si="308"/>
        <v>0</v>
      </c>
      <c r="BC1000" s="101">
        <f t="shared" si="308"/>
        <v>0</v>
      </c>
      <c r="BD1000" s="101">
        <f t="shared" si="308"/>
        <v>0</v>
      </c>
      <c r="BE1000" s="101">
        <f t="shared" si="308"/>
        <v>0</v>
      </c>
      <c r="BF1000" s="101">
        <f t="shared" si="308"/>
        <v>0</v>
      </c>
      <c r="BG1000" s="101">
        <f t="shared" si="308"/>
        <v>0</v>
      </c>
      <c r="BH1000" s="101">
        <f t="shared" si="308"/>
        <v>0</v>
      </c>
      <c r="BI1000" s="101">
        <f t="shared" si="308"/>
        <v>0</v>
      </c>
      <c r="BJ1000" s="101">
        <f t="shared" si="308"/>
        <v>0</v>
      </c>
      <c r="BK1000" s="101">
        <f t="shared" si="308"/>
        <v>0</v>
      </c>
      <c r="BL1000" s="101">
        <f t="shared" si="308"/>
        <v>0</v>
      </c>
      <c r="BM1000" s="101">
        <f t="shared" si="308"/>
        <v>0</v>
      </c>
      <c r="BN1000" s="101">
        <f t="shared" si="308"/>
        <v>0</v>
      </c>
      <c r="BO1000" s="101">
        <f t="shared" si="308"/>
        <v>0</v>
      </c>
      <c r="BP1000" s="101">
        <f t="shared" ref="BP1000:CP1000" si="309">IF(BP997&lt;=Current_year_in,1,0)</f>
        <v>0</v>
      </c>
      <c r="BQ1000" s="101">
        <f t="shared" si="309"/>
        <v>0</v>
      </c>
      <c r="BR1000" s="101">
        <f t="shared" si="309"/>
        <v>0</v>
      </c>
      <c r="BS1000" s="101">
        <f t="shared" si="309"/>
        <v>0</v>
      </c>
      <c r="BT1000" s="101">
        <f t="shared" si="309"/>
        <v>0</v>
      </c>
      <c r="BU1000" s="101">
        <f t="shared" si="309"/>
        <v>0</v>
      </c>
      <c r="BV1000" s="101">
        <f t="shared" si="309"/>
        <v>0</v>
      </c>
      <c r="BW1000" s="101">
        <f t="shared" si="309"/>
        <v>0</v>
      </c>
      <c r="BX1000" s="101">
        <f t="shared" si="309"/>
        <v>0</v>
      </c>
      <c r="BY1000" s="101">
        <f t="shared" si="309"/>
        <v>0</v>
      </c>
      <c r="BZ1000" s="101">
        <f t="shared" si="309"/>
        <v>0</v>
      </c>
      <c r="CA1000" s="101">
        <f t="shared" si="309"/>
        <v>0</v>
      </c>
      <c r="CB1000" s="101">
        <f t="shared" si="309"/>
        <v>0</v>
      </c>
      <c r="CC1000" s="101">
        <f t="shared" si="309"/>
        <v>0</v>
      </c>
      <c r="CD1000" s="101">
        <f t="shared" si="309"/>
        <v>0</v>
      </c>
      <c r="CE1000" s="101">
        <f t="shared" si="309"/>
        <v>0</v>
      </c>
      <c r="CF1000" s="101">
        <f t="shared" si="309"/>
        <v>0</v>
      </c>
      <c r="CG1000" s="101">
        <f t="shared" si="309"/>
        <v>0</v>
      </c>
      <c r="CH1000" s="101">
        <f t="shared" si="309"/>
        <v>0</v>
      </c>
      <c r="CI1000" s="101">
        <f t="shared" si="309"/>
        <v>0</v>
      </c>
      <c r="CJ1000" s="101">
        <f t="shared" si="309"/>
        <v>0</v>
      </c>
      <c r="CK1000" s="101">
        <f t="shared" si="309"/>
        <v>0</v>
      </c>
      <c r="CL1000" s="101">
        <f t="shared" si="309"/>
        <v>0</v>
      </c>
      <c r="CM1000" s="101">
        <f t="shared" si="309"/>
        <v>0</v>
      </c>
      <c r="CN1000" s="101">
        <f t="shared" si="309"/>
        <v>0</v>
      </c>
      <c r="CO1000" s="101">
        <f t="shared" si="309"/>
        <v>0</v>
      </c>
      <c r="CP1000" s="101">
        <f t="shared" si="309"/>
        <v>0</v>
      </c>
      <c r="CQ1000" s="3"/>
    </row>
    <row r="1001" spans="1:95" ht="14.5" x14ac:dyDescent="0.35">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5" x14ac:dyDescent="0.35">
      <c r="A1002" s="102"/>
      <c r="B1002" s="115" t="s">
        <v>310</v>
      </c>
      <c r="C1002" s="102">
        <f>Price_base_values_in</f>
        <v>2023</v>
      </c>
      <c r="D1002" s="3" t="s">
        <v>311</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5" x14ac:dyDescent="0.35">
      <c r="A1003" s="102"/>
      <c r="B1003" s="102" t="s">
        <v>312</v>
      </c>
      <c r="C1003" s="120">
        <f>HLOOKUP(Noise_values_price_base,Uprating_table,2,0)</f>
        <v>100</v>
      </c>
      <c r="D1003" s="3" t="s">
        <v>313</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5" x14ac:dyDescent="0.35">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5">
      <c r="A1005" s="102"/>
      <c r="B1005" s="102" t="s">
        <v>314</v>
      </c>
      <c r="C1005" s="102">
        <f>Price_base_outputs_in</f>
        <v>2023</v>
      </c>
      <c r="D1005" s="3" t="s">
        <v>315</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5" x14ac:dyDescent="0.35">
      <c r="A1006" s="102"/>
      <c r="B1006" s="102" t="s">
        <v>316</v>
      </c>
      <c r="C1006" s="102">
        <f>HLOOKUP(Outputs_price_base,Uprating_table,2,0)</f>
        <v>100</v>
      </c>
      <c r="D1006" s="3" t="s">
        <v>317</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5" x14ac:dyDescent="0.3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5" x14ac:dyDescent="0.35">
      <c r="A1008" s="102"/>
      <c r="B1008" s="102" t="s">
        <v>318</v>
      </c>
      <c r="C1008" s="120">
        <f>GDP_deflator_outputs/GDP_deflator_base</f>
        <v>1</v>
      </c>
      <c r="D1008" s="19" t="s">
        <v>319</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5" x14ac:dyDescent="0.35">
      <c r="A1009" s="102"/>
      <c r="B1009" s="102" t="s">
        <v>320</v>
      </c>
      <c r="C1009" s="102">
        <f>Income_elasticity_in</f>
        <v>1.3</v>
      </c>
      <c r="D1009" s="3" t="s">
        <v>188</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5" x14ac:dyDescent="0.35">
      <c r="A1010" s="102"/>
      <c r="B1010" s="115" t="s">
        <v>321</v>
      </c>
      <c r="C1010" s="102">
        <f>Income_base_values_in</f>
        <v>2023</v>
      </c>
      <c r="D1010" s="3" t="s">
        <v>322</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5" x14ac:dyDescent="0.35">
      <c r="A1011" s="102"/>
      <c r="B1011" s="102" t="s">
        <v>323</v>
      </c>
      <c r="C1011" s="120">
        <f>HLOOKUP(Noise_values_income_base,Uprating_table,3,0)</f>
        <v>151.58851308145597</v>
      </c>
      <c r="D1011" s="3" t="s">
        <v>324</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5" x14ac:dyDescent="0.35">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5" x14ac:dyDescent="0.35">
      <c r="B1013" s="5" t="s">
        <v>325</v>
      </c>
    </row>
    <row r="1014" spans="1:95" ht="14.5" x14ac:dyDescent="0.3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5" x14ac:dyDescent="0.3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5" x14ac:dyDescent="0.35">
      <c r="A1016" s="102"/>
      <c r="B1016" s="102" t="s">
        <v>143</v>
      </c>
      <c r="C1016" s="102"/>
      <c r="D1016" s="101">
        <v>0</v>
      </c>
      <c r="E1016" s="101">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01">
        <f t="shared" si="310"/>
        <v>0</v>
      </c>
      <c r="G1016" s="101">
        <f t="shared" si="310"/>
        <v>0</v>
      </c>
      <c r="H1016" s="101">
        <f t="shared" si="310"/>
        <v>0</v>
      </c>
      <c r="I1016" s="101">
        <f t="shared" si="310"/>
        <v>0</v>
      </c>
      <c r="J1016" s="101">
        <f t="shared" si="310"/>
        <v>0</v>
      </c>
      <c r="K1016" s="101">
        <f t="shared" si="310"/>
        <v>0</v>
      </c>
      <c r="L1016" s="101">
        <f t="shared" si="310"/>
        <v>0</v>
      </c>
      <c r="M1016" s="101">
        <f t="shared" si="310"/>
        <v>0</v>
      </c>
      <c r="N1016" s="101">
        <f t="shared" si="310"/>
        <v>0</v>
      </c>
      <c r="O1016" s="101">
        <f t="shared" si="310"/>
        <v>0</v>
      </c>
      <c r="P1016" s="101">
        <f t="shared" si="310"/>
        <v>0</v>
      </c>
      <c r="Q1016" s="101">
        <f t="shared" si="310"/>
        <v>0</v>
      </c>
      <c r="R1016" s="101">
        <f t="shared" si="310"/>
        <v>0</v>
      </c>
      <c r="S1016" s="101">
        <f t="shared" si="310"/>
        <v>0</v>
      </c>
      <c r="T1016" s="101">
        <f t="shared" si="310"/>
        <v>0</v>
      </c>
      <c r="U1016" s="101">
        <f t="shared" si="310"/>
        <v>0</v>
      </c>
      <c r="V1016" s="101">
        <f t="shared" si="310"/>
        <v>0</v>
      </c>
      <c r="W1016" s="101">
        <f t="shared" si="310"/>
        <v>0</v>
      </c>
      <c r="X1016" s="101">
        <f t="shared" si="310"/>
        <v>0</v>
      </c>
      <c r="Y1016" s="101">
        <f t="shared" si="310"/>
        <v>0</v>
      </c>
      <c r="Z1016" s="101">
        <f t="shared" si="310"/>
        <v>0</v>
      </c>
      <c r="AA1016" s="101">
        <f t="shared" si="310"/>
        <v>0</v>
      </c>
      <c r="AB1016" s="101">
        <f t="shared" si="310"/>
        <v>0</v>
      </c>
      <c r="AC1016" s="101">
        <f t="shared" si="310"/>
        <v>0</v>
      </c>
      <c r="AD1016" s="101">
        <f t="shared" si="310"/>
        <v>0</v>
      </c>
      <c r="AE1016" s="101">
        <f t="shared" si="310"/>
        <v>0</v>
      </c>
      <c r="AF1016" s="101">
        <f t="shared" si="310"/>
        <v>0</v>
      </c>
      <c r="AG1016" s="101">
        <f t="shared" si="310"/>
        <v>0</v>
      </c>
      <c r="AH1016" s="101">
        <f t="shared" si="310"/>
        <v>0</v>
      </c>
      <c r="AI1016" s="101">
        <f t="shared" si="310"/>
        <v>0</v>
      </c>
      <c r="AJ1016" s="101">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311"/>
        <v>0</v>
      </c>
      <c r="AL1016" s="101">
        <f t="shared" si="311"/>
        <v>0</v>
      </c>
      <c r="AM1016" s="101">
        <f t="shared" si="311"/>
        <v>0</v>
      </c>
      <c r="AN1016" s="101">
        <f t="shared" si="311"/>
        <v>0</v>
      </c>
      <c r="AO1016" s="101">
        <f t="shared" si="311"/>
        <v>0</v>
      </c>
      <c r="AP1016" s="101">
        <f t="shared" si="311"/>
        <v>0</v>
      </c>
      <c r="AQ1016" s="101">
        <f t="shared" si="311"/>
        <v>0</v>
      </c>
      <c r="AR1016" s="101">
        <f t="shared" si="311"/>
        <v>0</v>
      </c>
      <c r="AS1016" s="101">
        <f t="shared" si="311"/>
        <v>0</v>
      </c>
      <c r="AT1016" s="101">
        <f t="shared" si="311"/>
        <v>0</v>
      </c>
      <c r="AU1016" s="101">
        <f t="shared" si="311"/>
        <v>0</v>
      </c>
      <c r="AV1016" s="101">
        <f t="shared" si="311"/>
        <v>0</v>
      </c>
      <c r="AW1016" s="101">
        <f t="shared" si="311"/>
        <v>0</v>
      </c>
      <c r="AX1016" s="101">
        <f t="shared" si="311"/>
        <v>0</v>
      </c>
      <c r="AY1016" s="101">
        <f t="shared" si="311"/>
        <v>0</v>
      </c>
      <c r="AZ1016" s="101">
        <f t="shared" si="311"/>
        <v>0</v>
      </c>
      <c r="BA1016" s="101">
        <f t="shared" si="311"/>
        <v>0</v>
      </c>
      <c r="BB1016" s="101">
        <f t="shared" si="311"/>
        <v>0</v>
      </c>
      <c r="BC1016" s="101">
        <f t="shared" si="311"/>
        <v>0</v>
      </c>
      <c r="BD1016" s="101">
        <f t="shared" si="311"/>
        <v>0</v>
      </c>
      <c r="BE1016" s="101">
        <f t="shared" si="311"/>
        <v>0</v>
      </c>
      <c r="BF1016" s="101">
        <f t="shared" si="311"/>
        <v>0</v>
      </c>
      <c r="BG1016" s="101">
        <f t="shared" si="311"/>
        <v>0</v>
      </c>
      <c r="BH1016" s="101">
        <f t="shared" si="311"/>
        <v>0</v>
      </c>
      <c r="BI1016" s="101">
        <f t="shared" si="311"/>
        <v>0</v>
      </c>
      <c r="BJ1016" s="101">
        <f t="shared" si="311"/>
        <v>0</v>
      </c>
      <c r="BK1016" s="101">
        <f t="shared" si="311"/>
        <v>0</v>
      </c>
      <c r="BL1016" s="101">
        <f t="shared" si="311"/>
        <v>0</v>
      </c>
      <c r="BM1016" s="101">
        <f t="shared" si="311"/>
        <v>0</v>
      </c>
      <c r="BN1016" s="101">
        <f t="shared" si="311"/>
        <v>0</v>
      </c>
      <c r="BO1016" s="101">
        <f t="shared" si="311"/>
        <v>0</v>
      </c>
      <c r="BP1016" s="101">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312"/>
        <v>0</v>
      </c>
      <c r="BR1016" s="101">
        <f t="shared" si="312"/>
        <v>0</v>
      </c>
      <c r="BS1016" s="101">
        <f t="shared" si="312"/>
        <v>0</v>
      </c>
      <c r="BT1016" s="101">
        <f t="shared" si="312"/>
        <v>0</v>
      </c>
      <c r="BU1016" s="101">
        <f t="shared" si="312"/>
        <v>0</v>
      </c>
      <c r="BV1016" s="101">
        <f t="shared" si="312"/>
        <v>0</v>
      </c>
      <c r="BW1016" s="101">
        <f t="shared" si="312"/>
        <v>0</v>
      </c>
      <c r="BX1016" s="101">
        <f t="shared" si="312"/>
        <v>0</v>
      </c>
      <c r="BY1016" s="101">
        <f t="shared" si="312"/>
        <v>0</v>
      </c>
      <c r="BZ1016" s="101">
        <f t="shared" si="312"/>
        <v>0</v>
      </c>
      <c r="CA1016" s="101">
        <f t="shared" si="312"/>
        <v>0</v>
      </c>
      <c r="CB1016" s="101">
        <f t="shared" si="312"/>
        <v>0</v>
      </c>
      <c r="CC1016" s="101">
        <f t="shared" si="312"/>
        <v>0</v>
      </c>
      <c r="CD1016" s="101">
        <f t="shared" si="312"/>
        <v>0</v>
      </c>
      <c r="CE1016" s="101">
        <f t="shared" si="312"/>
        <v>0</v>
      </c>
      <c r="CF1016" s="101">
        <f t="shared" si="312"/>
        <v>0</v>
      </c>
      <c r="CG1016" s="101">
        <f t="shared" si="312"/>
        <v>0</v>
      </c>
      <c r="CH1016" s="101">
        <f t="shared" si="312"/>
        <v>0</v>
      </c>
      <c r="CI1016" s="101">
        <f t="shared" si="312"/>
        <v>0</v>
      </c>
      <c r="CJ1016" s="101">
        <f t="shared" si="312"/>
        <v>0</v>
      </c>
      <c r="CK1016" s="101">
        <f t="shared" si="312"/>
        <v>0</v>
      </c>
      <c r="CL1016" s="101">
        <f t="shared" si="312"/>
        <v>0</v>
      </c>
      <c r="CM1016" s="101">
        <f t="shared" si="312"/>
        <v>0</v>
      </c>
      <c r="CN1016" s="101">
        <f t="shared" si="312"/>
        <v>0</v>
      </c>
      <c r="CO1016" s="101">
        <f t="shared" si="312"/>
        <v>0</v>
      </c>
      <c r="CP1016" s="101">
        <f t="shared" si="312"/>
        <v>0</v>
      </c>
      <c r="CQ1016" s="3" t="s">
        <v>326</v>
      </c>
    </row>
    <row r="1017" spans="1:95" ht="14.5" x14ac:dyDescent="0.35">
      <c r="A1017" s="102"/>
      <c r="B1017" s="102" t="s">
        <v>145</v>
      </c>
      <c r="C1017" s="102"/>
      <c r="D1017" s="101">
        <f t="shared" ref="D1017:AI1017" si="313">IF(D$946=1,IF(D$1000=1,Total_annual_amenity_cost*Price_adjustment*((GDP_capita/GDP_capita_base)^Income_elasticity_in),Total_annual_amenity_cost*Price_adjustment*((INDEX(GDP_capita,1,MATCH(Current_year_in,$D$997:$CP$997,0))/GDP_capita_base)^Income_elasticity_in)),0)</f>
        <v>0</v>
      </c>
      <c r="E1017" s="101">
        <f t="shared" si="313"/>
        <v>0</v>
      </c>
      <c r="F1017" s="101">
        <f t="shared" si="313"/>
        <v>0</v>
      </c>
      <c r="G1017" s="101">
        <f t="shared" si="313"/>
        <v>0</v>
      </c>
      <c r="H1017" s="101">
        <f t="shared" si="313"/>
        <v>0</v>
      </c>
      <c r="I1017" s="101">
        <f t="shared" si="313"/>
        <v>0</v>
      </c>
      <c r="J1017" s="101">
        <f t="shared" si="313"/>
        <v>0</v>
      </c>
      <c r="K1017" s="101">
        <f t="shared" si="313"/>
        <v>0</v>
      </c>
      <c r="L1017" s="101">
        <f t="shared" si="313"/>
        <v>0</v>
      </c>
      <c r="M1017" s="101">
        <f t="shared" si="313"/>
        <v>0</v>
      </c>
      <c r="N1017" s="101">
        <f t="shared" si="313"/>
        <v>0</v>
      </c>
      <c r="O1017" s="101">
        <f t="shared" si="313"/>
        <v>0</v>
      </c>
      <c r="P1017" s="101">
        <f t="shared" si="313"/>
        <v>0</v>
      </c>
      <c r="Q1017" s="101">
        <f t="shared" si="313"/>
        <v>0</v>
      </c>
      <c r="R1017" s="101">
        <f t="shared" si="313"/>
        <v>0</v>
      </c>
      <c r="S1017" s="101">
        <f t="shared" si="313"/>
        <v>0</v>
      </c>
      <c r="T1017" s="101">
        <f t="shared" si="313"/>
        <v>0</v>
      </c>
      <c r="U1017" s="101">
        <f t="shared" si="313"/>
        <v>0</v>
      </c>
      <c r="V1017" s="101">
        <f t="shared" si="313"/>
        <v>0</v>
      </c>
      <c r="W1017" s="101">
        <f t="shared" si="313"/>
        <v>0</v>
      </c>
      <c r="X1017" s="101">
        <f t="shared" si="313"/>
        <v>0</v>
      </c>
      <c r="Y1017" s="101">
        <f t="shared" si="313"/>
        <v>0</v>
      </c>
      <c r="Z1017" s="101">
        <f t="shared" si="313"/>
        <v>0</v>
      </c>
      <c r="AA1017" s="101">
        <f t="shared" si="313"/>
        <v>0</v>
      </c>
      <c r="AB1017" s="101">
        <f t="shared" si="313"/>
        <v>0</v>
      </c>
      <c r="AC1017" s="101">
        <f t="shared" si="313"/>
        <v>0</v>
      </c>
      <c r="AD1017" s="101">
        <f t="shared" si="313"/>
        <v>0</v>
      </c>
      <c r="AE1017" s="101">
        <f t="shared" si="313"/>
        <v>0</v>
      </c>
      <c r="AF1017" s="101">
        <f t="shared" si="313"/>
        <v>0</v>
      </c>
      <c r="AG1017" s="101">
        <f t="shared" si="313"/>
        <v>0</v>
      </c>
      <c r="AH1017" s="101">
        <f t="shared" si="313"/>
        <v>0</v>
      </c>
      <c r="AI1017" s="101">
        <f t="shared" si="313"/>
        <v>0</v>
      </c>
      <c r="AJ1017" s="101">
        <f t="shared" ref="AJ1017:BO1017" si="314">IF(AJ$946=1,IF(AJ$1000=1,Total_annual_amenity_cost*Price_adjustment*((GDP_capita/GDP_capita_base)^Income_elasticity_in),Total_annual_amenity_cost*Price_adjustment*((INDEX(GDP_capita,1,MATCH(Current_year_in,$D$997:$CP$997,0))/GDP_capita_base)^Income_elasticity_in)),0)</f>
        <v>0</v>
      </c>
      <c r="AK1017" s="101">
        <f t="shared" si="314"/>
        <v>0</v>
      </c>
      <c r="AL1017" s="101">
        <f t="shared" si="314"/>
        <v>0</v>
      </c>
      <c r="AM1017" s="101">
        <f t="shared" si="314"/>
        <v>0</v>
      </c>
      <c r="AN1017" s="101">
        <f t="shared" si="314"/>
        <v>0</v>
      </c>
      <c r="AO1017" s="101">
        <f t="shared" si="314"/>
        <v>0</v>
      </c>
      <c r="AP1017" s="101">
        <f t="shared" si="314"/>
        <v>0</v>
      </c>
      <c r="AQ1017" s="101">
        <f t="shared" si="314"/>
        <v>0</v>
      </c>
      <c r="AR1017" s="101">
        <f t="shared" si="314"/>
        <v>0</v>
      </c>
      <c r="AS1017" s="101">
        <f t="shared" si="314"/>
        <v>0</v>
      </c>
      <c r="AT1017" s="101">
        <f t="shared" si="314"/>
        <v>0</v>
      </c>
      <c r="AU1017" s="101">
        <f t="shared" si="314"/>
        <v>0</v>
      </c>
      <c r="AV1017" s="101">
        <f t="shared" si="314"/>
        <v>0</v>
      </c>
      <c r="AW1017" s="101">
        <f t="shared" si="314"/>
        <v>0</v>
      </c>
      <c r="AX1017" s="101">
        <f t="shared" si="314"/>
        <v>0</v>
      </c>
      <c r="AY1017" s="101">
        <f t="shared" si="314"/>
        <v>0</v>
      </c>
      <c r="AZ1017" s="101">
        <f t="shared" si="314"/>
        <v>0</v>
      </c>
      <c r="BA1017" s="101">
        <f t="shared" si="314"/>
        <v>0</v>
      </c>
      <c r="BB1017" s="101">
        <f t="shared" si="314"/>
        <v>0</v>
      </c>
      <c r="BC1017" s="101">
        <f t="shared" si="314"/>
        <v>0</v>
      </c>
      <c r="BD1017" s="101">
        <f t="shared" si="314"/>
        <v>0</v>
      </c>
      <c r="BE1017" s="101">
        <f t="shared" si="314"/>
        <v>0</v>
      </c>
      <c r="BF1017" s="101">
        <f t="shared" si="314"/>
        <v>0</v>
      </c>
      <c r="BG1017" s="101">
        <f t="shared" si="314"/>
        <v>0</v>
      </c>
      <c r="BH1017" s="101">
        <f t="shared" si="314"/>
        <v>0</v>
      </c>
      <c r="BI1017" s="101">
        <f t="shared" si="314"/>
        <v>0</v>
      </c>
      <c r="BJ1017" s="101">
        <f t="shared" si="314"/>
        <v>0</v>
      </c>
      <c r="BK1017" s="101">
        <f t="shared" si="314"/>
        <v>0</v>
      </c>
      <c r="BL1017" s="101">
        <f t="shared" si="314"/>
        <v>0</v>
      </c>
      <c r="BM1017" s="101">
        <f t="shared" si="314"/>
        <v>0</v>
      </c>
      <c r="BN1017" s="101">
        <f t="shared" si="314"/>
        <v>0</v>
      </c>
      <c r="BO1017" s="101">
        <f t="shared" si="314"/>
        <v>0</v>
      </c>
      <c r="BP1017" s="101">
        <f t="shared" ref="BP1017:CP1017" si="315">IF(BP$946=1,IF(BP$1000=1,Total_annual_amenity_cost*Price_adjustment*((GDP_capita/GDP_capita_base)^Income_elasticity_in),Total_annual_amenity_cost*Price_adjustment*((INDEX(GDP_capita,1,MATCH(Current_year_in,$D$997:$CP$997,0))/GDP_capita_base)^Income_elasticity_in)),0)</f>
        <v>0</v>
      </c>
      <c r="BQ1017" s="101">
        <f t="shared" si="315"/>
        <v>0</v>
      </c>
      <c r="BR1017" s="101">
        <f t="shared" si="315"/>
        <v>0</v>
      </c>
      <c r="BS1017" s="101">
        <f t="shared" si="315"/>
        <v>0</v>
      </c>
      <c r="BT1017" s="101">
        <f t="shared" si="315"/>
        <v>0</v>
      </c>
      <c r="BU1017" s="101">
        <f t="shared" si="315"/>
        <v>0</v>
      </c>
      <c r="BV1017" s="101">
        <f t="shared" si="315"/>
        <v>0</v>
      </c>
      <c r="BW1017" s="101">
        <f t="shared" si="315"/>
        <v>0</v>
      </c>
      <c r="BX1017" s="101">
        <f t="shared" si="315"/>
        <v>0</v>
      </c>
      <c r="BY1017" s="101">
        <f t="shared" si="315"/>
        <v>0</v>
      </c>
      <c r="BZ1017" s="101">
        <f t="shared" si="315"/>
        <v>0</v>
      </c>
      <c r="CA1017" s="101">
        <f t="shared" si="315"/>
        <v>0</v>
      </c>
      <c r="CB1017" s="101">
        <f t="shared" si="315"/>
        <v>0</v>
      </c>
      <c r="CC1017" s="101">
        <f t="shared" si="315"/>
        <v>0</v>
      </c>
      <c r="CD1017" s="101">
        <f t="shared" si="315"/>
        <v>0</v>
      </c>
      <c r="CE1017" s="101">
        <f t="shared" si="315"/>
        <v>0</v>
      </c>
      <c r="CF1017" s="101">
        <f t="shared" si="315"/>
        <v>0</v>
      </c>
      <c r="CG1017" s="101">
        <f t="shared" si="315"/>
        <v>0</v>
      </c>
      <c r="CH1017" s="101">
        <f t="shared" si="315"/>
        <v>0</v>
      </c>
      <c r="CI1017" s="101">
        <f t="shared" si="315"/>
        <v>0</v>
      </c>
      <c r="CJ1017" s="101">
        <f t="shared" si="315"/>
        <v>0</v>
      </c>
      <c r="CK1017" s="101">
        <f t="shared" si="315"/>
        <v>0</v>
      </c>
      <c r="CL1017" s="101">
        <f t="shared" si="315"/>
        <v>0</v>
      </c>
      <c r="CM1017" s="101">
        <f t="shared" si="315"/>
        <v>0</v>
      </c>
      <c r="CN1017" s="101">
        <f t="shared" si="315"/>
        <v>0</v>
      </c>
      <c r="CO1017" s="101">
        <f t="shared" si="315"/>
        <v>0</v>
      </c>
      <c r="CP1017" s="101">
        <f t="shared" si="315"/>
        <v>0</v>
      </c>
      <c r="CQ1017" s="3" t="s">
        <v>327</v>
      </c>
    </row>
    <row r="1018" spans="1:95" ht="14.5" x14ac:dyDescent="0.35">
      <c r="A1018" s="102"/>
      <c r="B1018" s="102" t="s">
        <v>147</v>
      </c>
      <c r="C1018" s="102"/>
      <c r="D1018" s="101">
        <f t="shared" ref="D1018:AI1018" si="316">IF(D$946=1,IF(D$1000=1,Total_annual_AMI_cost*Price_adjustment*((GDP_capita/GDP_capita_base)^Income_elasticity_in),Total_annual_AMI_cost*Price_adjustment*((INDEX(GDP_capita,1,MATCH(Current_year_in,$D$997:$CP$997,0))/GDP_capita_base)^Income_elasticity_in)),0)</f>
        <v>0</v>
      </c>
      <c r="E1018" s="101">
        <f t="shared" si="316"/>
        <v>0</v>
      </c>
      <c r="F1018" s="101">
        <f t="shared" si="316"/>
        <v>0</v>
      </c>
      <c r="G1018" s="101">
        <f t="shared" si="316"/>
        <v>0</v>
      </c>
      <c r="H1018" s="101">
        <f t="shared" si="316"/>
        <v>0</v>
      </c>
      <c r="I1018" s="101">
        <f t="shared" si="316"/>
        <v>0</v>
      </c>
      <c r="J1018" s="101">
        <f t="shared" si="316"/>
        <v>0</v>
      </c>
      <c r="K1018" s="101">
        <f t="shared" si="316"/>
        <v>0</v>
      </c>
      <c r="L1018" s="101">
        <f t="shared" si="316"/>
        <v>0</v>
      </c>
      <c r="M1018" s="101">
        <f t="shared" si="316"/>
        <v>0</v>
      </c>
      <c r="N1018" s="101">
        <f t="shared" si="316"/>
        <v>0</v>
      </c>
      <c r="O1018" s="101">
        <f t="shared" si="316"/>
        <v>0</v>
      </c>
      <c r="P1018" s="101">
        <f t="shared" si="316"/>
        <v>0</v>
      </c>
      <c r="Q1018" s="101">
        <f t="shared" si="316"/>
        <v>0</v>
      </c>
      <c r="R1018" s="101">
        <f t="shared" si="316"/>
        <v>0</v>
      </c>
      <c r="S1018" s="101">
        <f t="shared" si="316"/>
        <v>0</v>
      </c>
      <c r="T1018" s="101">
        <f t="shared" si="316"/>
        <v>0</v>
      </c>
      <c r="U1018" s="101">
        <f t="shared" si="316"/>
        <v>0</v>
      </c>
      <c r="V1018" s="101">
        <f t="shared" si="316"/>
        <v>0</v>
      </c>
      <c r="W1018" s="101">
        <f t="shared" si="316"/>
        <v>0</v>
      </c>
      <c r="X1018" s="101">
        <f t="shared" si="316"/>
        <v>0</v>
      </c>
      <c r="Y1018" s="101">
        <f t="shared" si="316"/>
        <v>0</v>
      </c>
      <c r="Z1018" s="101">
        <f t="shared" si="316"/>
        <v>0</v>
      </c>
      <c r="AA1018" s="101">
        <f t="shared" si="316"/>
        <v>0</v>
      </c>
      <c r="AB1018" s="101">
        <f t="shared" si="316"/>
        <v>0</v>
      </c>
      <c r="AC1018" s="101">
        <f t="shared" si="316"/>
        <v>0</v>
      </c>
      <c r="AD1018" s="101">
        <f t="shared" si="316"/>
        <v>0</v>
      </c>
      <c r="AE1018" s="101">
        <f t="shared" si="316"/>
        <v>0</v>
      </c>
      <c r="AF1018" s="101">
        <f t="shared" si="316"/>
        <v>0</v>
      </c>
      <c r="AG1018" s="101">
        <f t="shared" si="316"/>
        <v>0</v>
      </c>
      <c r="AH1018" s="101">
        <f t="shared" si="316"/>
        <v>0</v>
      </c>
      <c r="AI1018" s="101">
        <f t="shared" si="316"/>
        <v>0</v>
      </c>
      <c r="AJ1018" s="101">
        <f t="shared" ref="AJ1018:BO1018" si="317">IF(AJ$946=1,IF(AJ$1000=1,Total_annual_AMI_cost*Price_adjustment*((GDP_capita/GDP_capita_base)^Income_elasticity_in),Total_annual_AMI_cost*Price_adjustment*((INDEX(GDP_capita,1,MATCH(Current_year_in,$D$997:$CP$997,0))/GDP_capita_base)^Income_elasticity_in)),0)</f>
        <v>0</v>
      </c>
      <c r="AK1018" s="101">
        <f t="shared" si="317"/>
        <v>0</v>
      </c>
      <c r="AL1018" s="101">
        <f t="shared" si="317"/>
        <v>0</v>
      </c>
      <c r="AM1018" s="101">
        <f t="shared" si="317"/>
        <v>0</v>
      </c>
      <c r="AN1018" s="101">
        <f t="shared" si="317"/>
        <v>0</v>
      </c>
      <c r="AO1018" s="101">
        <f t="shared" si="317"/>
        <v>0</v>
      </c>
      <c r="AP1018" s="101">
        <f t="shared" si="317"/>
        <v>0</v>
      </c>
      <c r="AQ1018" s="101">
        <f t="shared" si="317"/>
        <v>0</v>
      </c>
      <c r="AR1018" s="101">
        <f t="shared" si="317"/>
        <v>0</v>
      </c>
      <c r="AS1018" s="101">
        <f t="shared" si="317"/>
        <v>0</v>
      </c>
      <c r="AT1018" s="101">
        <f t="shared" si="317"/>
        <v>0</v>
      </c>
      <c r="AU1018" s="101">
        <f t="shared" si="317"/>
        <v>0</v>
      </c>
      <c r="AV1018" s="101">
        <f t="shared" si="317"/>
        <v>0</v>
      </c>
      <c r="AW1018" s="101">
        <f t="shared" si="317"/>
        <v>0</v>
      </c>
      <c r="AX1018" s="101">
        <f t="shared" si="317"/>
        <v>0</v>
      </c>
      <c r="AY1018" s="101">
        <f t="shared" si="317"/>
        <v>0</v>
      </c>
      <c r="AZ1018" s="101">
        <f t="shared" si="317"/>
        <v>0</v>
      </c>
      <c r="BA1018" s="101">
        <f t="shared" si="317"/>
        <v>0</v>
      </c>
      <c r="BB1018" s="101">
        <f t="shared" si="317"/>
        <v>0</v>
      </c>
      <c r="BC1018" s="101">
        <f t="shared" si="317"/>
        <v>0</v>
      </c>
      <c r="BD1018" s="101">
        <f t="shared" si="317"/>
        <v>0</v>
      </c>
      <c r="BE1018" s="101">
        <f t="shared" si="317"/>
        <v>0</v>
      </c>
      <c r="BF1018" s="101">
        <f t="shared" si="317"/>
        <v>0</v>
      </c>
      <c r="BG1018" s="101">
        <f t="shared" si="317"/>
        <v>0</v>
      </c>
      <c r="BH1018" s="101">
        <f t="shared" si="317"/>
        <v>0</v>
      </c>
      <c r="BI1018" s="101">
        <f t="shared" si="317"/>
        <v>0</v>
      </c>
      <c r="BJ1018" s="101">
        <f t="shared" si="317"/>
        <v>0</v>
      </c>
      <c r="BK1018" s="101">
        <f t="shared" si="317"/>
        <v>0</v>
      </c>
      <c r="BL1018" s="101">
        <f t="shared" si="317"/>
        <v>0</v>
      </c>
      <c r="BM1018" s="101">
        <f t="shared" si="317"/>
        <v>0</v>
      </c>
      <c r="BN1018" s="101">
        <f t="shared" si="317"/>
        <v>0</v>
      </c>
      <c r="BO1018" s="101">
        <f t="shared" si="317"/>
        <v>0</v>
      </c>
      <c r="BP1018" s="101">
        <f t="shared" ref="BP1018:CP1018" si="318">IF(BP$946=1,IF(BP$1000=1,Total_annual_AMI_cost*Price_adjustment*((GDP_capita/GDP_capita_base)^Income_elasticity_in),Total_annual_AMI_cost*Price_adjustment*((INDEX(GDP_capita,1,MATCH(Current_year_in,$D$997:$CP$997,0))/GDP_capita_base)^Income_elasticity_in)),0)</f>
        <v>0</v>
      </c>
      <c r="BQ1018" s="101">
        <f t="shared" si="318"/>
        <v>0</v>
      </c>
      <c r="BR1018" s="101">
        <f t="shared" si="318"/>
        <v>0</v>
      </c>
      <c r="BS1018" s="101">
        <f t="shared" si="318"/>
        <v>0</v>
      </c>
      <c r="BT1018" s="101">
        <f t="shared" si="318"/>
        <v>0</v>
      </c>
      <c r="BU1018" s="101">
        <f t="shared" si="318"/>
        <v>0</v>
      </c>
      <c r="BV1018" s="101">
        <f t="shared" si="318"/>
        <v>0</v>
      </c>
      <c r="BW1018" s="101">
        <f t="shared" si="318"/>
        <v>0</v>
      </c>
      <c r="BX1018" s="101">
        <f t="shared" si="318"/>
        <v>0</v>
      </c>
      <c r="BY1018" s="101">
        <f t="shared" si="318"/>
        <v>0</v>
      </c>
      <c r="BZ1018" s="101">
        <f t="shared" si="318"/>
        <v>0</v>
      </c>
      <c r="CA1018" s="101">
        <f t="shared" si="318"/>
        <v>0</v>
      </c>
      <c r="CB1018" s="101">
        <f t="shared" si="318"/>
        <v>0</v>
      </c>
      <c r="CC1018" s="101">
        <f t="shared" si="318"/>
        <v>0</v>
      </c>
      <c r="CD1018" s="101">
        <f t="shared" si="318"/>
        <v>0</v>
      </c>
      <c r="CE1018" s="101">
        <f t="shared" si="318"/>
        <v>0</v>
      </c>
      <c r="CF1018" s="101">
        <f t="shared" si="318"/>
        <v>0</v>
      </c>
      <c r="CG1018" s="101">
        <f t="shared" si="318"/>
        <v>0</v>
      </c>
      <c r="CH1018" s="101">
        <f t="shared" si="318"/>
        <v>0</v>
      </c>
      <c r="CI1018" s="101">
        <f t="shared" si="318"/>
        <v>0</v>
      </c>
      <c r="CJ1018" s="101">
        <f t="shared" si="318"/>
        <v>0</v>
      </c>
      <c r="CK1018" s="101">
        <f t="shared" si="318"/>
        <v>0</v>
      </c>
      <c r="CL1018" s="101">
        <f t="shared" si="318"/>
        <v>0</v>
      </c>
      <c r="CM1018" s="101">
        <f t="shared" si="318"/>
        <v>0</v>
      </c>
      <c r="CN1018" s="101">
        <f t="shared" si="318"/>
        <v>0</v>
      </c>
      <c r="CO1018" s="101">
        <f t="shared" si="318"/>
        <v>0</v>
      </c>
      <c r="CP1018" s="101">
        <f t="shared" si="318"/>
        <v>0</v>
      </c>
      <c r="CQ1018" s="3" t="s">
        <v>328</v>
      </c>
    </row>
    <row r="1019" spans="1:95" ht="14.5" x14ac:dyDescent="0.35">
      <c r="A1019" s="102"/>
      <c r="B1019" s="102" t="s">
        <v>149</v>
      </c>
      <c r="C1019" s="102"/>
      <c r="D1019" s="101">
        <f t="shared" ref="D1019:AI1019" si="319">IF(D$946=1,IF(D$1000=1,Total_annual_stroke_cost*Price_adjustment*((GDP_capita/GDP_capita_base)^Income_elasticity_in),Total_annual_stroke_cost*Price_adjustment*((INDEX(GDP_capita,1,MATCH(Current_year_in,$D$997:$CP$997,0))/GDP_capita_base)^Income_elasticity_in)),0)</f>
        <v>0</v>
      </c>
      <c r="E1019" s="101">
        <f t="shared" si="319"/>
        <v>0</v>
      </c>
      <c r="F1019" s="101">
        <f t="shared" si="319"/>
        <v>0</v>
      </c>
      <c r="G1019" s="101">
        <f t="shared" si="319"/>
        <v>0</v>
      </c>
      <c r="H1019" s="101">
        <f t="shared" si="319"/>
        <v>0</v>
      </c>
      <c r="I1019" s="101">
        <f t="shared" si="319"/>
        <v>0</v>
      </c>
      <c r="J1019" s="101">
        <f t="shared" si="319"/>
        <v>0</v>
      </c>
      <c r="K1019" s="101">
        <f t="shared" si="319"/>
        <v>0</v>
      </c>
      <c r="L1019" s="101">
        <f t="shared" si="319"/>
        <v>0</v>
      </c>
      <c r="M1019" s="101">
        <f t="shared" si="319"/>
        <v>0</v>
      </c>
      <c r="N1019" s="101">
        <f t="shared" si="319"/>
        <v>0</v>
      </c>
      <c r="O1019" s="101">
        <f t="shared" si="319"/>
        <v>0</v>
      </c>
      <c r="P1019" s="101">
        <f t="shared" si="319"/>
        <v>0</v>
      </c>
      <c r="Q1019" s="101">
        <f t="shared" si="319"/>
        <v>0</v>
      </c>
      <c r="R1019" s="101">
        <f t="shared" si="319"/>
        <v>0</v>
      </c>
      <c r="S1019" s="101">
        <f t="shared" si="319"/>
        <v>0</v>
      </c>
      <c r="T1019" s="101">
        <f t="shared" si="319"/>
        <v>0</v>
      </c>
      <c r="U1019" s="101">
        <f t="shared" si="319"/>
        <v>0</v>
      </c>
      <c r="V1019" s="101">
        <f t="shared" si="319"/>
        <v>0</v>
      </c>
      <c r="W1019" s="101">
        <f t="shared" si="319"/>
        <v>0</v>
      </c>
      <c r="X1019" s="101">
        <f t="shared" si="319"/>
        <v>0</v>
      </c>
      <c r="Y1019" s="101">
        <f t="shared" si="319"/>
        <v>0</v>
      </c>
      <c r="Z1019" s="101">
        <f t="shared" si="319"/>
        <v>0</v>
      </c>
      <c r="AA1019" s="101">
        <f t="shared" si="319"/>
        <v>0</v>
      </c>
      <c r="AB1019" s="101">
        <f t="shared" si="319"/>
        <v>0</v>
      </c>
      <c r="AC1019" s="101">
        <f t="shared" si="319"/>
        <v>0</v>
      </c>
      <c r="AD1019" s="101">
        <f t="shared" si="319"/>
        <v>0</v>
      </c>
      <c r="AE1019" s="101">
        <f t="shared" si="319"/>
        <v>0</v>
      </c>
      <c r="AF1019" s="101">
        <f t="shared" si="319"/>
        <v>0</v>
      </c>
      <c r="AG1019" s="101">
        <f t="shared" si="319"/>
        <v>0</v>
      </c>
      <c r="AH1019" s="101">
        <f t="shared" si="319"/>
        <v>0</v>
      </c>
      <c r="AI1019" s="101">
        <f t="shared" si="319"/>
        <v>0</v>
      </c>
      <c r="AJ1019" s="101">
        <f t="shared" ref="AJ1019:BO1019" si="320">IF(AJ$946=1,IF(AJ$1000=1,Total_annual_stroke_cost*Price_adjustment*((GDP_capita/GDP_capita_base)^Income_elasticity_in),Total_annual_stroke_cost*Price_adjustment*((INDEX(GDP_capita,1,MATCH(Current_year_in,$D$997:$CP$997,0))/GDP_capita_base)^Income_elasticity_in)),0)</f>
        <v>0</v>
      </c>
      <c r="AK1019" s="101">
        <f t="shared" si="320"/>
        <v>0</v>
      </c>
      <c r="AL1019" s="101">
        <f t="shared" si="320"/>
        <v>0</v>
      </c>
      <c r="AM1019" s="101">
        <f t="shared" si="320"/>
        <v>0</v>
      </c>
      <c r="AN1019" s="101">
        <f t="shared" si="320"/>
        <v>0</v>
      </c>
      <c r="AO1019" s="101">
        <f t="shared" si="320"/>
        <v>0</v>
      </c>
      <c r="AP1019" s="101">
        <f t="shared" si="320"/>
        <v>0</v>
      </c>
      <c r="AQ1019" s="101">
        <f t="shared" si="320"/>
        <v>0</v>
      </c>
      <c r="AR1019" s="101">
        <f t="shared" si="320"/>
        <v>0</v>
      </c>
      <c r="AS1019" s="101">
        <f t="shared" si="320"/>
        <v>0</v>
      </c>
      <c r="AT1019" s="101">
        <f t="shared" si="320"/>
        <v>0</v>
      </c>
      <c r="AU1019" s="101">
        <f t="shared" si="320"/>
        <v>0</v>
      </c>
      <c r="AV1019" s="101">
        <f t="shared" si="320"/>
        <v>0</v>
      </c>
      <c r="AW1019" s="101">
        <f t="shared" si="320"/>
        <v>0</v>
      </c>
      <c r="AX1019" s="101">
        <f t="shared" si="320"/>
        <v>0</v>
      </c>
      <c r="AY1019" s="101">
        <f t="shared" si="320"/>
        <v>0</v>
      </c>
      <c r="AZ1019" s="101">
        <f t="shared" si="320"/>
        <v>0</v>
      </c>
      <c r="BA1019" s="101">
        <f t="shared" si="320"/>
        <v>0</v>
      </c>
      <c r="BB1019" s="101">
        <f t="shared" si="320"/>
        <v>0</v>
      </c>
      <c r="BC1019" s="101">
        <f t="shared" si="320"/>
        <v>0</v>
      </c>
      <c r="BD1019" s="101">
        <f t="shared" si="320"/>
        <v>0</v>
      </c>
      <c r="BE1019" s="101">
        <f t="shared" si="320"/>
        <v>0</v>
      </c>
      <c r="BF1019" s="101">
        <f t="shared" si="320"/>
        <v>0</v>
      </c>
      <c r="BG1019" s="101">
        <f t="shared" si="320"/>
        <v>0</v>
      </c>
      <c r="BH1019" s="101">
        <f t="shared" si="320"/>
        <v>0</v>
      </c>
      <c r="BI1019" s="101">
        <f t="shared" si="320"/>
        <v>0</v>
      </c>
      <c r="BJ1019" s="101">
        <f t="shared" si="320"/>
        <v>0</v>
      </c>
      <c r="BK1019" s="101">
        <f t="shared" si="320"/>
        <v>0</v>
      </c>
      <c r="BL1019" s="101">
        <f t="shared" si="320"/>
        <v>0</v>
      </c>
      <c r="BM1019" s="101">
        <f t="shared" si="320"/>
        <v>0</v>
      </c>
      <c r="BN1019" s="101">
        <f t="shared" si="320"/>
        <v>0</v>
      </c>
      <c r="BO1019" s="101">
        <f t="shared" si="320"/>
        <v>0</v>
      </c>
      <c r="BP1019" s="101">
        <f t="shared" ref="BP1019:CP1019" si="321">IF(BP$946=1,IF(BP$1000=1,Total_annual_stroke_cost*Price_adjustment*((GDP_capita/GDP_capita_base)^Income_elasticity_in),Total_annual_stroke_cost*Price_adjustment*((INDEX(GDP_capita,1,MATCH(Current_year_in,$D$997:$CP$997,0))/GDP_capita_base)^Income_elasticity_in)),0)</f>
        <v>0</v>
      </c>
      <c r="BQ1019" s="101">
        <f t="shared" si="321"/>
        <v>0</v>
      </c>
      <c r="BR1019" s="101">
        <f t="shared" si="321"/>
        <v>0</v>
      </c>
      <c r="BS1019" s="101">
        <f t="shared" si="321"/>
        <v>0</v>
      </c>
      <c r="BT1019" s="101">
        <f t="shared" si="321"/>
        <v>0</v>
      </c>
      <c r="BU1019" s="101">
        <f t="shared" si="321"/>
        <v>0</v>
      </c>
      <c r="BV1019" s="101">
        <f t="shared" si="321"/>
        <v>0</v>
      </c>
      <c r="BW1019" s="101">
        <f t="shared" si="321"/>
        <v>0</v>
      </c>
      <c r="BX1019" s="101">
        <f t="shared" si="321"/>
        <v>0</v>
      </c>
      <c r="BY1019" s="101">
        <f t="shared" si="321"/>
        <v>0</v>
      </c>
      <c r="BZ1019" s="101">
        <f t="shared" si="321"/>
        <v>0</v>
      </c>
      <c r="CA1019" s="101">
        <f t="shared" si="321"/>
        <v>0</v>
      </c>
      <c r="CB1019" s="101">
        <f t="shared" si="321"/>
        <v>0</v>
      </c>
      <c r="CC1019" s="101">
        <f t="shared" si="321"/>
        <v>0</v>
      </c>
      <c r="CD1019" s="101">
        <f t="shared" si="321"/>
        <v>0</v>
      </c>
      <c r="CE1019" s="101">
        <f t="shared" si="321"/>
        <v>0</v>
      </c>
      <c r="CF1019" s="101">
        <f t="shared" si="321"/>
        <v>0</v>
      </c>
      <c r="CG1019" s="101">
        <f t="shared" si="321"/>
        <v>0</v>
      </c>
      <c r="CH1019" s="101">
        <f t="shared" si="321"/>
        <v>0</v>
      </c>
      <c r="CI1019" s="101">
        <f t="shared" si="321"/>
        <v>0</v>
      </c>
      <c r="CJ1019" s="101">
        <f t="shared" si="321"/>
        <v>0</v>
      </c>
      <c r="CK1019" s="101">
        <f t="shared" si="321"/>
        <v>0</v>
      </c>
      <c r="CL1019" s="101">
        <f t="shared" si="321"/>
        <v>0</v>
      </c>
      <c r="CM1019" s="101">
        <f t="shared" si="321"/>
        <v>0</v>
      </c>
      <c r="CN1019" s="101">
        <f t="shared" si="321"/>
        <v>0</v>
      </c>
      <c r="CO1019" s="101">
        <f t="shared" si="321"/>
        <v>0</v>
      </c>
      <c r="CP1019" s="101">
        <f t="shared" si="321"/>
        <v>0</v>
      </c>
      <c r="CQ1019" s="3" t="s">
        <v>329</v>
      </c>
    </row>
    <row r="1020" spans="1:95" ht="14.5" x14ac:dyDescent="0.35">
      <c r="A1020" s="102"/>
      <c r="B1020" s="102" t="s">
        <v>151</v>
      </c>
      <c r="C1020" s="102"/>
      <c r="D1020" s="101">
        <f t="shared" ref="D1020:AI1020" si="322">IF(D$946=1,IF(D$1000=1,Total_annual_dementia_cost*Price_adjustment*((GDP_capita/GDP_capita_base)^Income_elasticity_in),Total_annual_dementia_cost*Price_adjustment*((INDEX(GDP_capita,1,MATCH(Current_year_in,$D$997:$CP$997,0))/GDP_capita_base)^Income_elasticity_in)),0)</f>
        <v>0</v>
      </c>
      <c r="E1020" s="101">
        <f t="shared" si="322"/>
        <v>0</v>
      </c>
      <c r="F1020" s="101">
        <f t="shared" si="322"/>
        <v>0</v>
      </c>
      <c r="G1020" s="101">
        <f t="shared" si="322"/>
        <v>0</v>
      </c>
      <c r="H1020" s="101">
        <f t="shared" si="322"/>
        <v>0</v>
      </c>
      <c r="I1020" s="101">
        <f t="shared" si="322"/>
        <v>0</v>
      </c>
      <c r="J1020" s="101">
        <f t="shared" si="322"/>
        <v>0</v>
      </c>
      <c r="K1020" s="101">
        <f t="shared" si="322"/>
        <v>0</v>
      </c>
      <c r="L1020" s="101">
        <f t="shared" si="322"/>
        <v>0</v>
      </c>
      <c r="M1020" s="101">
        <f t="shared" si="322"/>
        <v>0</v>
      </c>
      <c r="N1020" s="101">
        <f t="shared" si="322"/>
        <v>0</v>
      </c>
      <c r="O1020" s="101">
        <f t="shared" si="322"/>
        <v>0</v>
      </c>
      <c r="P1020" s="101">
        <f t="shared" si="322"/>
        <v>0</v>
      </c>
      <c r="Q1020" s="101">
        <f t="shared" si="322"/>
        <v>0</v>
      </c>
      <c r="R1020" s="101">
        <f t="shared" si="322"/>
        <v>0</v>
      </c>
      <c r="S1020" s="101">
        <f t="shared" si="322"/>
        <v>0</v>
      </c>
      <c r="T1020" s="101">
        <f t="shared" si="322"/>
        <v>0</v>
      </c>
      <c r="U1020" s="101">
        <f t="shared" si="322"/>
        <v>0</v>
      </c>
      <c r="V1020" s="101">
        <f t="shared" si="322"/>
        <v>0</v>
      </c>
      <c r="W1020" s="101">
        <f t="shared" si="322"/>
        <v>0</v>
      </c>
      <c r="X1020" s="101">
        <f t="shared" si="322"/>
        <v>0</v>
      </c>
      <c r="Y1020" s="101">
        <f t="shared" si="322"/>
        <v>0</v>
      </c>
      <c r="Z1020" s="101">
        <f t="shared" si="322"/>
        <v>0</v>
      </c>
      <c r="AA1020" s="101">
        <f t="shared" si="322"/>
        <v>0</v>
      </c>
      <c r="AB1020" s="101">
        <f t="shared" si="322"/>
        <v>0</v>
      </c>
      <c r="AC1020" s="101">
        <f t="shared" si="322"/>
        <v>0</v>
      </c>
      <c r="AD1020" s="101">
        <f t="shared" si="322"/>
        <v>0</v>
      </c>
      <c r="AE1020" s="101">
        <f t="shared" si="322"/>
        <v>0</v>
      </c>
      <c r="AF1020" s="101">
        <f t="shared" si="322"/>
        <v>0</v>
      </c>
      <c r="AG1020" s="101">
        <f t="shared" si="322"/>
        <v>0</v>
      </c>
      <c r="AH1020" s="101">
        <f t="shared" si="322"/>
        <v>0</v>
      </c>
      <c r="AI1020" s="101">
        <f t="shared" si="322"/>
        <v>0</v>
      </c>
      <c r="AJ1020" s="101">
        <f t="shared" ref="AJ1020:BO1020" si="323">IF(AJ$946=1,IF(AJ$1000=1,Total_annual_dementia_cost*Price_adjustment*((GDP_capita/GDP_capita_base)^Income_elasticity_in),Total_annual_dementia_cost*Price_adjustment*((INDEX(GDP_capita,1,MATCH(Current_year_in,$D$997:$CP$997,0))/GDP_capita_base)^Income_elasticity_in)),0)</f>
        <v>0</v>
      </c>
      <c r="AK1020" s="101">
        <f t="shared" si="323"/>
        <v>0</v>
      </c>
      <c r="AL1020" s="101">
        <f t="shared" si="323"/>
        <v>0</v>
      </c>
      <c r="AM1020" s="101">
        <f t="shared" si="323"/>
        <v>0</v>
      </c>
      <c r="AN1020" s="101">
        <f t="shared" si="323"/>
        <v>0</v>
      </c>
      <c r="AO1020" s="101">
        <f t="shared" si="323"/>
        <v>0</v>
      </c>
      <c r="AP1020" s="101">
        <f t="shared" si="323"/>
        <v>0</v>
      </c>
      <c r="AQ1020" s="101">
        <f t="shared" si="323"/>
        <v>0</v>
      </c>
      <c r="AR1020" s="101">
        <f t="shared" si="323"/>
        <v>0</v>
      </c>
      <c r="AS1020" s="101">
        <f t="shared" si="323"/>
        <v>0</v>
      </c>
      <c r="AT1020" s="101">
        <f t="shared" si="323"/>
        <v>0</v>
      </c>
      <c r="AU1020" s="101">
        <f t="shared" si="323"/>
        <v>0</v>
      </c>
      <c r="AV1020" s="101">
        <f t="shared" si="323"/>
        <v>0</v>
      </c>
      <c r="AW1020" s="101">
        <f t="shared" si="323"/>
        <v>0</v>
      </c>
      <c r="AX1020" s="101">
        <f t="shared" si="323"/>
        <v>0</v>
      </c>
      <c r="AY1020" s="101">
        <f t="shared" si="323"/>
        <v>0</v>
      </c>
      <c r="AZ1020" s="101">
        <f t="shared" si="323"/>
        <v>0</v>
      </c>
      <c r="BA1020" s="101">
        <f t="shared" si="323"/>
        <v>0</v>
      </c>
      <c r="BB1020" s="101">
        <f t="shared" si="323"/>
        <v>0</v>
      </c>
      <c r="BC1020" s="101">
        <f t="shared" si="323"/>
        <v>0</v>
      </c>
      <c r="BD1020" s="101">
        <f t="shared" si="323"/>
        <v>0</v>
      </c>
      <c r="BE1020" s="101">
        <f t="shared" si="323"/>
        <v>0</v>
      </c>
      <c r="BF1020" s="101">
        <f t="shared" si="323"/>
        <v>0</v>
      </c>
      <c r="BG1020" s="101">
        <f t="shared" si="323"/>
        <v>0</v>
      </c>
      <c r="BH1020" s="101">
        <f t="shared" si="323"/>
        <v>0</v>
      </c>
      <c r="BI1020" s="101">
        <f t="shared" si="323"/>
        <v>0</v>
      </c>
      <c r="BJ1020" s="101">
        <f t="shared" si="323"/>
        <v>0</v>
      </c>
      <c r="BK1020" s="101">
        <f t="shared" si="323"/>
        <v>0</v>
      </c>
      <c r="BL1020" s="101">
        <f t="shared" si="323"/>
        <v>0</v>
      </c>
      <c r="BM1020" s="101">
        <f t="shared" si="323"/>
        <v>0</v>
      </c>
      <c r="BN1020" s="101">
        <f t="shared" si="323"/>
        <v>0</v>
      </c>
      <c r="BO1020" s="101">
        <f t="shared" si="323"/>
        <v>0</v>
      </c>
      <c r="BP1020" s="101">
        <f t="shared" ref="BP1020:CP1020" si="324">IF(BP$946=1,IF(BP$1000=1,Total_annual_dementia_cost*Price_adjustment*((GDP_capita/GDP_capita_base)^Income_elasticity_in),Total_annual_dementia_cost*Price_adjustment*((INDEX(GDP_capita,1,MATCH(Current_year_in,$D$997:$CP$997,0))/GDP_capita_base)^Income_elasticity_in)),0)</f>
        <v>0</v>
      </c>
      <c r="BQ1020" s="101">
        <f t="shared" si="324"/>
        <v>0</v>
      </c>
      <c r="BR1020" s="101">
        <f t="shared" si="324"/>
        <v>0</v>
      </c>
      <c r="BS1020" s="101">
        <f t="shared" si="324"/>
        <v>0</v>
      </c>
      <c r="BT1020" s="101">
        <f t="shared" si="324"/>
        <v>0</v>
      </c>
      <c r="BU1020" s="101">
        <f t="shared" si="324"/>
        <v>0</v>
      </c>
      <c r="BV1020" s="101">
        <f t="shared" si="324"/>
        <v>0</v>
      </c>
      <c r="BW1020" s="101">
        <f t="shared" si="324"/>
        <v>0</v>
      </c>
      <c r="BX1020" s="101">
        <f t="shared" si="324"/>
        <v>0</v>
      </c>
      <c r="BY1020" s="101">
        <f t="shared" si="324"/>
        <v>0</v>
      </c>
      <c r="BZ1020" s="101">
        <f t="shared" si="324"/>
        <v>0</v>
      </c>
      <c r="CA1020" s="101">
        <f t="shared" si="324"/>
        <v>0</v>
      </c>
      <c r="CB1020" s="101">
        <f t="shared" si="324"/>
        <v>0</v>
      </c>
      <c r="CC1020" s="101">
        <f t="shared" si="324"/>
        <v>0</v>
      </c>
      <c r="CD1020" s="101">
        <f t="shared" si="324"/>
        <v>0</v>
      </c>
      <c r="CE1020" s="101">
        <f t="shared" si="324"/>
        <v>0</v>
      </c>
      <c r="CF1020" s="101">
        <f t="shared" si="324"/>
        <v>0</v>
      </c>
      <c r="CG1020" s="101">
        <f t="shared" si="324"/>
        <v>0</v>
      </c>
      <c r="CH1020" s="101">
        <f t="shared" si="324"/>
        <v>0</v>
      </c>
      <c r="CI1020" s="101">
        <f t="shared" si="324"/>
        <v>0</v>
      </c>
      <c r="CJ1020" s="101">
        <f t="shared" si="324"/>
        <v>0</v>
      </c>
      <c r="CK1020" s="101">
        <f t="shared" si="324"/>
        <v>0</v>
      </c>
      <c r="CL1020" s="101">
        <f t="shared" si="324"/>
        <v>0</v>
      </c>
      <c r="CM1020" s="101">
        <f t="shared" si="324"/>
        <v>0</v>
      </c>
      <c r="CN1020" s="101">
        <f t="shared" si="324"/>
        <v>0</v>
      </c>
      <c r="CO1020" s="101">
        <f t="shared" si="324"/>
        <v>0</v>
      </c>
      <c r="CP1020" s="101">
        <f t="shared" si="324"/>
        <v>0</v>
      </c>
      <c r="CQ1020" s="3" t="s">
        <v>330</v>
      </c>
    </row>
    <row r="1021" spans="1:95" ht="14.5" x14ac:dyDescent="0.35">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5" x14ac:dyDescent="0.35">
      <c r="B1022" s="5" t="s">
        <v>331</v>
      </c>
    </row>
    <row r="1023" spans="1:95" ht="14.5" x14ac:dyDescent="0.35">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5" x14ac:dyDescent="0.35">
      <c r="A1024" s="102"/>
      <c r="B1024" s="102" t="s">
        <v>332</v>
      </c>
      <c r="C1024" s="11">
        <f>Default_HH_size_in</f>
        <v>2.2999999999999998</v>
      </c>
      <c r="D1024" s="3" t="s">
        <v>333</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5" x14ac:dyDescent="0.3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2"/>
      <c r="B1026" s="102" t="s">
        <v>189</v>
      </c>
      <c r="C1026" s="102"/>
      <c r="D1026" s="120">
        <f t="shared" ref="D1026:AI1026" si="325">Household_size_user_input_in</f>
        <v>2.2999999999999998</v>
      </c>
      <c r="E1026" s="120">
        <f t="shared" si="325"/>
        <v>2.2999999999999998</v>
      </c>
      <c r="F1026" s="120">
        <f t="shared" si="325"/>
        <v>2.2999999999999998</v>
      </c>
      <c r="G1026" s="120">
        <f t="shared" si="325"/>
        <v>2.2999999999999998</v>
      </c>
      <c r="H1026" s="120">
        <f t="shared" si="325"/>
        <v>2.2999999999999998</v>
      </c>
      <c r="I1026" s="120">
        <f t="shared" si="325"/>
        <v>2.2999999999999998</v>
      </c>
      <c r="J1026" s="120">
        <f t="shared" si="325"/>
        <v>2.2999999999999998</v>
      </c>
      <c r="K1026" s="120">
        <f t="shared" si="325"/>
        <v>2.2999999999999998</v>
      </c>
      <c r="L1026" s="120">
        <f t="shared" si="325"/>
        <v>2.2999999999999998</v>
      </c>
      <c r="M1026" s="120">
        <f t="shared" si="325"/>
        <v>2.2999999999999998</v>
      </c>
      <c r="N1026" s="120">
        <f t="shared" si="325"/>
        <v>2.2999999999999998</v>
      </c>
      <c r="O1026" s="120">
        <f t="shared" si="325"/>
        <v>2.2999999999999998</v>
      </c>
      <c r="P1026" s="120">
        <f t="shared" si="325"/>
        <v>2.2999999999999998</v>
      </c>
      <c r="Q1026" s="120">
        <f t="shared" si="325"/>
        <v>2.2999999999999998</v>
      </c>
      <c r="R1026" s="120">
        <f t="shared" si="325"/>
        <v>2.2999999999999998</v>
      </c>
      <c r="S1026" s="120">
        <f t="shared" si="325"/>
        <v>2.2999999999999998</v>
      </c>
      <c r="T1026" s="120">
        <f t="shared" si="325"/>
        <v>2.2999999999999998</v>
      </c>
      <c r="U1026" s="120">
        <f t="shared" si="325"/>
        <v>2.2999999999999998</v>
      </c>
      <c r="V1026" s="120">
        <f t="shared" si="325"/>
        <v>2.2999999999999998</v>
      </c>
      <c r="W1026" s="120">
        <f t="shared" si="325"/>
        <v>2.2999999999999998</v>
      </c>
      <c r="X1026" s="120">
        <f t="shared" si="325"/>
        <v>2.2999999999999998</v>
      </c>
      <c r="Y1026" s="120">
        <f t="shared" si="325"/>
        <v>2.2999999999999998</v>
      </c>
      <c r="Z1026" s="120">
        <f t="shared" si="325"/>
        <v>2.2999999999999998</v>
      </c>
      <c r="AA1026" s="120">
        <f t="shared" si="325"/>
        <v>2.2999999999999998</v>
      </c>
      <c r="AB1026" s="120">
        <f t="shared" si="325"/>
        <v>2.2999999999999998</v>
      </c>
      <c r="AC1026" s="120">
        <f t="shared" si="325"/>
        <v>2.2999999999999998</v>
      </c>
      <c r="AD1026" s="120">
        <f t="shared" si="325"/>
        <v>2.2999999999999998</v>
      </c>
      <c r="AE1026" s="120">
        <f t="shared" si="325"/>
        <v>2.2999999999999998</v>
      </c>
      <c r="AF1026" s="120">
        <f t="shared" si="325"/>
        <v>2.2999999999999998</v>
      </c>
      <c r="AG1026" s="120">
        <f t="shared" si="325"/>
        <v>2.2999999999999998</v>
      </c>
      <c r="AH1026" s="120">
        <f t="shared" si="325"/>
        <v>2.2999999999999998</v>
      </c>
      <c r="AI1026" s="120">
        <f t="shared" si="325"/>
        <v>2.2999999999999998</v>
      </c>
      <c r="AJ1026" s="120">
        <f t="shared" ref="AJ1026:BO1026" si="326">Household_size_user_input_in</f>
        <v>2.2999999999999998</v>
      </c>
      <c r="AK1026" s="120">
        <f t="shared" si="326"/>
        <v>2.2999999999999998</v>
      </c>
      <c r="AL1026" s="120">
        <f t="shared" si="326"/>
        <v>2.2999999999999998</v>
      </c>
      <c r="AM1026" s="120">
        <f t="shared" si="326"/>
        <v>2.2999999999999998</v>
      </c>
      <c r="AN1026" s="120">
        <f t="shared" si="326"/>
        <v>2.2999999999999998</v>
      </c>
      <c r="AO1026" s="120">
        <f t="shared" si="326"/>
        <v>2.2999999999999998</v>
      </c>
      <c r="AP1026" s="120">
        <f t="shared" si="326"/>
        <v>2.2999999999999998</v>
      </c>
      <c r="AQ1026" s="120">
        <f t="shared" si="326"/>
        <v>2.2999999999999998</v>
      </c>
      <c r="AR1026" s="120">
        <f t="shared" si="326"/>
        <v>2.2999999999999998</v>
      </c>
      <c r="AS1026" s="120">
        <f t="shared" si="326"/>
        <v>2.2999999999999998</v>
      </c>
      <c r="AT1026" s="120">
        <f t="shared" si="326"/>
        <v>2.2999999999999998</v>
      </c>
      <c r="AU1026" s="120">
        <f t="shared" si="326"/>
        <v>2.2999999999999998</v>
      </c>
      <c r="AV1026" s="120">
        <f t="shared" si="326"/>
        <v>2.2999999999999998</v>
      </c>
      <c r="AW1026" s="120">
        <f t="shared" si="326"/>
        <v>2.2999999999999998</v>
      </c>
      <c r="AX1026" s="120">
        <f t="shared" si="326"/>
        <v>2.2999999999999998</v>
      </c>
      <c r="AY1026" s="120">
        <f t="shared" si="326"/>
        <v>2.2999999999999998</v>
      </c>
      <c r="AZ1026" s="120">
        <f t="shared" si="326"/>
        <v>2.2999999999999998</v>
      </c>
      <c r="BA1026" s="120">
        <f t="shared" si="326"/>
        <v>2.2999999999999998</v>
      </c>
      <c r="BB1026" s="120">
        <f t="shared" si="326"/>
        <v>2.2999999999999998</v>
      </c>
      <c r="BC1026" s="120">
        <f t="shared" si="326"/>
        <v>2.2999999999999998</v>
      </c>
      <c r="BD1026" s="120">
        <f t="shared" si="326"/>
        <v>2.2999999999999998</v>
      </c>
      <c r="BE1026" s="120">
        <f t="shared" si="326"/>
        <v>2.2999999999999998</v>
      </c>
      <c r="BF1026" s="120">
        <f t="shared" si="326"/>
        <v>2.2999999999999998</v>
      </c>
      <c r="BG1026" s="120">
        <f t="shared" si="326"/>
        <v>2.2999999999999998</v>
      </c>
      <c r="BH1026" s="120">
        <f t="shared" si="326"/>
        <v>2.2999999999999998</v>
      </c>
      <c r="BI1026" s="120">
        <f t="shared" si="326"/>
        <v>2.2999999999999998</v>
      </c>
      <c r="BJ1026" s="120">
        <f t="shared" si="326"/>
        <v>2.2999999999999998</v>
      </c>
      <c r="BK1026" s="120">
        <f t="shared" si="326"/>
        <v>2.2999999999999998</v>
      </c>
      <c r="BL1026" s="120">
        <f t="shared" si="326"/>
        <v>2.2999999999999998</v>
      </c>
      <c r="BM1026" s="120">
        <f t="shared" si="326"/>
        <v>2.2999999999999998</v>
      </c>
      <c r="BN1026" s="120">
        <f t="shared" si="326"/>
        <v>2.2999999999999998</v>
      </c>
      <c r="BO1026" s="120">
        <f t="shared" si="326"/>
        <v>2.2999999999999998</v>
      </c>
      <c r="BP1026" s="120">
        <f t="shared" ref="BP1026:CP1026" si="327">Household_size_user_input_in</f>
        <v>2.2999999999999998</v>
      </c>
      <c r="BQ1026" s="120">
        <f t="shared" si="327"/>
        <v>2.2999999999999998</v>
      </c>
      <c r="BR1026" s="120">
        <f t="shared" si="327"/>
        <v>2.2999999999999998</v>
      </c>
      <c r="BS1026" s="120">
        <f t="shared" si="327"/>
        <v>2.2999999999999998</v>
      </c>
      <c r="BT1026" s="120">
        <f t="shared" si="327"/>
        <v>2.2999999999999998</v>
      </c>
      <c r="BU1026" s="120">
        <f t="shared" si="327"/>
        <v>2.2999999999999998</v>
      </c>
      <c r="BV1026" s="120">
        <f t="shared" si="327"/>
        <v>2.2999999999999998</v>
      </c>
      <c r="BW1026" s="120">
        <f t="shared" si="327"/>
        <v>2.2999999999999998</v>
      </c>
      <c r="BX1026" s="120">
        <f t="shared" si="327"/>
        <v>2.2999999999999998</v>
      </c>
      <c r="BY1026" s="120">
        <f t="shared" si="327"/>
        <v>2.2999999999999998</v>
      </c>
      <c r="BZ1026" s="120">
        <f t="shared" si="327"/>
        <v>2.2999999999999998</v>
      </c>
      <c r="CA1026" s="120">
        <f t="shared" si="327"/>
        <v>2.2999999999999998</v>
      </c>
      <c r="CB1026" s="120">
        <f t="shared" si="327"/>
        <v>2.2999999999999998</v>
      </c>
      <c r="CC1026" s="120">
        <f t="shared" si="327"/>
        <v>2.2999999999999998</v>
      </c>
      <c r="CD1026" s="120">
        <f t="shared" si="327"/>
        <v>2.2999999999999998</v>
      </c>
      <c r="CE1026" s="120">
        <f t="shared" si="327"/>
        <v>2.2999999999999998</v>
      </c>
      <c r="CF1026" s="120">
        <f t="shared" si="327"/>
        <v>2.2999999999999998</v>
      </c>
      <c r="CG1026" s="120">
        <f t="shared" si="327"/>
        <v>2.2999999999999998</v>
      </c>
      <c r="CH1026" s="120">
        <f t="shared" si="327"/>
        <v>2.2999999999999998</v>
      </c>
      <c r="CI1026" s="120">
        <f t="shared" si="327"/>
        <v>2.2999999999999998</v>
      </c>
      <c r="CJ1026" s="120">
        <f t="shared" si="327"/>
        <v>2.2999999999999998</v>
      </c>
      <c r="CK1026" s="120">
        <f t="shared" si="327"/>
        <v>2.2999999999999998</v>
      </c>
      <c r="CL1026" s="120">
        <f t="shared" si="327"/>
        <v>2.2999999999999998</v>
      </c>
      <c r="CM1026" s="120">
        <f t="shared" si="327"/>
        <v>2.2999999999999998</v>
      </c>
      <c r="CN1026" s="120">
        <f t="shared" si="327"/>
        <v>2.2999999999999998</v>
      </c>
      <c r="CO1026" s="120">
        <f t="shared" si="327"/>
        <v>2.2999999999999998</v>
      </c>
      <c r="CP1026" s="120">
        <f t="shared" si="327"/>
        <v>2.2999999999999998</v>
      </c>
      <c r="CQ1026" s="20" t="s">
        <v>334</v>
      </c>
    </row>
    <row r="1027" spans="1:95" ht="14.5" x14ac:dyDescent="0.35">
      <c r="A1027" s="102"/>
      <c r="B1027" s="102" t="s">
        <v>335</v>
      </c>
      <c r="C1027" s="102"/>
      <c r="D1027" s="120">
        <f t="shared" ref="D1027:AI1027" si="328">Household_size_user_input/Default_HH_size</f>
        <v>1</v>
      </c>
      <c r="E1027" s="120">
        <f t="shared" si="328"/>
        <v>1</v>
      </c>
      <c r="F1027" s="120">
        <f t="shared" si="328"/>
        <v>1</v>
      </c>
      <c r="G1027" s="120">
        <f t="shared" si="328"/>
        <v>1</v>
      </c>
      <c r="H1027" s="120">
        <f t="shared" si="328"/>
        <v>1</v>
      </c>
      <c r="I1027" s="120">
        <f t="shared" si="328"/>
        <v>1</v>
      </c>
      <c r="J1027" s="120">
        <f t="shared" si="328"/>
        <v>1</v>
      </c>
      <c r="K1027" s="120">
        <f t="shared" si="328"/>
        <v>1</v>
      </c>
      <c r="L1027" s="120">
        <f t="shared" si="328"/>
        <v>1</v>
      </c>
      <c r="M1027" s="120">
        <f t="shared" si="328"/>
        <v>1</v>
      </c>
      <c r="N1027" s="120">
        <f t="shared" si="328"/>
        <v>1</v>
      </c>
      <c r="O1027" s="120">
        <f t="shared" si="328"/>
        <v>1</v>
      </c>
      <c r="P1027" s="120">
        <f t="shared" si="328"/>
        <v>1</v>
      </c>
      <c r="Q1027" s="120">
        <f t="shared" si="328"/>
        <v>1</v>
      </c>
      <c r="R1027" s="120">
        <f t="shared" si="328"/>
        <v>1</v>
      </c>
      <c r="S1027" s="120">
        <f t="shared" si="328"/>
        <v>1</v>
      </c>
      <c r="T1027" s="120">
        <f t="shared" si="328"/>
        <v>1</v>
      </c>
      <c r="U1027" s="120">
        <f t="shared" si="328"/>
        <v>1</v>
      </c>
      <c r="V1027" s="120">
        <f t="shared" si="328"/>
        <v>1</v>
      </c>
      <c r="W1027" s="120">
        <f t="shared" si="328"/>
        <v>1</v>
      </c>
      <c r="X1027" s="120">
        <f t="shared" si="328"/>
        <v>1</v>
      </c>
      <c r="Y1027" s="120">
        <f t="shared" si="328"/>
        <v>1</v>
      </c>
      <c r="Z1027" s="120">
        <f t="shared" si="328"/>
        <v>1</v>
      </c>
      <c r="AA1027" s="120">
        <f t="shared" si="328"/>
        <v>1</v>
      </c>
      <c r="AB1027" s="120">
        <f t="shared" si="328"/>
        <v>1</v>
      </c>
      <c r="AC1027" s="120">
        <f t="shared" si="328"/>
        <v>1</v>
      </c>
      <c r="AD1027" s="120">
        <f t="shared" si="328"/>
        <v>1</v>
      </c>
      <c r="AE1027" s="120">
        <f t="shared" si="328"/>
        <v>1</v>
      </c>
      <c r="AF1027" s="120">
        <f t="shared" si="328"/>
        <v>1</v>
      </c>
      <c r="AG1027" s="120">
        <f t="shared" si="328"/>
        <v>1</v>
      </c>
      <c r="AH1027" s="120">
        <f t="shared" si="328"/>
        <v>1</v>
      </c>
      <c r="AI1027" s="120">
        <f t="shared" si="328"/>
        <v>1</v>
      </c>
      <c r="AJ1027" s="120">
        <f t="shared" ref="AJ1027:BO1027" si="329">Household_size_user_input/Default_HH_size</f>
        <v>1</v>
      </c>
      <c r="AK1027" s="120">
        <f t="shared" si="329"/>
        <v>1</v>
      </c>
      <c r="AL1027" s="120">
        <f t="shared" si="329"/>
        <v>1</v>
      </c>
      <c r="AM1027" s="120">
        <f t="shared" si="329"/>
        <v>1</v>
      </c>
      <c r="AN1027" s="120">
        <f t="shared" si="329"/>
        <v>1</v>
      </c>
      <c r="AO1027" s="120">
        <f t="shared" si="329"/>
        <v>1</v>
      </c>
      <c r="AP1027" s="120">
        <f t="shared" si="329"/>
        <v>1</v>
      </c>
      <c r="AQ1027" s="120">
        <f t="shared" si="329"/>
        <v>1</v>
      </c>
      <c r="AR1027" s="120">
        <f t="shared" si="329"/>
        <v>1</v>
      </c>
      <c r="AS1027" s="120">
        <f t="shared" si="329"/>
        <v>1</v>
      </c>
      <c r="AT1027" s="120">
        <f t="shared" si="329"/>
        <v>1</v>
      </c>
      <c r="AU1027" s="120">
        <f t="shared" si="329"/>
        <v>1</v>
      </c>
      <c r="AV1027" s="120">
        <f t="shared" si="329"/>
        <v>1</v>
      </c>
      <c r="AW1027" s="120">
        <f t="shared" si="329"/>
        <v>1</v>
      </c>
      <c r="AX1027" s="120">
        <f t="shared" si="329"/>
        <v>1</v>
      </c>
      <c r="AY1027" s="120">
        <f t="shared" si="329"/>
        <v>1</v>
      </c>
      <c r="AZ1027" s="120">
        <f t="shared" si="329"/>
        <v>1</v>
      </c>
      <c r="BA1027" s="120">
        <f t="shared" si="329"/>
        <v>1</v>
      </c>
      <c r="BB1027" s="120">
        <f t="shared" si="329"/>
        <v>1</v>
      </c>
      <c r="BC1027" s="120">
        <f t="shared" si="329"/>
        <v>1</v>
      </c>
      <c r="BD1027" s="120">
        <f t="shared" si="329"/>
        <v>1</v>
      </c>
      <c r="BE1027" s="120">
        <f t="shared" si="329"/>
        <v>1</v>
      </c>
      <c r="BF1027" s="120">
        <f t="shared" si="329"/>
        <v>1</v>
      </c>
      <c r="BG1027" s="120">
        <f t="shared" si="329"/>
        <v>1</v>
      </c>
      <c r="BH1027" s="120">
        <f t="shared" si="329"/>
        <v>1</v>
      </c>
      <c r="BI1027" s="120">
        <f t="shared" si="329"/>
        <v>1</v>
      </c>
      <c r="BJ1027" s="120">
        <f t="shared" si="329"/>
        <v>1</v>
      </c>
      <c r="BK1027" s="120">
        <f t="shared" si="329"/>
        <v>1</v>
      </c>
      <c r="BL1027" s="120">
        <f t="shared" si="329"/>
        <v>1</v>
      </c>
      <c r="BM1027" s="120">
        <f t="shared" si="329"/>
        <v>1</v>
      </c>
      <c r="BN1027" s="120">
        <f t="shared" si="329"/>
        <v>1</v>
      </c>
      <c r="BO1027" s="120">
        <f t="shared" si="329"/>
        <v>1</v>
      </c>
      <c r="BP1027" s="120">
        <f t="shared" ref="BP1027:CP1027" si="330">Household_size_user_input/Default_HH_size</f>
        <v>1</v>
      </c>
      <c r="BQ1027" s="120">
        <f t="shared" si="330"/>
        <v>1</v>
      </c>
      <c r="BR1027" s="120">
        <f t="shared" si="330"/>
        <v>1</v>
      </c>
      <c r="BS1027" s="120">
        <f t="shared" si="330"/>
        <v>1</v>
      </c>
      <c r="BT1027" s="120">
        <f t="shared" si="330"/>
        <v>1</v>
      </c>
      <c r="BU1027" s="120">
        <f t="shared" si="330"/>
        <v>1</v>
      </c>
      <c r="BV1027" s="120">
        <f t="shared" si="330"/>
        <v>1</v>
      </c>
      <c r="BW1027" s="120">
        <f t="shared" si="330"/>
        <v>1</v>
      </c>
      <c r="BX1027" s="120">
        <f t="shared" si="330"/>
        <v>1</v>
      </c>
      <c r="BY1027" s="120">
        <f t="shared" si="330"/>
        <v>1</v>
      </c>
      <c r="BZ1027" s="120">
        <f t="shared" si="330"/>
        <v>1</v>
      </c>
      <c r="CA1027" s="120">
        <f t="shared" si="330"/>
        <v>1</v>
      </c>
      <c r="CB1027" s="120">
        <f t="shared" si="330"/>
        <v>1</v>
      </c>
      <c r="CC1027" s="120">
        <f t="shared" si="330"/>
        <v>1</v>
      </c>
      <c r="CD1027" s="120">
        <f t="shared" si="330"/>
        <v>1</v>
      </c>
      <c r="CE1027" s="120">
        <f t="shared" si="330"/>
        <v>1</v>
      </c>
      <c r="CF1027" s="120">
        <f t="shared" si="330"/>
        <v>1</v>
      </c>
      <c r="CG1027" s="120">
        <f t="shared" si="330"/>
        <v>1</v>
      </c>
      <c r="CH1027" s="120">
        <f t="shared" si="330"/>
        <v>1</v>
      </c>
      <c r="CI1027" s="120">
        <f t="shared" si="330"/>
        <v>1</v>
      </c>
      <c r="CJ1027" s="120">
        <f t="shared" si="330"/>
        <v>1</v>
      </c>
      <c r="CK1027" s="120">
        <f t="shared" si="330"/>
        <v>1</v>
      </c>
      <c r="CL1027" s="120">
        <f t="shared" si="330"/>
        <v>1</v>
      </c>
      <c r="CM1027" s="120">
        <f t="shared" si="330"/>
        <v>1</v>
      </c>
      <c r="CN1027" s="120">
        <f t="shared" si="330"/>
        <v>1</v>
      </c>
      <c r="CO1027" s="120">
        <f t="shared" si="330"/>
        <v>1</v>
      </c>
      <c r="CP1027" s="120">
        <f t="shared" si="330"/>
        <v>1</v>
      </c>
      <c r="CQ1027" s="3" t="s">
        <v>336</v>
      </c>
    </row>
    <row r="1028" spans="1:95" ht="14.5" x14ac:dyDescent="0.35">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5" x14ac:dyDescent="0.3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5" x14ac:dyDescent="0.35">
      <c r="A1030" s="102"/>
      <c r="B1030" s="102" t="s">
        <v>143</v>
      </c>
      <c r="C1030" s="102"/>
      <c r="D1030" s="101">
        <f>Annual_sleep_disturbance_valuation*Household_size_multiplier</f>
        <v>0</v>
      </c>
      <c r="E1030" s="101">
        <f t="shared" ref="E1030:AI1030" si="331">Annual_sleep_disturbance_valuation*Household_size_multiplier</f>
        <v>0</v>
      </c>
      <c r="F1030" s="101">
        <f t="shared" si="331"/>
        <v>0</v>
      </c>
      <c r="G1030" s="101">
        <f t="shared" si="331"/>
        <v>0</v>
      </c>
      <c r="H1030" s="101">
        <f t="shared" si="331"/>
        <v>0</v>
      </c>
      <c r="I1030" s="101">
        <f>Annual_sleep_disturbance_valuation*Household_size_multiplier</f>
        <v>0</v>
      </c>
      <c r="J1030" s="101">
        <f t="shared" si="331"/>
        <v>0</v>
      </c>
      <c r="K1030" s="101">
        <f t="shared" si="331"/>
        <v>0</v>
      </c>
      <c r="L1030" s="101">
        <f t="shared" si="331"/>
        <v>0</v>
      </c>
      <c r="M1030" s="101">
        <f t="shared" si="331"/>
        <v>0</v>
      </c>
      <c r="N1030" s="101">
        <f t="shared" si="331"/>
        <v>0</v>
      </c>
      <c r="O1030" s="101">
        <f t="shared" si="331"/>
        <v>0</v>
      </c>
      <c r="P1030" s="101">
        <f>Annual_sleep_disturbance_valuation*Household_size_multiplier</f>
        <v>0</v>
      </c>
      <c r="Q1030" s="101">
        <f t="shared" si="331"/>
        <v>0</v>
      </c>
      <c r="R1030" s="101">
        <f t="shared" si="331"/>
        <v>0</v>
      </c>
      <c r="S1030" s="101">
        <f t="shared" si="331"/>
        <v>0</v>
      </c>
      <c r="T1030" s="101">
        <f t="shared" si="331"/>
        <v>0</v>
      </c>
      <c r="U1030" s="101">
        <f t="shared" si="331"/>
        <v>0</v>
      </c>
      <c r="V1030" s="101">
        <f t="shared" si="331"/>
        <v>0</v>
      </c>
      <c r="W1030" s="101">
        <f t="shared" si="331"/>
        <v>0</v>
      </c>
      <c r="X1030" s="101">
        <f t="shared" si="331"/>
        <v>0</v>
      </c>
      <c r="Y1030" s="101">
        <f t="shared" si="331"/>
        <v>0</v>
      </c>
      <c r="Z1030" s="101">
        <f t="shared" si="331"/>
        <v>0</v>
      </c>
      <c r="AA1030" s="101">
        <f t="shared" si="331"/>
        <v>0</v>
      </c>
      <c r="AB1030" s="101">
        <f t="shared" si="331"/>
        <v>0</v>
      </c>
      <c r="AC1030" s="101">
        <f t="shared" si="331"/>
        <v>0</v>
      </c>
      <c r="AD1030" s="101">
        <f t="shared" si="331"/>
        <v>0</v>
      </c>
      <c r="AE1030" s="101">
        <f t="shared" si="331"/>
        <v>0</v>
      </c>
      <c r="AF1030" s="101">
        <f t="shared" si="331"/>
        <v>0</v>
      </c>
      <c r="AG1030" s="101">
        <f t="shared" si="331"/>
        <v>0</v>
      </c>
      <c r="AH1030" s="101">
        <f t="shared" si="331"/>
        <v>0</v>
      </c>
      <c r="AI1030" s="101">
        <f t="shared" si="331"/>
        <v>0</v>
      </c>
      <c r="AJ1030" s="101">
        <f t="shared" ref="AJ1030:BO1030" si="332">Annual_sleep_disturbance_valuation*Household_size_multiplier</f>
        <v>0</v>
      </c>
      <c r="AK1030" s="101">
        <f t="shared" si="332"/>
        <v>0</v>
      </c>
      <c r="AL1030" s="101">
        <f t="shared" si="332"/>
        <v>0</v>
      </c>
      <c r="AM1030" s="101">
        <f t="shared" si="332"/>
        <v>0</v>
      </c>
      <c r="AN1030" s="101">
        <f t="shared" si="332"/>
        <v>0</v>
      </c>
      <c r="AO1030" s="101">
        <f t="shared" si="332"/>
        <v>0</v>
      </c>
      <c r="AP1030" s="101">
        <f t="shared" si="332"/>
        <v>0</v>
      </c>
      <c r="AQ1030" s="101">
        <f t="shared" si="332"/>
        <v>0</v>
      </c>
      <c r="AR1030" s="101">
        <f t="shared" si="332"/>
        <v>0</v>
      </c>
      <c r="AS1030" s="101">
        <f t="shared" si="332"/>
        <v>0</v>
      </c>
      <c r="AT1030" s="101">
        <f t="shared" si="332"/>
        <v>0</v>
      </c>
      <c r="AU1030" s="101">
        <f t="shared" si="332"/>
        <v>0</v>
      </c>
      <c r="AV1030" s="101">
        <f t="shared" si="332"/>
        <v>0</v>
      </c>
      <c r="AW1030" s="101">
        <f t="shared" si="332"/>
        <v>0</v>
      </c>
      <c r="AX1030" s="101">
        <f t="shared" si="332"/>
        <v>0</v>
      </c>
      <c r="AY1030" s="101">
        <f t="shared" si="332"/>
        <v>0</v>
      </c>
      <c r="AZ1030" s="101">
        <f t="shared" si="332"/>
        <v>0</v>
      </c>
      <c r="BA1030" s="101">
        <f t="shared" si="332"/>
        <v>0</v>
      </c>
      <c r="BB1030" s="101">
        <f t="shared" si="332"/>
        <v>0</v>
      </c>
      <c r="BC1030" s="101">
        <f t="shared" si="332"/>
        <v>0</v>
      </c>
      <c r="BD1030" s="101">
        <f t="shared" si="332"/>
        <v>0</v>
      </c>
      <c r="BE1030" s="101">
        <f t="shared" si="332"/>
        <v>0</v>
      </c>
      <c r="BF1030" s="101">
        <f t="shared" si="332"/>
        <v>0</v>
      </c>
      <c r="BG1030" s="101">
        <f t="shared" si="332"/>
        <v>0</v>
      </c>
      <c r="BH1030" s="101">
        <f t="shared" si="332"/>
        <v>0</v>
      </c>
      <c r="BI1030" s="101">
        <f t="shared" si="332"/>
        <v>0</v>
      </c>
      <c r="BJ1030" s="101">
        <f t="shared" si="332"/>
        <v>0</v>
      </c>
      <c r="BK1030" s="101">
        <f t="shared" si="332"/>
        <v>0</v>
      </c>
      <c r="BL1030" s="101">
        <f t="shared" si="332"/>
        <v>0</v>
      </c>
      <c r="BM1030" s="101">
        <f t="shared" si="332"/>
        <v>0</v>
      </c>
      <c r="BN1030" s="101">
        <f t="shared" si="332"/>
        <v>0</v>
      </c>
      <c r="BO1030" s="101">
        <f t="shared" si="332"/>
        <v>0</v>
      </c>
      <c r="BP1030" s="101">
        <f t="shared" ref="BP1030:CP1030" si="333">Annual_sleep_disturbance_valuation*Household_size_multiplier</f>
        <v>0</v>
      </c>
      <c r="BQ1030" s="101">
        <f t="shared" si="333"/>
        <v>0</v>
      </c>
      <c r="BR1030" s="101">
        <f t="shared" si="333"/>
        <v>0</v>
      </c>
      <c r="BS1030" s="101">
        <f t="shared" si="333"/>
        <v>0</v>
      </c>
      <c r="BT1030" s="101">
        <f t="shared" si="333"/>
        <v>0</v>
      </c>
      <c r="BU1030" s="101">
        <f t="shared" si="333"/>
        <v>0</v>
      </c>
      <c r="BV1030" s="101">
        <f t="shared" si="333"/>
        <v>0</v>
      </c>
      <c r="BW1030" s="101">
        <f t="shared" si="333"/>
        <v>0</v>
      </c>
      <c r="BX1030" s="101">
        <f t="shared" si="333"/>
        <v>0</v>
      </c>
      <c r="BY1030" s="101">
        <f t="shared" si="333"/>
        <v>0</v>
      </c>
      <c r="BZ1030" s="101">
        <f t="shared" si="333"/>
        <v>0</v>
      </c>
      <c r="CA1030" s="101">
        <f t="shared" si="333"/>
        <v>0</v>
      </c>
      <c r="CB1030" s="101">
        <f t="shared" si="333"/>
        <v>0</v>
      </c>
      <c r="CC1030" s="101">
        <f t="shared" si="333"/>
        <v>0</v>
      </c>
      <c r="CD1030" s="101">
        <f t="shared" si="333"/>
        <v>0</v>
      </c>
      <c r="CE1030" s="101">
        <f t="shared" si="333"/>
        <v>0</v>
      </c>
      <c r="CF1030" s="101">
        <f t="shared" si="333"/>
        <v>0</v>
      </c>
      <c r="CG1030" s="101">
        <f t="shared" si="333"/>
        <v>0</v>
      </c>
      <c r="CH1030" s="101">
        <f t="shared" si="333"/>
        <v>0</v>
      </c>
      <c r="CI1030" s="101">
        <f t="shared" si="333"/>
        <v>0</v>
      </c>
      <c r="CJ1030" s="101">
        <f t="shared" si="333"/>
        <v>0</v>
      </c>
      <c r="CK1030" s="101">
        <f t="shared" si="333"/>
        <v>0</v>
      </c>
      <c r="CL1030" s="101">
        <f t="shared" si="333"/>
        <v>0</v>
      </c>
      <c r="CM1030" s="101">
        <f t="shared" si="333"/>
        <v>0</v>
      </c>
      <c r="CN1030" s="101">
        <f t="shared" si="333"/>
        <v>0</v>
      </c>
      <c r="CO1030" s="101">
        <f t="shared" si="333"/>
        <v>0</v>
      </c>
      <c r="CP1030" s="101">
        <f t="shared" si="333"/>
        <v>0</v>
      </c>
      <c r="CQ1030" s="3" t="s">
        <v>337</v>
      </c>
    </row>
    <row r="1031" spans="1:95" ht="14.5" x14ac:dyDescent="0.35">
      <c r="A1031" s="102"/>
      <c r="B1031" s="102" t="s">
        <v>145</v>
      </c>
      <c r="C1031" s="102"/>
      <c r="D1031" s="101">
        <f t="shared" ref="D1031:AI1031" si="334">Annual_amenity_valuation*Household_size_multiplier</f>
        <v>0</v>
      </c>
      <c r="E1031" s="101">
        <f t="shared" si="334"/>
        <v>0</v>
      </c>
      <c r="F1031" s="101">
        <f t="shared" si="334"/>
        <v>0</v>
      </c>
      <c r="G1031" s="101">
        <f t="shared" si="334"/>
        <v>0</v>
      </c>
      <c r="H1031" s="101">
        <f t="shared" si="334"/>
        <v>0</v>
      </c>
      <c r="I1031" s="101">
        <f>Annual_amenity_valuation*Household_size_multiplier</f>
        <v>0</v>
      </c>
      <c r="J1031" s="101">
        <f t="shared" si="334"/>
        <v>0</v>
      </c>
      <c r="K1031" s="101">
        <f t="shared" si="334"/>
        <v>0</v>
      </c>
      <c r="L1031" s="101">
        <f t="shared" si="334"/>
        <v>0</v>
      </c>
      <c r="M1031" s="101">
        <f t="shared" si="334"/>
        <v>0</v>
      </c>
      <c r="N1031" s="101">
        <f t="shared" si="334"/>
        <v>0</v>
      </c>
      <c r="O1031" s="101">
        <f t="shared" si="334"/>
        <v>0</v>
      </c>
      <c r="P1031" s="101">
        <f t="shared" si="334"/>
        <v>0</v>
      </c>
      <c r="Q1031" s="101">
        <f t="shared" si="334"/>
        <v>0</v>
      </c>
      <c r="R1031" s="101">
        <f t="shared" si="334"/>
        <v>0</v>
      </c>
      <c r="S1031" s="101">
        <f t="shared" si="334"/>
        <v>0</v>
      </c>
      <c r="T1031" s="101">
        <f t="shared" si="334"/>
        <v>0</v>
      </c>
      <c r="U1031" s="101">
        <f t="shared" si="334"/>
        <v>0</v>
      </c>
      <c r="V1031" s="101">
        <f t="shared" si="334"/>
        <v>0</v>
      </c>
      <c r="W1031" s="101">
        <f t="shared" si="334"/>
        <v>0</v>
      </c>
      <c r="X1031" s="101">
        <f t="shared" si="334"/>
        <v>0</v>
      </c>
      <c r="Y1031" s="101">
        <f t="shared" si="334"/>
        <v>0</v>
      </c>
      <c r="Z1031" s="101">
        <f t="shared" si="334"/>
        <v>0</v>
      </c>
      <c r="AA1031" s="101">
        <f t="shared" si="334"/>
        <v>0</v>
      </c>
      <c r="AB1031" s="101">
        <f t="shared" si="334"/>
        <v>0</v>
      </c>
      <c r="AC1031" s="101">
        <f>Annual_amenity_valuation*Household_size_multiplier</f>
        <v>0</v>
      </c>
      <c r="AD1031" s="101">
        <f t="shared" si="334"/>
        <v>0</v>
      </c>
      <c r="AE1031" s="101">
        <f t="shared" si="334"/>
        <v>0</v>
      </c>
      <c r="AF1031" s="101">
        <f t="shared" si="334"/>
        <v>0</v>
      </c>
      <c r="AG1031" s="101">
        <f t="shared" si="334"/>
        <v>0</v>
      </c>
      <c r="AH1031" s="101">
        <f t="shared" si="334"/>
        <v>0</v>
      </c>
      <c r="AI1031" s="101">
        <f t="shared" si="334"/>
        <v>0</v>
      </c>
      <c r="AJ1031" s="101">
        <f t="shared" ref="AJ1031:BO1031" si="335">Annual_amenity_valuation*Household_size_multiplier</f>
        <v>0</v>
      </c>
      <c r="AK1031" s="101">
        <f t="shared" si="335"/>
        <v>0</v>
      </c>
      <c r="AL1031" s="101">
        <f t="shared" si="335"/>
        <v>0</v>
      </c>
      <c r="AM1031" s="101">
        <f t="shared" si="335"/>
        <v>0</v>
      </c>
      <c r="AN1031" s="101">
        <f t="shared" si="335"/>
        <v>0</v>
      </c>
      <c r="AO1031" s="101">
        <f t="shared" si="335"/>
        <v>0</v>
      </c>
      <c r="AP1031" s="101">
        <f t="shared" si="335"/>
        <v>0</v>
      </c>
      <c r="AQ1031" s="101">
        <f t="shared" si="335"/>
        <v>0</v>
      </c>
      <c r="AR1031" s="101">
        <f t="shared" si="335"/>
        <v>0</v>
      </c>
      <c r="AS1031" s="101">
        <f t="shared" si="335"/>
        <v>0</v>
      </c>
      <c r="AT1031" s="101">
        <f t="shared" si="335"/>
        <v>0</v>
      </c>
      <c r="AU1031" s="101">
        <f t="shared" si="335"/>
        <v>0</v>
      </c>
      <c r="AV1031" s="101">
        <f t="shared" si="335"/>
        <v>0</v>
      </c>
      <c r="AW1031" s="101">
        <f t="shared" si="335"/>
        <v>0</v>
      </c>
      <c r="AX1031" s="101">
        <f t="shared" si="335"/>
        <v>0</v>
      </c>
      <c r="AY1031" s="101">
        <f t="shared" si="335"/>
        <v>0</v>
      </c>
      <c r="AZ1031" s="101">
        <f t="shared" si="335"/>
        <v>0</v>
      </c>
      <c r="BA1031" s="101">
        <f t="shared" si="335"/>
        <v>0</v>
      </c>
      <c r="BB1031" s="101">
        <f t="shared" si="335"/>
        <v>0</v>
      </c>
      <c r="BC1031" s="101">
        <f t="shared" si="335"/>
        <v>0</v>
      </c>
      <c r="BD1031" s="101">
        <f t="shared" si="335"/>
        <v>0</v>
      </c>
      <c r="BE1031" s="101">
        <f t="shared" si="335"/>
        <v>0</v>
      </c>
      <c r="BF1031" s="101">
        <f t="shared" si="335"/>
        <v>0</v>
      </c>
      <c r="BG1031" s="101">
        <f t="shared" si="335"/>
        <v>0</v>
      </c>
      <c r="BH1031" s="101">
        <f t="shared" si="335"/>
        <v>0</v>
      </c>
      <c r="BI1031" s="101">
        <f t="shared" si="335"/>
        <v>0</v>
      </c>
      <c r="BJ1031" s="101">
        <f t="shared" si="335"/>
        <v>0</v>
      </c>
      <c r="BK1031" s="101">
        <f t="shared" si="335"/>
        <v>0</v>
      </c>
      <c r="BL1031" s="101">
        <f t="shared" si="335"/>
        <v>0</v>
      </c>
      <c r="BM1031" s="101">
        <f t="shared" si="335"/>
        <v>0</v>
      </c>
      <c r="BN1031" s="101">
        <f t="shared" si="335"/>
        <v>0</v>
      </c>
      <c r="BO1031" s="101">
        <f t="shared" si="335"/>
        <v>0</v>
      </c>
      <c r="BP1031" s="101">
        <f t="shared" ref="BP1031:CP1031" si="336">Annual_amenity_valuation*Household_size_multiplier</f>
        <v>0</v>
      </c>
      <c r="BQ1031" s="101">
        <f t="shared" si="336"/>
        <v>0</v>
      </c>
      <c r="BR1031" s="101">
        <f t="shared" si="336"/>
        <v>0</v>
      </c>
      <c r="BS1031" s="101">
        <f t="shared" si="336"/>
        <v>0</v>
      </c>
      <c r="BT1031" s="101">
        <f t="shared" si="336"/>
        <v>0</v>
      </c>
      <c r="BU1031" s="101">
        <f t="shared" si="336"/>
        <v>0</v>
      </c>
      <c r="BV1031" s="101">
        <f t="shared" si="336"/>
        <v>0</v>
      </c>
      <c r="BW1031" s="101">
        <f t="shared" si="336"/>
        <v>0</v>
      </c>
      <c r="BX1031" s="101">
        <f t="shared" si="336"/>
        <v>0</v>
      </c>
      <c r="BY1031" s="101">
        <f t="shared" si="336"/>
        <v>0</v>
      </c>
      <c r="BZ1031" s="101">
        <f t="shared" si="336"/>
        <v>0</v>
      </c>
      <c r="CA1031" s="101">
        <f t="shared" si="336"/>
        <v>0</v>
      </c>
      <c r="CB1031" s="101">
        <f t="shared" si="336"/>
        <v>0</v>
      </c>
      <c r="CC1031" s="101">
        <f t="shared" si="336"/>
        <v>0</v>
      </c>
      <c r="CD1031" s="101">
        <f t="shared" si="336"/>
        <v>0</v>
      </c>
      <c r="CE1031" s="101">
        <f t="shared" si="336"/>
        <v>0</v>
      </c>
      <c r="CF1031" s="101">
        <f t="shared" si="336"/>
        <v>0</v>
      </c>
      <c r="CG1031" s="101">
        <f t="shared" si="336"/>
        <v>0</v>
      </c>
      <c r="CH1031" s="101">
        <f t="shared" si="336"/>
        <v>0</v>
      </c>
      <c r="CI1031" s="101">
        <f t="shared" si="336"/>
        <v>0</v>
      </c>
      <c r="CJ1031" s="101">
        <f t="shared" si="336"/>
        <v>0</v>
      </c>
      <c r="CK1031" s="101">
        <f t="shared" si="336"/>
        <v>0</v>
      </c>
      <c r="CL1031" s="101">
        <f t="shared" si="336"/>
        <v>0</v>
      </c>
      <c r="CM1031" s="101">
        <f t="shared" si="336"/>
        <v>0</v>
      </c>
      <c r="CN1031" s="101">
        <f t="shared" si="336"/>
        <v>0</v>
      </c>
      <c r="CO1031" s="101">
        <f t="shared" si="336"/>
        <v>0</v>
      </c>
      <c r="CP1031" s="101">
        <f t="shared" si="336"/>
        <v>0</v>
      </c>
      <c r="CQ1031" s="3" t="s">
        <v>338</v>
      </c>
    </row>
    <row r="1032" spans="1:95" ht="14.5" x14ac:dyDescent="0.35">
      <c r="A1032" s="102"/>
      <c r="B1032" s="102" t="s">
        <v>147</v>
      </c>
      <c r="C1032" s="102"/>
      <c r="D1032" s="101">
        <f t="shared" ref="D1032:AI1032" si="337">Annual_AMI_valuation*Household_size_multiplier</f>
        <v>0</v>
      </c>
      <c r="E1032" s="101">
        <f t="shared" si="337"/>
        <v>0</v>
      </c>
      <c r="F1032" s="101">
        <f t="shared" si="337"/>
        <v>0</v>
      </c>
      <c r="G1032" s="101">
        <f t="shared" si="337"/>
        <v>0</v>
      </c>
      <c r="H1032" s="101">
        <f t="shared" si="337"/>
        <v>0</v>
      </c>
      <c r="I1032" s="101">
        <f>Annual_AMI_valuation*Household_size_multiplier</f>
        <v>0</v>
      </c>
      <c r="J1032" s="101">
        <f t="shared" si="337"/>
        <v>0</v>
      </c>
      <c r="K1032" s="101">
        <f t="shared" si="337"/>
        <v>0</v>
      </c>
      <c r="L1032" s="101">
        <f t="shared" si="337"/>
        <v>0</v>
      </c>
      <c r="M1032" s="101">
        <f t="shared" si="337"/>
        <v>0</v>
      </c>
      <c r="N1032" s="101">
        <f t="shared" si="337"/>
        <v>0</v>
      </c>
      <c r="O1032" s="101">
        <f t="shared" si="337"/>
        <v>0</v>
      </c>
      <c r="P1032" s="101">
        <f t="shared" si="337"/>
        <v>0</v>
      </c>
      <c r="Q1032" s="101">
        <f t="shared" si="337"/>
        <v>0</v>
      </c>
      <c r="R1032" s="101">
        <f t="shared" si="337"/>
        <v>0</v>
      </c>
      <c r="S1032" s="101">
        <f t="shared" si="337"/>
        <v>0</v>
      </c>
      <c r="T1032" s="101">
        <f t="shared" si="337"/>
        <v>0</v>
      </c>
      <c r="U1032" s="101">
        <f t="shared" si="337"/>
        <v>0</v>
      </c>
      <c r="V1032" s="101">
        <f t="shared" si="337"/>
        <v>0</v>
      </c>
      <c r="W1032" s="101">
        <f t="shared" si="337"/>
        <v>0</v>
      </c>
      <c r="X1032" s="101">
        <f t="shared" si="337"/>
        <v>0</v>
      </c>
      <c r="Y1032" s="101">
        <f t="shared" si="337"/>
        <v>0</v>
      </c>
      <c r="Z1032" s="101">
        <f t="shared" si="337"/>
        <v>0</v>
      </c>
      <c r="AA1032" s="101">
        <f t="shared" si="337"/>
        <v>0</v>
      </c>
      <c r="AB1032" s="101">
        <f t="shared" si="337"/>
        <v>0</v>
      </c>
      <c r="AC1032" s="101">
        <f t="shared" si="337"/>
        <v>0</v>
      </c>
      <c r="AD1032" s="101">
        <f t="shared" si="337"/>
        <v>0</v>
      </c>
      <c r="AE1032" s="101">
        <f t="shared" si="337"/>
        <v>0</v>
      </c>
      <c r="AF1032" s="101">
        <f t="shared" si="337"/>
        <v>0</v>
      </c>
      <c r="AG1032" s="101">
        <f t="shared" si="337"/>
        <v>0</v>
      </c>
      <c r="AH1032" s="101">
        <f t="shared" si="337"/>
        <v>0</v>
      </c>
      <c r="AI1032" s="101">
        <f t="shared" si="337"/>
        <v>0</v>
      </c>
      <c r="AJ1032" s="101">
        <f t="shared" ref="AJ1032:BO1032" si="338">Annual_AMI_valuation*Household_size_multiplier</f>
        <v>0</v>
      </c>
      <c r="AK1032" s="101">
        <f t="shared" si="338"/>
        <v>0</v>
      </c>
      <c r="AL1032" s="101">
        <f t="shared" si="338"/>
        <v>0</v>
      </c>
      <c r="AM1032" s="101">
        <f t="shared" si="338"/>
        <v>0</v>
      </c>
      <c r="AN1032" s="101">
        <f t="shared" si="338"/>
        <v>0</v>
      </c>
      <c r="AO1032" s="101">
        <f t="shared" si="338"/>
        <v>0</v>
      </c>
      <c r="AP1032" s="101">
        <f t="shared" si="338"/>
        <v>0</v>
      </c>
      <c r="AQ1032" s="101">
        <f t="shared" si="338"/>
        <v>0</v>
      </c>
      <c r="AR1032" s="101">
        <f t="shared" si="338"/>
        <v>0</v>
      </c>
      <c r="AS1032" s="101">
        <f t="shared" si="338"/>
        <v>0</v>
      </c>
      <c r="AT1032" s="101">
        <f t="shared" si="338"/>
        <v>0</v>
      </c>
      <c r="AU1032" s="101">
        <f t="shared" si="338"/>
        <v>0</v>
      </c>
      <c r="AV1032" s="101">
        <f t="shared" si="338"/>
        <v>0</v>
      </c>
      <c r="AW1032" s="101">
        <f t="shared" si="338"/>
        <v>0</v>
      </c>
      <c r="AX1032" s="101">
        <f t="shared" si="338"/>
        <v>0</v>
      </c>
      <c r="AY1032" s="101">
        <f t="shared" si="338"/>
        <v>0</v>
      </c>
      <c r="AZ1032" s="101">
        <f t="shared" si="338"/>
        <v>0</v>
      </c>
      <c r="BA1032" s="101">
        <f t="shared" si="338"/>
        <v>0</v>
      </c>
      <c r="BB1032" s="101">
        <f t="shared" si="338"/>
        <v>0</v>
      </c>
      <c r="BC1032" s="101">
        <f t="shared" si="338"/>
        <v>0</v>
      </c>
      <c r="BD1032" s="101">
        <f t="shared" si="338"/>
        <v>0</v>
      </c>
      <c r="BE1032" s="101">
        <f t="shared" si="338"/>
        <v>0</v>
      </c>
      <c r="BF1032" s="101">
        <f t="shared" si="338"/>
        <v>0</v>
      </c>
      <c r="BG1032" s="101">
        <f t="shared" si="338"/>
        <v>0</v>
      </c>
      <c r="BH1032" s="101">
        <f t="shared" si="338"/>
        <v>0</v>
      </c>
      <c r="BI1032" s="101">
        <f t="shared" si="338"/>
        <v>0</v>
      </c>
      <c r="BJ1032" s="101">
        <f t="shared" si="338"/>
        <v>0</v>
      </c>
      <c r="BK1032" s="101">
        <f t="shared" si="338"/>
        <v>0</v>
      </c>
      <c r="BL1032" s="101">
        <f t="shared" si="338"/>
        <v>0</v>
      </c>
      <c r="BM1032" s="101">
        <f t="shared" si="338"/>
        <v>0</v>
      </c>
      <c r="BN1032" s="101">
        <f t="shared" si="338"/>
        <v>0</v>
      </c>
      <c r="BO1032" s="101">
        <f t="shared" si="338"/>
        <v>0</v>
      </c>
      <c r="BP1032" s="101">
        <f t="shared" ref="BP1032:CP1032" si="339">Annual_AMI_valuation*Household_size_multiplier</f>
        <v>0</v>
      </c>
      <c r="BQ1032" s="101">
        <f t="shared" si="339"/>
        <v>0</v>
      </c>
      <c r="BR1032" s="101">
        <f t="shared" si="339"/>
        <v>0</v>
      </c>
      <c r="BS1032" s="101">
        <f t="shared" si="339"/>
        <v>0</v>
      </c>
      <c r="BT1032" s="101">
        <f t="shared" si="339"/>
        <v>0</v>
      </c>
      <c r="BU1032" s="101">
        <f t="shared" si="339"/>
        <v>0</v>
      </c>
      <c r="BV1032" s="101">
        <f t="shared" si="339"/>
        <v>0</v>
      </c>
      <c r="BW1032" s="101">
        <f t="shared" si="339"/>
        <v>0</v>
      </c>
      <c r="BX1032" s="101">
        <f t="shared" si="339"/>
        <v>0</v>
      </c>
      <c r="BY1032" s="101">
        <f t="shared" si="339"/>
        <v>0</v>
      </c>
      <c r="BZ1032" s="101">
        <f t="shared" si="339"/>
        <v>0</v>
      </c>
      <c r="CA1032" s="101">
        <f t="shared" si="339"/>
        <v>0</v>
      </c>
      <c r="CB1032" s="101">
        <f t="shared" si="339"/>
        <v>0</v>
      </c>
      <c r="CC1032" s="101">
        <f t="shared" si="339"/>
        <v>0</v>
      </c>
      <c r="CD1032" s="101">
        <f t="shared" si="339"/>
        <v>0</v>
      </c>
      <c r="CE1032" s="101">
        <f t="shared" si="339"/>
        <v>0</v>
      </c>
      <c r="CF1032" s="101">
        <f t="shared" si="339"/>
        <v>0</v>
      </c>
      <c r="CG1032" s="101">
        <f t="shared" si="339"/>
        <v>0</v>
      </c>
      <c r="CH1032" s="101">
        <f t="shared" si="339"/>
        <v>0</v>
      </c>
      <c r="CI1032" s="101">
        <f t="shared" si="339"/>
        <v>0</v>
      </c>
      <c r="CJ1032" s="101">
        <f t="shared" si="339"/>
        <v>0</v>
      </c>
      <c r="CK1032" s="101">
        <f t="shared" si="339"/>
        <v>0</v>
      </c>
      <c r="CL1032" s="101">
        <f t="shared" si="339"/>
        <v>0</v>
      </c>
      <c r="CM1032" s="101">
        <f t="shared" si="339"/>
        <v>0</v>
      </c>
      <c r="CN1032" s="101">
        <f t="shared" si="339"/>
        <v>0</v>
      </c>
      <c r="CO1032" s="101">
        <f t="shared" si="339"/>
        <v>0</v>
      </c>
      <c r="CP1032" s="101">
        <f t="shared" si="339"/>
        <v>0</v>
      </c>
      <c r="CQ1032" s="3" t="s">
        <v>339</v>
      </c>
    </row>
    <row r="1033" spans="1:95" ht="14.5" x14ac:dyDescent="0.35">
      <c r="A1033" s="102"/>
      <c r="B1033" s="102" t="s">
        <v>149</v>
      </c>
      <c r="C1033" s="102"/>
      <c r="D1033" s="101">
        <f t="shared" ref="D1033:AI1033" si="340">Annual_stroke_valuation*Household_size_multiplier</f>
        <v>0</v>
      </c>
      <c r="E1033" s="101">
        <f t="shared" si="340"/>
        <v>0</v>
      </c>
      <c r="F1033" s="101">
        <f t="shared" si="340"/>
        <v>0</v>
      </c>
      <c r="G1033" s="101">
        <f t="shared" si="340"/>
        <v>0</v>
      </c>
      <c r="H1033" s="101">
        <f t="shared" si="340"/>
        <v>0</v>
      </c>
      <c r="I1033" s="101">
        <f>Annual_stroke_valuation*Household_size_multiplier</f>
        <v>0</v>
      </c>
      <c r="J1033" s="101">
        <f t="shared" si="340"/>
        <v>0</v>
      </c>
      <c r="K1033" s="101">
        <f t="shared" si="340"/>
        <v>0</v>
      </c>
      <c r="L1033" s="101">
        <f t="shared" si="340"/>
        <v>0</v>
      </c>
      <c r="M1033" s="101">
        <f t="shared" si="340"/>
        <v>0</v>
      </c>
      <c r="N1033" s="101">
        <f t="shared" si="340"/>
        <v>0</v>
      </c>
      <c r="O1033" s="101">
        <f t="shared" si="340"/>
        <v>0</v>
      </c>
      <c r="P1033" s="101">
        <f t="shared" si="340"/>
        <v>0</v>
      </c>
      <c r="Q1033" s="101">
        <f t="shared" si="340"/>
        <v>0</v>
      </c>
      <c r="R1033" s="101">
        <f t="shared" si="340"/>
        <v>0</v>
      </c>
      <c r="S1033" s="101">
        <f t="shared" si="340"/>
        <v>0</v>
      </c>
      <c r="T1033" s="101">
        <f t="shared" si="340"/>
        <v>0</v>
      </c>
      <c r="U1033" s="101">
        <f t="shared" si="340"/>
        <v>0</v>
      </c>
      <c r="V1033" s="101">
        <f t="shared" si="340"/>
        <v>0</v>
      </c>
      <c r="W1033" s="101">
        <f t="shared" si="340"/>
        <v>0</v>
      </c>
      <c r="X1033" s="101">
        <f t="shared" si="340"/>
        <v>0</v>
      </c>
      <c r="Y1033" s="101">
        <f t="shared" si="340"/>
        <v>0</v>
      </c>
      <c r="Z1033" s="101">
        <f t="shared" si="340"/>
        <v>0</v>
      </c>
      <c r="AA1033" s="101">
        <f t="shared" si="340"/>
        <v>0</v>
      </c>
      <c r="AB1033" s="101">
        <f t="shared" si="340"/>
        <v>0</v>
      </c>
      <c r="AC1033" s="101">
        <f t="shared" si="340"/>
        <v>0</v>
      </c>
      <c r="AD1033" s="101">
        <f t="shared" si="340"/>
        <v>0</v>
      </c>
      <c r="AE1033" s="101">
        <f t="shared" si="340"/>
        <v>0</v>
      </c>
      <c r="AF1033" s="101">
        <f t="shared" si="340"/>
        <v>0</v>
      </c>
      <c r="AG1033" s="101">
        <f t="shared" si="340"/>
        <v>0</v>
      </c>
      <c r="AH1033" s="101">
        <f t="shared" si="340"/>
        <v>0</v>
      </c>
      <c r="AI1033" s="101">
        <f t="shared" si="340"/>
        <v>0</v>
      </c>
      <c r="AJ1033" s="101">
        <f t="shared" ref="AJ1033:BO1033" si="341">Annual_stroke_valuation*Household_size_multiplier</f>
        <v>0</v>
      </c>
      <c r="AK1033" s="101">
        <f t="shared" si="341"/>
        <v>0</v>
      </c>
      <c r="AL1033" s="101">
        <f t="shared" si="341"/>
        <v>0</v>
      </c>
      <c r="AM1033" s="101">
        <f t="shared" si="341"/>
        <v>0</v>
      </c>
      <c r="AN1033" s="101">
        <f t="shared" si="341"/>
        <v>0</v>
      </c>
      <c r="AO1033" s="101">
        <f t="shared" si="341"/>
        <v>0</v>
      </c>
      <c r="AP1033" s="101">
        <f t="shared" si="341"/>
        <v>0</v>
      </c>
      <c r="AQ1033" s="101">
        <f t="shared" si="341"/>
        <v>0</v>
      </c>
      <c r="AR1033" s="101">
        <f t="shared" si="341"/>
        <v>0</v>
      </c>
      <c r="AS1033" s="101">
        <f t="shared" si="341"/>
        <v>0</v>
      </c>
      <c r="AT1033" s="101">
        <f t="shared" si="341"/>
        <v>0</v>
      </c>
      <c r="AU1033" s="101">
        <f t="shared" si="341"/>
        <v>0</v>
      </c>
      <c r="AV1033" s="101">
        <f t="shared" si="341"/>
        <v>0</v>
      </c>
      <c r="AW1033" s="101">
        <f t="shared" si="341"/>
        <v>0</v>
      </c>
      <c r="AX1033" s="101">
        <f t="shared" si="341"/>
        <v>0</v>
      </c>
      <c r="AY1033" s="101">
        <f t="shared" si="341"/>
        <v>0</v>
      </c>
      <c r="AZ1033" s="101">
        <f t="shared" si="341"/>
        <v>0</v>
      </c>
      <c r="BA1033" s="101">
        <f t="shared" si="341"/>
        <v>0</v>
      </c>
      <c r="BB1033" s="101">
        <f t="shared" si="341"/>
        <v>0</v>
      </c>
      <c r="BC1033" s="101">
        <f t="shared" si="341"/>
        <v>0</v>
      </c>
      <c r="BD1033" s="101">
        <f t="shared" si="341"/>
        <v>0</v>
      </c>
      <c r="BE1033" s="101">
        <f t="shared" si="341"/>
        <v>0</v>
      </c>
      <c r="BF1033" s="101">
        <f t="shared" si="341"/>
        <v>0</v>
      </c>
      <c r="BG1033" s="101">
        <f t="shared" si="341"/>
        <v>0</v>
      </c>
      <c r="BH1033" s="101">
        <f t="shared" si="341"/>
        <v>0</v>
      </c>
      <c r="BI1033" s="101">
        <f t="shared" si="341"/>
        <v>0</v>
      </c>
      <c r="BJ1033" s="101">
        <f t="shared" si="341"/>
        <v>0</v>
      </c>
      <c r="BK1033" s="101">
        <f t="shared" si="341"/>
        <v>0</v>
      </c>
      <c r="BL1033" s="101">
        <f t="shared" si="341"/>
        <v>0</v>
      </c>
      <c r="BM1033" s="101">
        <f t="shared" si="341"/>
        <v>0</v>
      </c>
      <c r="BN1033" s="101">
        <f t="shared" si="341"/>
        <v>0</v>
      </c>
      <c r="BO1033" s="101">
        <f t="shared" si="341"/>
        <v>0</v>
      </c>
      <c r="BP1033" s="101">
        <f t="shared" ref="BP1033:CP1033" si="342">Annual_stroke_valuation*Household_size_multiplier</f>
        <v>0</v>
      </c>
      <c r="BQ1033" s="101">
        <f t="shared" si="342"/>
        <v>0</v>
      </c>
      <c r="BR1033" s="101">
        <f t="shared" si="342"/>
        <v>0</v>
      </c>
      <c r="BS1033" s="101">
        <f t="shared" si="342"/>
        <v>0</v>
      </c>
      <c r="BT1033" s="101">
        <f t="shared" si="342"/>
        <v>0</v>
      </c>
      <c r="BU1033" s="101">
        <f t="shared" si="342"/>
        <v>0</v>
      </c>
      <c r="BV1033" s="101">
        <f t="shared" si="342"/>
        <v>0</v>
      </c>
      <c r="BW1033" s="101">
        <f t="shared" si="342"/>
        <v>0</v>
      </c>
      <c r="BX1033" s="101">
        <f t="shared" si="342"/>
        <v>0</v>
      </c>
      <c r="BY1033" s="101">
        <f t="shared" si="342"/>
        <v>0</v>
      </c>
      <c r="BZ1033" s="101">
        <f t="shared" si="342"/>
        <v>0</v>
      </c>
      <c r="CA1033" s="101">
        <f t="shared" si="342"/>
        <v>0</v>
      </c>
      <c r="CB1033" s="101">
        <f t="shared" si="342"/>
        <v>0</v>
      </c>
      <c r="CC1033" s="101">
        <f t="shared" si="342"/>
        <v>0</v>
      </c>
      <c r="CD1033" s="101">
        <f t="shared" si="342"/>
        <v>0</v>
      </c>
      <c r="CE1033" s="101">
        <f t="shared" si="342"/>
        <v>0</v>
      </c>
      <c r="CF1033" s="101">
        <f t="shared" si="342"/>
        <v>0</v>
      </c>
      <c r="CG1033" s="101">
        <f t="shared" si="342"/>
        <v>0</v>
      </c>
      <c r="CH1033" s="101">
        <f t="shared" si="342"/>
        <v>0</v>
      </c>
      <c r="CI1033" s="101">
        <f t="shared" si="342"/>
        <v>0</v>
      </c>
      <c r="CJ1033" s="101">
        <f t="shared" si="342"/>
        <v>0</v>
      </c>
      <c r="CK1033" s="101">
        <f t="shared" si="342"/>
        <v>0</v>
      </c>
      <c r="CL1033" s="101">
        <f t="shared" si="342"/>
        <v>0</v>
      </c>
      <c r="CM1033" s="101">
        <f t="shared" si="342"/>
        <v>0</v>
      </c>
      <c r="CN1033" s="101">
        <f t="shared" si="342"/>
        <v>0</v>
      </c>
      <c r="CO1033" s="101">
        <f t="shared" si="342"/>
        <v>0</v>
      </c>
      <c r="CP1033" s="101">
        <f t="shared" si="342"/>
        <v>0</v>
      </c>
      <c r="CQ1033" s="3" t="s">
        <v>340</v>
      </c>
    </row>
    <row r="1034" spans="1:95" ht="14.5" x14ac:dyDescent="0.35">
      <c r="A1034" s="102"/>
      <c r="B1034" s="102" t="s">
        <v>151</v>
      </c>
      <c r="C1034" s="102"/>
      <c r="D1034" s="101">
        <f t="shared" ref="D1034:AI1034" si="343">Annual_dementia_valuation*Household_size_multiplier</f>
        <v>0</v>
      </c>
      <c r="E1034" s="101">
        <f t="shared" si="343"/>
        <v>0</v>
      </c>
      <c r="F1034" s="101">
        <f t="shared" si="343"/>
        <v>0</v>
      </c>
      <c r="G1034" s="101">
        <f t="shared" si="343"/>
        <v>0</v>
      </c>
      <c r="H1034" s="101">
        <f t="shared" si="343"/>
        <v>0</v>
      </c>
      <c r="I1034" s="101">
        <f t="shared" si="343"/>
        <v>0</v>
      </c>
      <c r="J1034" s="101">
        <f t="shared" si="343"/>
        <v>0</v>
      </c>
      <c r="K1034" s="101">
        <f t="shared" si="343"/>
        <v>0</v>
      </c>
      <c r="L1034" s="101">
        <f t="shared" si="343"/>
        <v>0</v>
      </c>
      <c r="M1034" s="101">
        <f t="shared" si="343"/>
        <v>0</v>
      </c>
      <c r="N1034" s="101">
        <f t="shared" si="343"/>
        <v>0</v>
      </c>
      <c r="O1034" s="101">
        <f t="shared" si="343"/>
        <v>0</v>
      </c>
      <c r="P1034" s="101">
        <f t="shared" si="343"/>
        <v>0</v>
      </c>
      <c r="Q1034" s="101">
        <f t="shared" si="343"/>
        <v>0</v>
      </c>
      <c r="R1034" s="101">
        <f t="shared" si="343"/>
        <v>0</v>
      </c>
      <c r="S1034" s="101">
        <f t="shared" si="343"/>
        <v>0</v>
      </c>
      <c r="T1034" s="101">
        <f t="shared" si="343"/>
        <v>0</v>
      </c>
      <c r="U1034" s="101">
        <f t="shared" si="343"/>
        <v>0</v>
      </c>
      <c r="V1034" s="101">
        <f t="shared" si="343"/>
        <v>0</v>
      </c>
      <c r="W1034" s="101">
        <f t="shared" si="343"/>
        <v>0</v>
      </c>
      <c r="X1034" s="101">
        <f t="shared" si="343"/>
        <v>0</v>
      </c>
      <c r="Y1034" s="101">
        <f t="shared" si="343"/>
        <v>0</v>
      </c>
      <c r="Z1034" s="101">
        <f t="shared" si="343"/>
        <v>0</v>
      </c>
      <c r="AA1034" s="101">
        <f t="shared" si="343"/>
        <v>0</v>
      </c>
      <c r="AB1034" s="101">
        <f t="shared" si="343"/>
        <v>0</v>
      </c>
      <c r="AC1034" s="101">
        <f t="shared" si="343"/>
        <v>0</v>
      </c>
      <c r="AD1034" s="101">
        <f t="shared" si="343"/>
        <v>0</v>
      </c>
      <c r="AE1034" s="101">
        <f t="shared" si="343"/>
        <v>0</v>
      </c>
      <c r="AF1034" s="101">
        <f t="shared" si="343"/>
        <v>0</v>
      </c>
      <c r="AG1034" s="101">
        <f t="shared" si="343"/>
        <v>0</v>
      </c>
      <c r="AH1034" s="101">
        <f t="shared" si="343"/>
        <v>0</v>
      </c>
      <c r="AI1034" s="101">
        <f t="shared" si="343"/>
        <v>0</v>
      </c>
      <c r="AJ1034" s="101">
        <f t="shared" ref="AJ1034:BO1034" si="344">Annual_dementia_valuation*Household_size_multiplier</f>
        <v>0</v>
      </c>
      <c r="AK1034" s="101">
        <f t="shared" si="344"/>
        <v>0</v>
      </c>
      <c r="AL1034" s="101">
        <f t="shared" si="344"/>
        <v>0</v>
      </c>
      <c r="AM1034" s="101">
        <f t="shared" si="344"/>
        <v>0</v>
      </c>
      <c r="AN1034" s="101">
        <f t="shared" si="344"/>
        <v>0</v>
      </c>
      <c r="AO1034" s="101">
        <f t="shared" si="344"/>
        <v>0</v>
      </c>
      <c r="AP1034" s="101">
        <f t="shared" si="344"/>
        <v>0</v>
      </c>
      <c r="AQ1034" s="101">
        <f t="shared" si="344"/>
        <v>0</v>
      </c>
      <c r="AR1034" s="101">
        <f t="shared" si="344"/>
        <v>0</v>
      </c>
      <c r="AS1034" s="101">
        <f t="shared" si="344"/>
        <v>0</v>
      </c>
      <c r="AT1034" s="101">
        <f t="shared" si="344"/>
        <v>0</v>
      </c>
      <c r="AU1034" s="101">
        <f t="shared" si="344"/>
        <v>0</v>
      </c>
      <c r="AV1034" s="101">
        <f t="shared" si="344"/>
        <v>0</v>
      </c>
      <c r="AW1034" s="101">
        <f t="shared" si="344"/>
        <v>0</v>
      </c>
      <c r="AX1034" s="101">
        <f t="shared" si="344"/>
        <v>0</v>
      </c>
      <c r="AY1034" s="101">
        <f t="shared" si="344"/>
        <v>0</v>
      </c>
      <c r="AZ1034" s="101">
        <f t="shared" si="344"/>
        <v>0</v>
      </c>
      <c r="BA1034" s="101">
        <f t="shared" si="344"/>
        <v>0</v>
      </c>
      <c r="BB1034" s="101">
        <f t="shared" si="344"/>
        <v>0</v>
      </c>
      <c r="BC1034" s="101">
        <f t="shared" si="344"/>
        <v>0</v>
      </c>
      <c r="BD1034" s="101">
        <f t="shared" si="344"/>
        <v>0</v>
      </c>
      <c r="BE1034" s="101">
        <f t="shared" si="344"/>
        <v>0</v>
      </c>
      <c r="BF1034" s="101">
        <f t="shared" si="344"/>
        <v>0</v>
      </c>
      <c r="BG1034" s="101">
        <f t="shared" si="344"/>
        <v>0</v>
      </c>
      <c r="BH1034" s="101">
        <f t="shared" si="344"/>
        <v>0</v>
      </c>
      <c r="BI1034" s="101">
        <f t="shared" si="344"/>
        <v>0</v>
      </c>
      <c r="BJ1034" s="101">
        <f t="shared" si="344"/>
        <v>0</v>
      </c>
      <c r="BK1034" s="101">
        <f t="shared" si="344"/>
        <v>0</v>
      </c>
      <c r="BL1034" s="101">
        <f t="shared" si="344"/>
        <v>0</v>
      </c>
      <c r="BM1034" s="101">
        <f t="shared" si="344"/>
        <v>0</v>
      </c>
      <c r="BN1034" s="101">
        <f t="shared" si="344"/>
        <v>0</v>
      </c>
      <c r="BO1034" s="101">
        <f t="shared" si="344"/>
        <v>0</v>
      </c>
      <c r="BP1034" s="101">
        <f t="shared" ref="BP1034:CP1034" si="345">Annual_dementia_valuation*Household_size_multiplier</f>
        <v>0</v>
      </c>
      <c r="BQ1034" s="101">
        <f t="shared" si="345"/>
        <v>0</v>
      </c>
      <c r="BR1034" s="101">
        <f t="shared" si="345"/>
        <v>0</v>
      </c>
      <c r="BS1034" s="101">
        <f t="shared" si="345"/>
        <v>0</v>
      </c>
      <c r="BT1034" s="101">
        <f t="shared" si="345"/>
        <v>0</v>
      </c>
      <c r="BU1034" s="101">
        <f t="shared" si="345"/>
        <v>0</v>
      </c>
      <c r="BV1034" s="101">
        <f t="shared" si="345"/>
        <v>0</v>
      </c>
      <c r="BW1034" s="101">
        <f t="shared" si="345"/>
        <v>0</v>
      </c>
      <c r="BX1034" s="101">
        <f t="shared" si="345"/>
        <v>0</v>
      </c>
      <c r="BY1034" s="101">
        <f t="shared" si="345"/>
        <v>0</v>
      </c>
      <c r="BZ1034" s="101">
        <f t="shared" si="345"/>
        <v>0</v>
      </c>
      <c r="CA1034" s="101">
        <f t="shared" si="345"/>
        <v>0</v>
      </c>
      <c r="CB1034" s="101">
        <f t="shared" si="345"/>
        <v>0</v>
      </c>
      <c r="CC1034" s="101">
        <f t="shared" si="345"/>
        <v>0</v>
      </c>
      <c r="CD1034" s="101">
        <f t="shared" si="345"/>
        <v>0</v>
      </c>
      <c r="CE1034" s="101">
        <f t="shared" si="345"/>
        <v>0</v>
      </c>
      <c r="CF1034" s="101">
        <f t="shared" si="345"/>
        <v>0</v>
      </c>
      <c r="CG1034" s="101">
        <f t="shared" si="345"/>
        <v>0</v>
      </c>
      <c r="CH1034" s="101">
        <f t="shared" si="345"/>
        <v>0</v>
      </c>
      <c r="CI1034" s="101">
        <f t="shared" si="345"/>
        <v>0</v>
      </c>
      <c r="CJ1034" s="101">
        <f t="shared" si="345"/>
        <v>0</v>
      </c>
      <c r="CK1034" s="101">
        <f t="shared" si="345"/>
        <v>0</v>
      </c>
      <c r="CL1034" s="101">
        <f t="shared" si="345"/>
        <v>0</v>
      </c>
      <c r="CM1034" s="101">
        <f t="shared" si="345"/>
        <v>0</v>
      </c>
      <c r="CN1034" s="101">
        <f t="shared" si="345"/>
        <v>0</v>
      </c>
      <c r="CO1034" s="101">
        <f t="shared" si="345"/>
        <v>0</v>
      </c>
      <c r="CP1034" s="101">
        <f t="shared" si="345"/>
        <v>0</v>
      </c>
      <c r="CQ1034" s="3" t="s">
        <v>341</v>
      </c>
    </row>
    <row r="1035" spans="1:95" ht="14.5" x14ac:dyDescent="0.35">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5" x14ac:dyDescent="0.45">
      <c r="B1036" s="2" t="s">
        <v>342</v>
      </c>
    </row>
    <row r="1037" spans="1:95" ht="14.5" x14ac:dyDescent="0.3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5" x14ac:dyDescent="0.35">
      <c r="B1038" s="5" t="s">
        <v>343</v>
      </c>
    </row>
    <row r="1039" spans="1:95" ht="14.5" x14ac:dyDescent="0.3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5" x14ac:dyDescent="0.35">
      <c r="A1040" s="102"/>
      <c r="B1040" s="102" t="s">
        <v>74</v>
      </c>
      <c r="C1040" s="104">
        <f>Current_year_in</f>
        <v>2025</v>
      </c>
      <c r="D1040" s="3" t="s">
        <v>344</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5" x14ac:dyDescent="0.35">
      <c r="A1041" s="102"/>
      <c r="B1041" s="102" t="s">
        <v>169</v>
      </c>
      <c r="C1041" s="102">
        <f>PV_base_year_in</f>
        <v>2023</v>
      </c>
      <c r="D1041" s="3" t="s">
        <v>345</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5" x14ac:dyDescent="0.35">
      <c r="A1042" s="102"/>
      <c r="B1042" s="102" t="s">
        <v>171</v>
      </c>
      <c r="C1042" s="102">
        <f>Discount_period_1_in</f>
        <v>2</v>
      </c>
      <c r="D1042" s="3" t="s">
        <v>346</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5" x14ac:dyDescent="0.35">
      <c r="A1043" s="102"/>
      <c r="B1043" s="102" t="s">
        <v>173</v>
      </c>
      <c r="C1043" s="102">
        <f>Discount_period_2_in</f>
        <v>30</v>
      </c>
      <c r="D1043" s="3" t="s">
        <v>347</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5" x14ac:dyDescent="0.35">
      <c r="A1044" s="102"/>
      <c r="B1044" s="102" t="s">
        <v>175</v>
      </c>
      <c r="C1044" s="102">
        <f>Discount_period_3_in</f>
        <v>75</v>
      </c>
      <c r="D1044" s="3" t="s">
        <v>348</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5" x14ac:dyDescent="0.3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5" x14ac:dyDescent="0.3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5" x14ac:dyDescent="0.35">
      <c r="A1047" s="102"/>
      <c r="B1047" s="3" t="s">
        <v>223</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5" x14ac:dyDescent="0.35">
      <c r="A1048" s="102"/>
      <c r="B1048" s="102" t="s">
        <v>349</v>
      </c>
      <c r="C1048" s="102"/>
      <c r="D1048" s="102">
        <f t="shared" ref="D1048" si="346">AND(year&gt;PV_base_year,year&lt;=(Current_year+Discount_period_1))*1</f>
        <v>0</v>
      </c>
      <c r="E1048" s="102">
        <f t="shared" ref="E1048:AJ1048" si="347">AND(year&gt;PV_base_year,year&lt;=(Current_year))*1</f>
        <v>0</v>
      </c>
      <c r="F1048" s="102">
        <f t="shared" si="347"/>
        <v>0</v>
      </c>
      <c r="G1048" s="102">
        <f t="shared" si="347"/>
        <v>0</v>
      </c>
      <c r="H1048" s="102">
        <f t="shared" si="347"/>
        <v>0</v>
      </c>
      <c r="I1048" s="102">
        <f t="shared" si="347"/>
        <v>0</v>
      </c>
      <c r="J1048" s="102">
        <f t="shared" si="347"/>
        <v>0</v>
      </c>
      <c r="K1048" s="102">
        <f t="shared" si="347"/>
        <v>0</v>
      </c>
      <c r="L1048" s="102">
        <f t="shared" si="347"/>
        <v>0</v>
      </c>
      <c r="M1048" s="102">
        <f t="shared" si="347"/>
        <v>0</v>
      </c>
      <c r="N1048" s="102">
        <f t="shared" si="347"/>
        <v>0</v>
      </c>
      <c r="O1048" s="102">
        <f t="shared" si="347"/>
        <v>0</v>
      </c>
      <c r="P1048" s="102">
        <f t="shared" si="347"/>
        <v>0</v>
      </c>
      <c r="Q1048" s="102">
        <f t="shared" si="347"/>
        <v>0</v>
      </c>
      <c r="R1048" s="102">
        <f t="shared" si="347"/>
        <v>1</v>
      </c>
      <c r="S1048" s="102">
        <f t="shared" si="347"/>
        <v>1</v>
      </c>
      <c r="T1048" s="102">
        <f t="shared" si="347"/>
        <v>0</v>
      </c>
      <c r="U1048" s="102">
        <f t="shared" si="347"/>
        <v>0</v>
      </c>
      <c r="V1048" s="102">
        <f t="shared" si="347"/>
        <v>0</v>
      </c>
      <c r="W1048" s="102">
        <f t="shared" si="347"/>
        <v>0</v>
      </c>
      <c r="X1048" s="102">
        <f t="shared" si="347"/>
        <v>0</v>
      </c>
      <c r="Y1048" s="102">
        <f t="shared" si="347"/>
        <v>0</v>
      </c>
      <c r="Z1048" s="102">
        <f t="shared" si="347"/>
        <v>0</v>
      </c>
      <c r="AA1048" s="102">
        <f t="shared" si="347"/>
        <v>0</v>
      </c>
      <c r="AB1048" s="102">
        <f t="shared" si="347"/>
        <v>0</v>
      </c>
      <c r="AC1048" s="102">
        <f t="shared" si="347"/>
        <v>0</v>
      </c>
      <c r="AD1048" s="102">
        <f t="shared" si="347"/>
        <v>0</v>
      </c>
      <c r="AE1048" s="102">
        <f t="shared" si="347"/>
        <v>0</v>
      </c>
      <c r="AF1048" s="102">
        <f t="shared" si="347"/>
        <v>0</v>
      </c>
      <c r="AG1048" s="102">
        <f t="shared" si="347"/>
        <v>0</v>
      </c>
      <c r="AH1048" s="102">
        <f t="shared" si="347"/>
        <v>0</v>
      </c>
      <c r="AI1048" s="102">
        <f t="shared" si="347"/>
        <v>0</v>
      </c>
      <c r="AJ1048" s="102">
        <f t="shared" si="347"/>
        <v>0</v>
      </c>
      <c r="AK1048" s="102">
        <f t="shared" ref="AK1048:BP1048" si="348">AND(year&gt;PV_base_year,year&lt;=(Current_year))*1</f>
        <v>0</v>
      </c>
      <c r="AL1048" s="102">
        <f t="shared" si="348"/>
        <v>0</v>
      </c>
      <c r="AM1048" s="102">
        <f t="shared" si="348"/>
        <v>0</v>
      </c>
      <c r="AN1048" s="102">
        <f t="shared" si="348"/>
        <v>0</v>
      </c>
      <c r="AO1048" s="102">
        <f t="shared" si="348"/>
        <v>0</v>
      </c>
      <c r="AP1048" s="102">
        <f t="shared" si="348"/>
        <v>0</v>
      </c>
      <c r="AQ1048" s="102">
        <f t="shared" si="348"/>
        <v>0</v>
      </c>
      <c r="AR1048" s="102">
        <f t="shared" si="348"/>
        <v>0</v>
      </c>
      <c r="AS1048" s="102">
        <f t="shared" si="348"/>
        <v>0</v>
      </c>
      <c r="AT1048" s="102">
        <f t="shared" si="348"/>
        <v>0</v>
      </c>
      <c r="AU1048" s="102">
        <f t="shared" si="348"/>
        <v>0</v>
      </c>
      <c r="AV1048" s="102">
        <f t="shared" si="348"/>
        <v>0</v>
      </c>
      <c r="AW1048" s="102">
        <f t="shared" si="348"/>
        <v>0</v>
      </c>
      <c r="AX1048" s="102">
        <f t="shared" si="348"/>
        <v>0</v>
      </c>
      <c r="AY1048" s="102">
        <f t="shared" si="348"/>
        <v>0</v>
      </c>
      <c r="AZ1048" s="102">
        <f t="shared" si="348"/>
        <v>0</v>
      </c>
      <c r="BA1048" s="102">
        <f t="shared" si="348"/>
        <v>0</v>
      </c>
      <c r="BB1048" s="102">
        <f t="shared" si="348"/>
        <v>0</v>
      </c>
      <c r="BC1048" s="102">
        <f t="shared" si="348"/>
        <v>0</v>
      </c>
      <c r="BD1048" s="102">
        <f t="shared" si="348"/>
        <v>0</v>
      </c>
      <c r="BE1048" s="102">
        <f t="shared" si="348"/>
        <v>0</v>
      </c>
      <c r="BF1048" s="102">
        <f t="shared" si="348"/>
        <v>0</v>
      </c>
      <c r="BG1048" s="102">
        <f t="shared" si="348"/>
        <v>0</v>
      </c>
      <c r="BH1048" s="102">
        <f t="shared" si="348"/>
        <v>0</v>
      </c>
      <c r="BI1048" s="102">
        <f t="shared" si="348"/>
        <v>0</v>
      </c>
      <c r="BJ1048" s="102">
        <f t="shared" si="348"/>
        <v>0</v>
      </c>
      <c r="BK1048" s="102">
        <f t="shared" si="348"/>
        <v>0</v>
      </c>
      <c r="BL1048" s="102">
        <f t="shared" si="348"/>
        <v>0</v>
      </c>
      <c r="BM1048" s="102">
        <f t="shared" si="348"/>
        <v>0</v>
      </c>
      <c r="BN1048" s="102">
        <f t="shared" si="348"/>
        <v>0</v>
      </c>
      <c r="BO1048" s="102">
        <f t="shared" si="348"/>
        <v>0</v>
      </c>
      <c r="BP1048" s="102">
        <f t="shared" si="348"/>
        <v>0</v>
      </c>
      <c r="BQ1048" s="102">
        <f t="shared" ref="BQ1048:CP1048" si="349">AND(year&gt;PV_base_year,year&lt;=(Current_year))*1</f>
        <v>0</v>
      </c>
      <c r="BR1048" s="102">
        <f t="shared" si="349"/>
        <v>0</v>
      </c>
      <c r="BS1048" s="102">
        <f t="shared" si="349"/>
        <v>0</v>
      </c>
      <c r="BT1048" s="102">
        <f t="shared" si="349"/>
        <v>0</v>
      </c>
      <c r="BU1048" s="102">
        <f t="shared" si="349"/>
        <v>0</v>
      </c>
      <c r="BV1048" s="102">
        <f t="shared" si="349"/>
        <v>0</v>
      </c>
      <c r="BW1048" s="102">
        <f t="shared" si="349"/>
        <v>0</v>
      </c>
      <c r="BX1048" s="102">
        <f t="shared" si="349"/>
        <v>0</v>
      </c>
      <c r="BY1048" s="102">
        <f t="shared" si="349"/>
        <v>0</v>
      </c>
      <c r="BZ1048" s="102">
        <f t="shared" si="349"/>
        <v>0</v>
      </c>
      <c r="CA1048" s="102">
        <f t="shared" si="349"/>
        <v>0</v>
      </c>
      <c r="CB1048" s="102">
        <f t="shared" si="349"/>
        <v>0</v>
      </c>
      <c r="CC1048" s="102">
        <f t="shared" si="349"/>
        <v>0</v>
      </c>
      <c r="CD1048" s="102">
        <f t="shared" si="349"/>
        <v>0</v>
      </c>
      <c r="CE1048" s="102">
        <f t="shared" si="349"/>
        <v>0</v>
      </c>
      <c r="CF1048" s="102">
        <f t="shared" si="349"/>
        <v>0</v>
      </c>
      <c r="CG1048" s="102">
        <f t="shared" si="349"/>
        <v>0</v>
      </c>
      <c r="CH1048" s="102">
        <f t="shared" si="349"/>
        <v>0</v>
      </c>
      <c r="CI1048" s="102">
        <f t="shared" si="349"/>
        <v>0</v>
      </c>
      <c r="CJ1048" s="102">
        <f t="shared" si="349"/>
        <v>0</v>
      </c>
      <c r="CK1048" s="102">
        <f t="shared" si="349"/>
        <v>0</v>
      </c>
      <c r="CL1048" s="102">
        <f t="shared" si="349"/>
        <v>0</v>
      </c>
      <c r="CM1048" s="102">
        <f t="shared" si="349"/>
        <v>0</v>
      </c>
      <c r="CN1048" s="102">
        <f t="shared" si="349"/>
        <v>0</v>
      </c>
      <c r="CO1048" s="102">
        <f t="shared" si="349"/>
        <v>0</v>
      </c>
      <c r="CP1048" s="102">
        <f t="shared" si="349"/>
        <v>0</v>
      </c>
      <c r="CQ1048" s="3" t="s">
        <v>350</v>
      </c>
    </row>
    <row r="1049" spans="1:95" ht="14.5" x14ac:dyDescent="0.35">
      <c r="A1049" s="102"/>
      <c r="B1049" s="102" t="s">
        <v>351</v>
      </c>
      <c r="C1049" s="102"/>
      <c r="D1049" s="102">
        <f t="shared" ref="D1049:AI1049" si="350">AND(year&gt;Current_year,year&lt;=Current_year+Discount_period_2)*1</f>
        <v>0</v>
      </c>
      <c r="E1049" s="102">
        <f t="shared" si="350"/>
        <v>0</v>
      </c>
      <c r="F1049" s="102">
        <f t="shared" si="350"/>
        <v>0</v>
      </c>
      <c r="G1049" s="102">
        <f t="shared" si="350"/>
        <v>0</v>
      </c>
      <c r="H1049" s="102">
        <f t="shared" si="350"/>
        <v>0</v>
      </c>
      <c r="I1049" s="102">
        <f t="shared" si="350"/>
        <v>0</v>
      </c>
      <c r="J1049" s="102">
        <f t="shared" si="350"/>
        <v>0</v>
      </c>
      <c r="K1049" s="102">
        <f t="shared" si="350"/>
        <v>0</v>
      </c>
      <c r="L1049" s="102">
        <f t="shared" si="350"/>
        <v>0</v>
      </c>
      <c r="M1049" s="102">
        <f t="shared" si="350"/>
        <v>0</v>
      </c>
      <c r="N1049" s="102">
        <f t="shared" si="350"/>
        <v>0</v>
      </c>
      <c r="O1049" s="102">
        <f t="shared" si="350"/>
        <v>0</v>
      </c>
      <c r="P1049" s="102">
        <f t="shared" si="350"/>
        <v>0</v>
      </c>
      <c r="Q1049" s="102">
        <f t="shared" si="350"/>
        <v>0</v>
      </c>
      <c r="R1049" s="102">
        <f t="shared" si="350"/>
        <v>0</v>
      </c>
      <c r="S1049" s="102">
        <f t="shared" si="350"/>
        <v>0</v>
      </c>
      <c r="T1049" s="102">
        <f t="shared" si="350"/>
        <v>1</v>
      </c>
      <c r="U1049" s="102">
        <f t="shared" si="350"/>
        <v>1</v>
      </c>
      <c r="V1049" s="102">
        <f t="shared" si="350"/>
        <v>1</v>
      </c>
      <c r="W1049" s="102">
        <f t="shared" si="350"/>
        <v>1</v>
      </c>
      <c r="X1049" s="102">
        <f t="shared" si="350"/>
        <v>1</v>
      </c>
      <c r="Y1049" s="102">
        <f t="shared" si="350"/>
        <v>1</v>
      </c>
      <c r="Z1049" s="102">
        <f t="shared" si="350"/>
        <v>1</v>
      </c>
      <c r="AA1049" s="102">
        <f t="shared" si="350"/>
        <v>1</v>
      </c>
      <c r="AB1049" s="102">
        <f t="shared" si="350"/>
        <v>1</v>
      </c>
      <c r="AC1049" s="102">
        <f t="shared" si="350"/>
        <v>1</v>
      </c>
      <c r="AD1049" s="102">
        <f t="shared" si="350"/>
        <v>1</v>
      </c>
      <c r="AE1049" s="102">
        <f t="shared" si="350"/>
        <v>1</v>
      </c>
      <c r="AF1049" s="102">
        <f t="shared" si="350"/>
        <v>1</v>
      </c>
      <c r="AG1049" s="102">
        <f t="shared" si="350"/>
        <v>1</v>
      </c>
      <c r="AH1049" s="102">
        <f t="shared" si="350"/>
        <v>1</v>
      </c>
      <c r="AI1049" s="102">
        <f t="shared" si="350"/>
        <v>1</v>
      </c>
      <c r="AJ1049" s="102">
        <f t="shared" ref="AJ1049:BO1049" si="351">AND(year&gt;Current_year,year&lt;=Current_year+Discount_period_2)*1</f>
        <v>1</v>
      </c>
      <c r="AK1049" s="102">
        <f t="shared" si="351"/>
        <v>1</v>
      </c>
      <c r="AL1049" s="102">
        <f t="shared" si="351"/>
        <v>1</v>
      </c>
      <c r="AM1049" s="102">
        <f t="shared" si="351"/>
        <v>1</v>
      </c>
      <c r="AN1049" s="102">
        <f t="shared" si="351"/>
        <v>1</v>
      </c>
      <c r="AO1049" s="102">
        <f t="shared" si="351"/>
        <v>1</v>
      </c>
      <c r="AP1049" s="102">
        <f t="shared" si="351"/>
        <v>1</v>
      </c>
      <c r="AQ1049" s="102">
        <f t="shared" si="351"/>
        <v>1</v>
      </c>
      <c r="AR1049" s="102">
        <f t="shared" si="351"/>
        <v>1</v>
      </c>
      <c r="AS1049" s="102">
        <f t="shared" si="351"/>
        <v>1</v>
      </c>
      <c r="AT1049" s="102">
        <f t="shared" si="351"/>
        <v>1</v>
      </c>
      <c r="AU1049" s="102">
        <f t="shared" si="351"/>
        <v>1</v>
      </c>
      <c r="AV1049" s="102">
        <f t="shared" si="351"/>
        <v>1</v>
      </c>
      <c r="AW1049" s="102">
        <f t="shared" si="351"/>
        <v>1</v>
      </c>
      <c r="AX1049" s="102">
        <f t="shared" si="351"/>
        <v>0</v>
      </c>
      <c r="AY1049" s="102">
        <f t="shared" si="351"/>
        <v>0</v>
      </c>
      <c r="AZ1049" s="102">
        <f t="shared" si="351"/>
        <v>0</v>
      </c>
      <c r="BA1049" s="102">
        <f t="shared" si="351"/>
        <v>0</v>
      </c>
      <c r="BB1049" s="102">
        <f t="shared" si="351"/>
        <v>0</v>
      </c>
      <c r="BC1049" s="102">
        <f t="shared" si="351"/>
        <v>0</v>
      </c>
      <c r="BD1049" s="102">
        <f t="shared" si="351"/>
        <v>0</v>
      </c>
      <c r="BE1049" s="102">
        <f t="shared" si="351"/>
        <v>0</v>
      </c>
      <c r="BF1049" s="102">
        <f t="shared" si="351"/>
        <v>0</v>
      </c>
      <c r="BG1049" s="102">
        <f t="shared" si="351"/>
        <v>0</v>
      </c>
      <c r="BH1049" s="102">
        <f t="shared" si="351"/>
        <v>0</v>
      </c>
      <c r="BI1049" s="102">
        <f t="shared" si="351"/>
        <v>0</v>
      </c>
      <c r="BJ1049" s="102">
        <f t="shared" si="351"/>
        <v>0</v>
      </c>
      <c r="BK1049" s="102">
        <f t="shared" si="351"/>
        <v>0</v>
      </c>
      <c r="BL1049" s="102">
        <f t="shared" si="351"/>
        <v>0</v>
      </c>
      <c r="BM1049" s="102">
        <f t="shared" si="351"/>
        <v>0</v>
      </c>
      <c r="BN1049" s="102">
        <f t="shared" si="351"/>
        <v>0</v>
      </c>
      <c r="BO1049" s="102">
        <f t="shared" si="351"/>
        <v>0</v>
      </c>
      <c r="BP1049" s="102">
        <f t="shared" ref="BP1049:CP1049" si="352">AND(year&gt;Current_year,year&lt;=Current_year+Discount_period_2)*1</f>
        <v>0</v>
      </c>
      <c r="BQ1049" s="102">
        <f t="shared" si="352"/>
        <v>0</v>
      </c>
      <c r="BR1049" s="102">
        <f t="shared" si="352"/>
        <v>0</v>
      </c>
      <c r="BS1049" s="102">
        <f t="shared" si="352"/>
        <v>0</v>
      </c>
      <c r="BT1049" s="102">
        <f t="shared" si="352"/>
        <v>0</v>
      </c>
      <c r="BU1049" s="102">
        <f t="shared" si="352"/>
        <v>0</v>
      </c>
      <c r="BV1049" s="102">
        <f t="shared" si="352"/>
        <v>0</v>
      </c>
      <c r="BW1049" s="102">
        <f t="shared" si="352"/>
        <v>0</v>
      </c>
      <c r="BX1049" s="102">
        <f t="shared" si="352"/>
        <v>0</v>
      </c>
      <c r="BY1049" s="102">
        <f t="shared" si="352"/>
        <v>0</v>
      </c>
      <c r="BZ1049" s="102">
        <f t="shared" si="352"/>
        <v>0</v>
      </c>
      <c r="CA1049" s="102">
        <f t="shared" si="352"/>
        <v>0</v>
      </c>
      <c r="CB1049" s="102">
        <f t="shared" si="352"/>
        <v>0</v>
      </c>
      <c r="CC1049" s="102">
        <f t="shared" si="352"/>
        <v>0</v>
      </c>
      <c r="CD1049" s="102">
        <f t="shared" si="352"/>
        <v>0</v>
      </c>
      <c r="CE1049" s="102">
        <f t="shared" si="352"/>
        <v>0</v>
      </c>
      <c r="CF1049" s="102">
        <f t="shared" si="352"/>
        <v>0</v>
      </c>
      <c r="CG1049" s="102">
        <f t="shared" si="352"/>
        <v>0</v>
      </c>
      <c r="CH1049" s="102">
        <f t="shared" si="352"/>
        <v>0</v>
      </c>
      <c r="CI1049" s="102">
        <f t="shared" si="352"/>
        <v>0</v>
      </c>
      <c r="CJ1049" s="102">
        <f t="shared" si="352"/>
        <v>0</v>
      </c>
      <c r="CK1049" s="102">
        <f t="shared" si="352"/>
        <v>0</v>
      </c>
      <c r="CL1049" s="102">
        <f t="shared" si="352"/>
        <v>0</v>
      </c>
      <c r="CM1049" s="102">
        <f t="shared" si="352"/>
        <v>0</v>
      </c>
      <c r="CN1049" s="102">
        <f t="shared" si="352"/>
        <v>0</v>
      </c>
      <c r="CO1049" s="102">
        <f t="shared" si="352"/>
        <v>0</v>
      </c>
      <c r="CP1049" s="102">
        <f t="shared" si="352"/>
        <v>0</v>
      </c>
      <c r="CQ1049" s="3" t="s">
        <v>352</v>
      </c>
    </row>
    <row r="1050" spans="1:95" ht="14.5" x14ac:dyDescent="0.35">
      <c r="A1050" s="102"/>
      <c r="B1050" s="102" t="s">
        <v>353</v>
      </c>
      <c r="C1050" s="102"/>
      <c r="D1050" s="102">
        <f t="shared" ref="D1050:AI1050" si="353">AND(year&gt;Current_year+Discount_period_2,year&lt;=Current_year+Discount_period_3)*1</f>
        <v>0</v>
      </c>
      <c r="E1050" s="102">
        <f t="shared" si="353"/>
        <v>0</v>
      </c>
      <c r="F1050" s="102">
        <f t="shared" si="353"/>
        <v>0</v>
      </c>
      <c r="G1050" s="102">
        <f t="shared" si="353"/>
        <v>0</v>
      </c>
      <c r="H1050" s="102">
        <f t="shared" si="353"/>
        <v>0</v>
      </c>
      <c r="I1050" s="102">
        <f t="shared" si="353"/>
        <v>0</v>
      </c>
      <c r="J1050" s="102">
        <f t="shared" si="353"/>
        <v>0</v>
      </c>
      <c r="K1050" s="102">
        <f t="shared" si="353"/>
        <v>0</v>
      </c>
      <c r="L1050" s="102">
        <f t="shared" si="353"/>
        <v>0</v>
      </c>
      <c r="M1050" s="102">
        <f t="shared" si="353"/>
        <v>0</v>
      </c>
      <c r="N1050" s="102">
        <f t="shared" si="353"/>
        <v>0</v>
      </c>
      <c r="O1050" s="102">
        <f t="shared" si="353"/>
        <v>0</v>
      </c>
      <c r="P1050" s="102">
        <f t="shared" si="353"/>
        <v>0</v>
      </c>
      <c r="Q1050" s="102">
        <f t="shared" si="353"/>
        <v>0</v>
      </c>
      <c r="R1050" s="102">
        <f t="shared" si="353"/>
        <v>0</v>
      </c>
      <c r="S1050" s="102">
        <f t="shared" si="353"/>
        <v>0</v>
      </c>
      <c r="T1050" s="102">
        <f t="shared" si="353"/>
        <v>0</v>
      </c>
      <c r="U1050" s="102">
        <f t="shared" si="353"/>
        <v>0</v>
      </c>
      <c r="V1050" s="102">
        <f t="shared" si="353"/>
        <v>0</v>
      </c>
      <c r="W1050" s="102">
        <f t="shared" si="353"/>
        <v>0</v>
      </c>
      <c r="X1050" s="102">
        <f t="shared" si="353"/>
        <v>0</v>
      </c>
      <c r="Y1050" s="102">
        <f t="shared" si="353"/>
        <v>0</v>
      </c>
      <c r="Z1050" s="102">
        <f t="shared" si="353"/>
        <v>0</v>
      </c>
      <c r="AA1050" s="102">
        <f t="shared" si="353"/>
        <v>0</v>
      </c>
      <c r="AB1050" s="102">
        <f t="shared" si="353"/>
        <v>0</v>
      </c>
      <c r="AC1050" s="102">
        <f t="shared" si="353"/>
        <v>0</v>
      </c>
      <c r="AD1050" s="102">
        <f t="shared" si="353"/>
        <v>0</v>
      </c>
      <c r="AE1050" s="102">
        <f t="shared" si="353"/>
        <v>0</v>
      </c>
      <c r="AF1050" s="102">
        <f t="shared" si="353"/>
        <v>0</v>
      </c>
      <c r="AG1050" s="102">
        <f t="shared" si="353"/>
        <v>0</v>
      </c>
      <c r="AH1050" s="102">
        <f t="shared" si="353"/>
        <v>0</v>
      </c>
      <c r="AI1050" s="102">
        <f t="shared" si="353"/>
        <v>0</v>
      </c>
      <c r="AJ1050" s="102">
        <f t="shared" ref="AJ1050:BO1050" si="354">AND(year&gt;Current_year+Discount_period_2,year&lt;=Current_year+Discount_period_3)*1</f>
        <v>0</v>
      </c>
      <c r="AK1050" s="102">
        <f t="shared" si="354"/>
        <v>0</v>
      </c>
      <c r="AL1050" s="102">
        <f t="shared" si="354"/>
        <v>0</v>
      </c>
      <c r="AM1050" s="102">
        <f t="shared" si="354"/>
        <v>0</v>
      </c>
      <c r="AN1050" s="102">
        <f t="shared" si="354"/>
        <v>0</v>
      </c>
      <c r="AO1050" s="102">
        <f t="shared" si="354"/>
        <v>0</v>
      </c>
      <c r="AP1050" s="102">
        <f t="shared" si="354"/>
        <v>0</v>
      </c>
      <c r="AQ1050" s="102">
        <f t="shared" si="354"/>
        <v>0</v>
      </c>
      <c r="AR1050" s="102">
        <f t="shared" si="354"/>
        <v>0</v>
      </c>
      <c r="AS1050" s="102">
        <f t="shared" si="354"/>
        <v>0</v>
      </c>
      <c r="AT1050" s="102">
        <f t="shared" si="354"/>
        <v>0</v>
      </c>
      <c r="AU1050" s="102">
        <f t="shared" si="354"/>
        <v>0</v>
      </c>
      <c r="AV1050" s="102">
        <f t="shared" si="354"/>
        <v>0</v>
      </c>
      <c r="AW1050" s="102">
        <f t="shared" si="354"/>
        <v>0</v>
      </c>
      <c r="AX1050" s="102">
        <f t="shared" si="354"/>
        <v>1</v>
      </c>
      <c r="AY1050" s="102">
        <f t="shared" si="354"/>
        <v>1</v>
      </c>
      <c r="AZ1050" s="102">
        <f t="shared" si="354"/>
        <v>1</v>
      </c>
      <c r="BA1050" s="102">
        <f t="shared" si="354"/>
        <v>1</v>
      </c>
      <c r="BB1050" s="102">
        <f t="shared" si="354"/>
        <v>1</v>
      </c>
      <c r="BC1050" s="102">
        <f t="shared" si="354"/>
        <v>1</v>
      </c>
      <c r="BD1050" s="102">
        <f t="shared" si="354"/>
        <v>1</v>
      </c>
      <c r="BE1050" s="102">
        <f t="shared" si="354"/>
        <v>1</v>
      </c>
      <c r="BF1050" s="102">
        <f t="shared" si="354"/>
        <v>1</v>
      </c>
      <c r="BG1050" s="102">
        <f t="shared" si="354"/>
        <v>1</v>
      </c>
      <c r="BH1050" s="102">
        <f t="shared" si="354"/>
        <v>1</v>
      </c>
      <c r="BI1050" s="102">
        <f t="shared" si="354"/>
        <v>1</v>
      </c>
      <c r="BJ1050" s="102">
        <f t="shared" si="354"/>
        <v>1</v>
      </c>
      <c r="BK1050" s="102">
        <f t="shared" si="354"/>
        <v>1</v>
      </c>
      <c r="BL1050" s="102">
        <f t="shared" si="354"/>
        <v>1</v>
      </c>
      <c r="BM1050" s="102">
        <f t="shared" si="354"/>
        <v>1</v>
      </c>
      <c r="BN1050" s="102">
        <f t="shared" si="354"/>
        <v>1</v>
      </c>
      <c r="BO1050" s="102">
        <f t="shared" si="354"/>
        <v>1</v>
      </c>
      <c r="BP1050" s="102">
        <f t="shared" ref="BP1050:CP1050" si="355">AND(year&gt;Current_year+Discount_period_2,year&lt;=Current_year+Discount_period_3)*1</f>
        <v>1</v>
      </c>
      <c r="BQ1050" s="102">
        <f t="shared" si="355"/>
        <v>1</v>
      </c>
      <c r="BR1050" s="102">
        <f t="shared" si="355"/>
        <v>1</v>
      </c>
      <c r="BS1050" s="102">
        <f t="shared" si="355"/>
        <v>1</v>
      </c>
      <c r="BT1050" s="102">
        <f t="shared" si="355"/>
        <v>1</v>
      </c>
      <c r="BU1050" s="102">
        <f t="shared" si="355"/>
        <v>1</v>
      </c>
      <c r="BV1050" s="102">
        <f t="shared" si="355"/>
        <v>1</v>
      </c>
      <c r="BW1050" s="102">
        <f t="shared" si="355"/>
        <v>1</v>
      </c>
      <c r="BX1050" s="102">
        <f t="shared" si="355"/>
        <v>1</v>
      </c>
      <c r="BY1050" s="102">
        <f t="shared" si="355"/>
        <v>1</v>
      </c>
      <c r="BZ1050" s="102">
        <f t="shared" si="355"/>
        <v>1</v>
      </c>
      <c r="CA1050" s="102">
        <f t="shared" si="355"/>
        <v>1</v>
      </c>
      <c r="CB1050" s="102">
        <f t="shared" si="355"/>
        <v>1</v>
      </c>
      <c r="CC1050" s="102">
        <f t="shared" si="355"/>
        <v>1</v>
      </c>
      <c r="CD1050" s="102">
        <f t="shared" si="355"/>
        <v>1</v>
      </c>
      <c r="CE1050" s="102">
        <f t="shared" si="355"/>
        <v>1</v>
      </c>
      <c r="CF1050" s="102">
        <f t="shared" si="355"/>
        <v>1</v>
      </c>
      <c r="CG1050" s="102">
        <f t="shared" si="355"/>
        <v>1</v>
      </c>
      <c r="CH1050" s="102">
        <f t="shared" si="355"/>
        <v>1</v>
      </c>
      <c r="CI1050" s="102">
        <f t="shared" si="355"/>
        <v>1</v>
      </c>
      <c r="CJ1050" s="102">
        <f t="shared" si="355"/>
        <v>1</v>
      </c>
      <c r="CK1050" s="102">
        <f t="shared" si="355"/>
        <v>1</v>
      </c>
      <c r="CL1050" s="102">
        <f t="shared" si="355"/>
        <v>1</v>
      </c>
      <c r="CM1050" s="102">
        <f t="shared" si="355"/>
        <v>1</v>
      </c>
      <c r="CN1050" s="102">
        <f t="shared" si="355"/>
        <v>1</v>
      </c>
      <c r="CO1050" s="102">
        <f t="shared" si="355"/>
        <v>1</v>
      </c>
      <c r="CP1050" s="102">
        <f t="shared" si="355"/>
        <v>1</v>
      </c>
      <c r="CQ1050" s="3" t="s">
        <v>354</v>
      </c>
    </row>
    <row r="1051" spans="1:95" ht="14.5" x14ac:dyDescent="0.3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5" x14ac:dyDescent="0.35">
      <c r="B1052" s="5" t="s">
        <v>355</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2"/>
      <c r="B1054" s="102" t="s">
        <v>177</v>
      </c>
      <c r="C1054" s="123">
        <f>Discount_rate_1_in</f>
        <v>3.5000000000000003E-2</v>
      </c>
      <c r="D1054" s="3" t="s">
        <v>356</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5" x14ac:dyDescent="0.35">
      <c r="A1055" s="102"/>
      <c r="B1055" s="102" t="s">
        <v>179</v>
      </c>
      <c r="C1055" s="123">
        <f>Discount_rate_2_in</f>
        <v>0.03</v>
      </c>
      <c r="D1055" s="3" t="s">
        <v>357</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5" x14ac:dyDescent="0.35">
      <c r="A1056" s="102"/>
      <c r="B1056" s="102" t="s">
        <v>181</v>
      </c>
      <c r="C1056" s="123">
        <f>Discount_rate_3_in</f>
        <v>2.5000000000000001E-2</v>
      </c>
      <c r="D1056" s="3" t="s">
        <v>358</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5" x14ac:dyDescent="0.3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5" x14ac:dyDescent="0.3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5" x14ac:dyDescent="0.35">
      <c r="A1059" s="102"/>
      <c r="B1059" s="102" t="s">
        <v>359</v>
      </c>
      <c r="C1059" s="102"/>
      <c r="D1059" s="143">
        <f>Discount_period_1_mask*Discount_rate_1+Discount_period_2_mask*Discount_rate_2+Discount_period_3_mask*Discount_rate_3</f>
        <v>0</v>
      </c>
      <c r="E1059" s="143">
        <f t="shared" ref="E1059:AI1059" si="356">Discount_period_1_mask*Discount_rate_1+Discount_period_2_mask*Discount_rate_2+Discount_period_3_mask*Discount_rate_3</f>
        <v>0</v>
      </c>
      <c r="F1059" s="143">
        <f t="shared" si="356"/>
        <v>0</v>
      </c>
      <c r="G1059" s="143">
        <f t="shared" si="356"/>
        <v>0</v>
      </c>
      <c r="H1059" s="143">
        <f t="shared" si="356"/>
        <v>0</v>
      </c>
      <c r="I1059" s="143">
        <f t="shared" si="356"/>
        <v>0</v>
      </c>
      <c r="J1059" s="143">
        <f t="shared" si="356"/>
        <v>0</v>
      </c>
      <c r="K1059" s="143">
        <f t="shared" si="356"/>
        <v>0</v>
      </c>
      <c r="L1059" s="143">
        <f t="shared" si="356"/>
        <v>0</v>
      </c>
      <c r="M1059" s="143">
        <f t="shared" si="356"/>
        <v>0</v>
      </c>
      <c r="N1059" s="143">
        <f t="shared" si="356"/>
        <v>0</v>
      </c>
      <c r="O1059" s="143">
        <f t="shared" si="356"/>
        <v>0</v>
      </c>
      <c r="P1059" s="143">
        <f t="shared" si="356"/>
        <v>0</v>
      </c>
      <c r="Q1059" s="143">
        <f t="shared" si="356"/>
        <v>0</v>
      </c>
      <c r="R1059" s="143">
        <f t="shared" si="356"/>
        <v>3.5000000000000003E-2</v>
      </c>
      <c r="S1059" s="143">
        <f t="shared" si="356"/>
        <v>3.5000000000000003E-2</v>
      </c>
      <c r="T1059" s="143">
        <f t="shared" si="356"/>
        <v>0.03</v>
      </c>
      <c r="U1059" s="143">
        <f t="shared" si="356"/>
        <v>0.03</v>
      </c>
      <c r="V1059" s="143">
        <f t="shared" si="356"/>
        <v>0.03</v>
      </c>
      <c r="W1059" s="143">
        <f t="shared" si="356"/>
        <v>0.03</v>
      </c>
      <c r="X1059" s="143">
        <f t="shared" si="356"/>
        <v>0.03</v>
      </c>
      <c r="Y1059" s="143">
        <f t="shared" si="356"/>
        <v>0.03</v>
      </c>
      <c r="Z1059" s="143">
        <f t="shared" si="356"/>
        <v>0.03</v>
      </c>
      <c r="AA1059" s="143">
        <f t="shared" si="356"/>
        <v>0.03</v>
      </c>
      <c r="AB1059" s="143">
        <f t="shared" si="356"/>
        <v>0.03</v>
      </c>
      <c r="AC1059" s="143">
        <f t="shared" si="356"/>
        <v>0.03</v>
      </c>
      <c r="AD1059" s="143">
        <f t="shared" si="356"/>
        <v>0.03</v>
      </c>
      <c r="AE1059" s="143">
        <f t="shared" si="356"/>
        <v>0.03</v>
      </c>
      <c r="AF1059" s="143">
        <f t="shared" si="356"/>
        <v>0.03</v>
      </c>
      <c r="AG1059" s="143">
        <f t="shared" si="356"/>
        <v>0.03</v>
      </c>
      <c r="AH1059" s="143">
        <f t="shared" si="356"/>
        <v>0.03</v>
      </c>
      <c r="AI1059" s="143">
        <f t="shared" si="356"/>
        <v>0.03</v>
      </c>
      <c r="AJ1059" s="143">
        <f t="shared" ref="AJ1059:BO1059" si="357">Discount_period_1_mask*Discount_rate_1+Discount_period_2_mask*Discount_rate_2+Discount_period_3_mask*Discount_rate_3</f>
        <v>0.03</v>
      </c>
      <c r="AK1059" s="143">
        <f t="shared" si="357"/>
        <v>0.03</v>
      </c>
      <c r="AL1059" s="143">
        <f t="shared" si="357"/>
        <v>0.03</v>
      </c>
      <c r="AM1059" s="143">
        <f t="shared" si="357"/>
        <v>0.03</v>
      </c>
      <c r="AN1059" s="143">
        <f t="shared" si="357"/>
        <v>0.03</v>
      </c>
      <c r="AO1059" s="143">
        <f t="shared" si="357"/>
        <v>0.03</v>
      </c>
      <c r="AP1059" s="143">
        <f t="shared" si="357"/>
        <v>0.03</v>
      </c>
      <c r="AQ1059" s="143">
        <f t="shared" si="357"/>
        <v>0.03</v>
      </c>
      <c r="AR1059" s="143">
        <f t="shared" si="357"/>
        <v>0.03</v>
      </c>
      <c r="AS1059" s="143">
        <f t="shared" si="357"/>
        <v>0.03</v>
      </c>
      <c r="AT1059" s="143">
        <f t="shared" si="357"/>
        <v>0.03</v>
      </c>
      <c r="AU1059" s="143">
        <f t="shared" si="357"/>
        <v>0.03</v>
      </c>
      <c r="AV1059" s="143">
        <f t="shared" si="357"/>
        <v>0.03</v>
      </c>
      <c r="AW1059" s="143">
        <f t="shared" si="357"/>
        <v>0.03</v>
      </c>
      <c r="AX1059" s="143">
        <f t="shared" si="357"/>
        <v>2.5000000000000001E-2</v>
      </c>
      <c r="AY1059" s="143">
        <f t="shared" si="357"/>
        <v>2.5000000000000001E-2</v>
      </c>
      <c r="AZ1059" s="143">
        <f t="shared" si="357"/>
        <v>2.5000000000000001E-2</v>
      </c>
      <c r="BA1059" s="143">
        <f t="shared" si="357"/>
        <v>2.5000000000000001E-2</v>
      </c>
      <c r="BB1059" s="143">
        <f t="shared" si="357"/>
        <v>2.5000000000000001E-2</v>
      </c>
      <c r="BC1059" s="143">
        <f t="shared" si="357"/>
        <v>2.5000000000000001E-2</v>
      </c>
      <c r="BD1059" s="143">
        <f t="shared" si="357"/>
        <v>2.5000000000000001E-2</v>
      </c>
      <c r="BE1059" s="143">
        <f t="shared" si="357"/>
        <v>2.5000000000000001E-2</v>
      </c>
      <c r="BF1059" s="143">
        <f t="shared" si="357"/>
        <v>2.5000000000000001E-2</v>
      </c>
      <c r="BG1059" s="143">
        <f t="shared" si="357"/>
        <v>2.5000000000000001E-2</v>
      </c>
      <c r="BH1059" s="143">
        <f t="shared" si="357"/>
        <v>2.5000000000000001E-2</v>
      </c>
      <c r="BI1059" s="143">
        <f t="shared" si="357"/>
        <v>2.5000000000000001E-2</v>
      </c>
      <c r="BJ1059" s="143">
        <f t="shared" si="357"/>
        <v>2.5000000000000001E-2</v>
      </c>
      <c r="BK1059" s="143">
        <f t="shared" si="357"/>
        <v>2.5000000000000001E-2</v>
      </c>
      <c r="BL1059" s="143">
        <f t="shared" si="357"/>
        <v>2.5000000000000001E-2</v>
      </c>
      <c r="BM1059" s="143">
        <f t="shared" si="357"/>
        <v>2.5000000000000001E-2</v>
      </c>
      <c r="BN1059" s="143">
        <f t="shared" si="357"/>
        <v>2.5000000000000001E-2</v>
      </c>
      <c r="BO1059" s="143">
        <f t="shared" si="357"/>
        <v>2.5000000000000001E-2</v>
      </c>
      <c r="BP1059" s="143">
        <f t="shared" ref="BP1059:CP1059" si="358">Discount_period_1_mask*Discount_rate_1+Discount_period_2_mask*Discount_rate_2+Discount_period_3_mask*Discount_rate_3</f>
        <v>2.5000000000000001E-2</v>
      </c>
      <c r="BQ1059" s="143">
        <f t="shared" si="358"/>
        <v>2.5000000000000001E-2</v>
      </c>
      <c r="BR1059" s="143">
        <f t="shared" si="358"/>
        <v>2.5000000000000001E-2</v>
      </c>
      <c r="BS1059" s="143">
        <f t="shared" si="358"/>
        <v>2.5000000000000001E-2</v>
      </c>
      <c r="BT1059" s="143">
        <f t="shared" si="358"/>
        <v>2.5000000000000001E-2</v>
      </c>
      <c r="BU1059" s="143">
        <f t="shared" si="358"/>
        <v>2.5000000000000001E-2</v>
      </c>
      <c r="BV1059" s="143">
        <f t="shared" si="358"/>
        <v>2.5000000000000001E-2</v>
      </c>
      <c r="BW1059" s="143">
        <f t="shared" si="358"/>
        <v>2.5000000000000001E-2</v>
      </c>
      <c r="BX1059" s="143">
        <f t="shared" si="358"/>
        <v>2.5000000000000001E-2</v>
      </c>
      <c r="BY1059" s="143">
        <f t="shared" si="358"/>
        <v>2.5000000000000001E-2</v>
      </c>
      <c r="BZ1059" s="143">
        <f t="shared" si="358"/>
        <v>2.5000000000000001E-2</v>
      </c>
      <c r="CA1059" s="143">
        <f t="shared" si="358"/>
        <v>2.5000000000000001E-2</v>
      </c>
      <c r="CB1059" s="143">
        <f t="shared" si="358"/>
        <v>2.5000000000000001E-2</v>
      </c>
      <c r="CC1059" s="143">
        <f t="shared" si="358"/>
        <v>2.5000000000000001E-2</v>
      </c>
      <c r="CD1059" s="143">
        <f t="shared" si="358"/>
        <v>2.5000000000000001E-2</v>
      </c>
      <c r="CE1059" s="143">
        <f t="shared" si="358"/>
        <v>2.5000000000000001E-2</v>
      </c>
      <c r="CF1059" s="143">
        <f t="shared" si="358"/>
        <v>2.5000000000000001E-2</v>
      </c>
      <c r="CG1059" s="143">
        <f t="shared" si="358"/>
        <v>2.5000000000000001E-2</v>
      </c>
      <c r="CH1059" s="143">
        <f t="shared" si="358"/>
        <v>2.5000000000000001E-2</v>
      </c>
      <c r="CI1059" s="143">
        <f t="shared" si="358"/>
        <v>2.5000000000000001E-2</v>
      </c>
      <c r="CJ1059" s="143">
        <f t="shared" si="358"/>
        <v>2.5000000000000001E-2</v>
      </c>
      <c r="CK1059" s="143">
        <f t="shared" si="358"/>
        <v>2.5000000000000001E-2</v>
      </c>
      <c r="CL1059" s="143">
        <f t="shared" si="358"/>
        <v>2.5000000000000001E-2</v>
      </c>
      <c r="CM1059" s="143">
        <f t="shared" si="358"/>
        <v>2.5000000000000001E-2</v>
      </c>
      <c r="CN1059" s="143">
        <f t="shared" si="358"/>
        <v>2.5000000000000001E-2</v>
      </c>
      <c r="CO1059" s="143">
        <f t="shared" si="358"/>
        <v>2.5000000000000001E-2</v>
      </c>
      <c r="CP1059" s="143">
        <f t="shared" si="358"/>
        <v>2.5000000000000001E-2</v>
      </c>
      <c r="CQ1059" s="3" t="s">
        <v>360</v>
      </c>
    </row>
    <row r="1060" spans="1:95" ht="14.5" x14ac:dyDescent="0.35">
      <c r="A1060" s="102"/>
      <c r="B1060" s="102" t="s">
        <v>361</v>
      </c>
      <c r="C1060" s="102">
        <v>1</v>
      </c>
      <c r="D1060" s="120">
        <f>C1060*(1+Discount_rate_profile)</f>
        <v>1</v>
      </c>
      <c r="E1060" s="120">
        <f t="shared" ref="E1060:AI1060" si="359">D1060*(1+Discount_rate_profile)</f>
        <v>1</v>
      </c>
      <c r="F1060" s="120">
        <f t="shared" si="359"/>
        <v>1</v>
      </c>
      <c r="G1060" s="120">
        <f t="shared" si="359"/>
        <v>1</v>
      </c>
      <c r="H1060" s="120">
        <f t="shared" si="359"/>
        <v>1</v>
      </c>
      <c r="I1060" s="120">
        <f t="shared" si="359"/>
        <v>1</v>
      </c>
      <c r="J1060" s="120">
        <f t="shared" si="359"/>
        <v>1</v>
      </c>
      <c r="K1060" s="120">
        <f t="shared" si="359"/>
        <v>1</v>
      </c>
      <c r="L1060" s="120">
        <f t="shared" si="359"/>
        <v>1</v>
      </c>
      <c r="M1060" s="120">
        <f t="shared" si="359"/>
        <v>1</v>
      </c>
      <c r="N1060" s="120">
        <f t="shared" si="359"/>
        <v>1</v>
      </c>
      <c r="O1060" s="120">
        <f t="shared" si="359"/>
        <v>1</v>
      </c>
      <c r="P1060" s="120">
        <f t="shared" si="359"/>
        <v>1</v>
      </c>
      <c r="Q1060" s="120">
        <f t="shared" si="359"/>
        <v>1</v>
      </c>
      <c r="R1060" s="120">
        <f t="shared" si="359"/>
        <v>1.0349999999999999</v>
      </c>
      <c r="S1060" s="120">
        <f t="shared" si="359"/>
        <v>1.0712249999999999</v>
      </c>
      <c r="T1060" s="120">
        <f t="shared" si="359"/>
        <v>1.1033617499999999</v>
      </c>
      <c r="U1060" s="120">
        <f t="shared" si="359"/>
        <v>1.1364626025</v>
      </c>
      <c r="V1060" s="120">
        <f t="shared" si="359"/>
        <v>1.1705564805749999</v>
      </c>
      <c r="W1060" s="120">
        <f t="shared" si="359"/>
        <v>1.20567317499225</v>
      </c>
      <c r="X1060" s="120">
        <f t="shared" si="359"/>
        <v>1.2418433702420175</v>
      </c>
      <c r="Y1060" s="120">
        <f t="shared" si="359"/>
        <v>1.279098671349278</v>
      </c>
      <c r="Z1060" s="120">
        <f t="shared" si="359"/>
        <v>1.3174716314897563</v>
      </c>
      <c r="AA1060" s="120">
        <f t="shared" si="359"/>
        <v>1.356995780434449</v>
      </c>
      <c r="AB1060" s="120">
        <f t="shared" si="359"/>
        <v>1.3977056538474826</v>
      </c>
      <c r="AC1060" s="120">
        <f t="shared" si="359"/>
        <v>1.4396368234629071</v>
      </c>
      <c r="AD1060" s="120">
        <f t="shared" si="359"/>
        <v>1.4828259281667944</v>
      </c>
      <c r="AE1060" s="120">
        <f t="shared" si="359"/>
        <v>1.5273107060117983</v>
      </c>
      <c r="AF1060" s="120">
        <f t="shared" si="359"/>
        <v>1.5731300271921522</v>
      </c>
      <c r="AG1060" s="120">
        <f t="shared" si="359"/>
        <v>1.6203239280079169</v>
      </c>
      <c r="AH1060" s="120">
        <f t="shared" si="359"/>
        <v>1.6689336458481545</v>
      </c>
      <c r="AI1060" s="120">
        <f t="shared" si="359"/>
        <v>1.7190016552235992</v>
      </c>
      <c r="AJ1060" s="120">
        <f t="shared" ref="AJ1060:BO1060" si="360">AI1060*(1+Discount_rate_profile)</f>
        <v>1.7705717048803071</v>
      </c>
      <c r="AK1060" s="120">
        <f t="shared" si="360"/>
        <v>1.8236888560267164</v>
      </c>
      <c r="AL1060" s="120">
        <f t="shared" si="360"/>
        <v>1.878399521707518</v>
      </c>
      <c r="AM1060" s="120">
        <f t="shared" si="360"/>
        <v>1.9347515073587436</v>
      </c>
      <c r="AN1060" s="120">
        <f t="shared" si="360"/>
        <v>1.992794052579506</v>
      </c>
      <c r="AO1060" s="120">
        <f t="shared" si="360"/>
        <v>2.0525778741568912</v>
      </c>
      <c r="AP1060" s="120">
        <f t="shared" si="360"/>
        <v>2.1141552103815981</v>
      </c>
      <c r="AQ1060" s="120">
        <f t="shared" si="360"/>
        <v>2.1775798666930459</v>
      </c>
      <c r="AR1060" s="120">
        <f t="shared" si="360"/>
        <v>2.2429072626938376</v>
      </c>
      <c r="AS1060" s="120">
        <f t="shared" si="360"/>
        <v>2.3101944805746526</v>
      </c>
      <c r="AT1060" s="120">
        <f t="shared" si="360"/>
        <v>2.3795003149918923</v>
      </c>
      <c r="AU1060" s="120">
        <f t="shared" si="360"/>
        <v>2.4508853244416491</v>
      </c>
      <c r="AV1060" s="120">
        <f t="shared" si="360"/>
        <v>2.5244118841748988</v>
      </c>
      <c r="AW1060" s="120">
        <f t="shared" si="360"/>
        <v>2.6001442407001458</v>
      </c>
      <c r="AX1060" s="120">
        <f t="shared" si="360"/>
        <v>2.665147846717649</v>
      </c>
      <c r="AY1060" s="120">
        <f t="shared" si="360"/>
        <v>2.7317765428855902</v>
      </c>
      <c r="AZ1060" s="120">
        <f t="shared" si="360"/>
        <v>2.8000709564577297</v>
      </c>
      <c r="BA1060" s="120">
        <f t="shared" si="360"/>
        <v>2.8700727303691727</v>
      </c>
      <c r="BB1060" s="120">
        <f t="shared" si="360"/>
        <v>2.9418245486284018</v>
      </c>
      <c r="BC1060" s="120">
        <f t="shared" si="360"/>
        <v>3.0153701623441118</v>
      </c>
      <c r="BD1060" s="120">
        <f t="shared" si="360"/>
        <v>3.0907544164027145</v>
      </c>
      <c r="BE1060" s="120">
        <f t="shared" si="360"/>
        <v>3.1680232768127823</v>
      </c>
      <c r="BF1060" s="120">
        <f t="shared" si="360"/>
        <v>3.2472238587331015</v>
      </c>
      <c r="BG1060" s="120">
        <f t="shared" si="360"/>
        <v>3.3284044552014289</v>
      </c>
      <c r="BH1060" s="120">
        <f t="shared" si="360"/>
        <v>3.4116145665814646</v>
      </c>
      <c r="BI1060" s="120">
        <f t="shared" si="360"/>
        <v>3.496904930746001</v>
      </c>
      <c r="BJ1060" s="120">
        <f t="shared" si="360"/>
        <v>3.5843275540146506</v>
      </c>
      <c r="BK1060" s="120">
        <f t="shared" si="360"/>
        <v>3.6739357428650168</v>
      </c>
      <c r="BL1060" s="120">
        <f t="shared" si="360"/>
        <v>3.765784136436642</v>
      </c>
      <c r="BM1060" s="120">
        <f t="shared" si="360"/>
        <v>3.8599287398475579</v>
      </c>
      <c r="BN1060" s="120">
        <f t="shared" si="360"/>
        <v>3.9564269583437466</v>
      </c>
      <c r="BO1060" s="120">
        <f t="shared" si="360"/>
        <v>4.05533763230234</v>
      </c>
      <c r="BP1060" s="120">
        <f t="shared" ref="BP1060:CP1060" si="361">BO1060*(1+Discount_rate_profile)</f>
        <v>4.1567210731098978</v>
      </c>
      <c r="BQ1060" s="120">
        <f t="shared" si="361"/>
        <v>4.2606390999376451</v>
      </c>
      <c r="BR1060" s="120">
        <f t="shared" si="361"/>
        <v>4.3671550774360854</v>
      </c>
      <c r="BS1060" s="120">
        <f t="shared" si="361"/>
        <v>4.4763339543719871</v>
      </c>
      <c r="BT1060" s="120">
        <f t="shared" si="361"/>
        <v>4.5882423032312865</v>
      </c>
      <c r="BU1060" s="120">
        <f t="shared" si="361"/>
        <v>4.7029483608120684</v>
      </c>
      <c r="BV1060" s="120">
        <f t="shared" si="361"/>
        <v>4.8205220698323696</v>
      </c>
      <c r="BW1060" s="120">
        <f t="shared" si="361"/>
        <v>4.941035121578178</v>
      </c>
      <c r="BX1060" s="120">
        <f t="shared" si="361"/>
        <v>5.0645609996176324</v>
      </c>
      <c r="BY1060" s="120">
        <f t="shared" si="361"/>
        <v>5.1911750246080723</v>
      </c>
      <c r="BZ1060" s="120">
        <f t="shared" si="361"/>
        <v>5.3209544002232736</v>
      </c>
      <c r="CA1060" s="120">
        <f t="shared" si="361"/>
        <v>5.4539782602288547</v>
      </c>
      <c r="CB1060" s="120">
        <f t="shared" si="361"/>
        <v>5.590327716734576</v>
      </c>
      <c r="CC1060" s="120">
        <f t="shared" si="361"/>
        <v>5.7300859096529395</v>
      </c>
      <c r="CD1060" s="120">
        <f t="shared" si="361"/>
        <v>5.8733380573942622</v>
      </c>
      <c r="CE1060" s="120">
        <f t="shared" si="361"/>
        <v>6.0201715088291179</v>
      </c>
      <c r="CF1060" s="120">
        <f t="shared" si="361"/>
        <v>6.1706757965498449</v>
      </c>
      <c r="CG1060" s="120">
        <f t="shared" si="361"/>
        <v>6.3249426914635904</v>
      </c>
      <c r="CH1060" s="120">
        <f t="shared" si="361"/>
        <v>6.4830662587501795</v>
      </c>
      <c r="CI1060" s="120">
        <f t="shared" si="361"/>
        <v>6.6451429152189334</v>
      </c>
      <c r="CJ1060" s="120">
        <f t="shared" si="361"/>
        <v>6.8112714880994059</v>
      </c>
      <c r="CK1060" s="120">
        <f t="shared" si="361"/>
        <v>6.9815532753018905</v>
      </c>
      <c r="CL1060" s="120">
        <f t="shared" si="361"/>
        <v>7.1560921071844374</v>
      </c>
      <c r="CM1060" s="120">
        <f t="shared" si="361"/>
        <v>7.3349944098640476</v>
      </c>
      <c r="CN1060" s="120">
        <f t="shared" si="361"/>
        <v>7.5183692701106484</v>
      </c>
      <c r="CO1060" s="120">
        <f t="shared" si="361"/>
        <v>7.706328501863414</v>
      </c>
      <c r="CP1060" s="120">
        <f t="shared" si="361"/>
        <v>7.8989867144099986</v>
      </c>
      <c r="CQ1060" s="3" t="s">
        <v>362</v>
      </c>
    </row>
    <row r="1061" spans="1:95" ht="14.5" x14ac:dyDescent="0.3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5" x14ac:dyDescent="0.35">
      <c r="B1062" s="5" t="s">
        <v>363</v>
      </c>
    </row>
    <row r="1063" spans="1:95" ht="14.5" x14ac:dyDescent="0.35">
      <c r="A1063" s="102"/>
      <c r="B1063" s="3" t="s">
        <v>364</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5" x14ac:dyDescent="0.3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5" x14ac:dyDescent="0.3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5" x14ac:dyDescent="0.35">
      <c r="A1066" s="102"/>
      <c r="B1066" s="102" t="s">
        <v>143</v>
      </c>
      <c r="C1066" s="102"/>
      <c r="D1066" s="101">
        <f t="shared" ref="D1066:AI1066" si="362">Annual_sleep_disturbance_valuation_hh_adj/Discount_factor</f>
        <v>0</v>
      </c>
      <c r="E1066" s="101">
        <f t="shared" si="362"/>
        <v>0</v>
      </c>
      <c r="F1066" s="101">
        <f t="shared" si="362"/>
        <v>0</v>
      </c>
      <c r="G1066" s="101">
        <f t="shared" si="362"/>
        <v>0</v>
      </c>
      <c r="H1066" s="101">
        <f t="shared" si="362"/>
        <v>0</v>
      </c>
      <c r="I1066" s="101">
        <f>Annual_sleep_disturbance_valuation_hh_adj/Discount_factor</f>
        <v>0</v>
      </c>
      <c r="J1066" s="101">
        <f t="shared" si="362"/>
        <v>0</v>
      </c>
      <c r="K1066" s="101">
        <f t="shared" si="362"/>
        <v>0</v>
      </c>
      <c r="L1066" s="101">
        <f t="shared" si="362"/>
        <v>0</v>
      </c>
      <c r="M1066" s="101">
        <f t="shared" si="362"/>
        <v>0</v>
      </c>
      <c r="N1066" s="101">
        <f>Annual_sleep_disturbance_valuation_hh_adj/Discount_factor</f>
        <v>0</v>
      </c>
      <c r="O1066" s="101">
        <f t="shared" si="362"/>
        <v>0</v>
      </c>
      <c r="P1066" s="101">
        <f t="shared" si="362"/>
        <v>0</v>
      </c>
      <c r="Q1066" s="101">
        <f t="shared" si="362"/>
        <v>0</v>
      </c>
      <c r="R1066" s="101">
        <f t="shared" si="362"/>
        <v>0</v>
      </c>
      <c r="S1066" s="101">
        <f t="shared" si="362"/>
        <v>0</v>
      </c>
      <c r="T1066" s="101">
        <f t="shared" si="362"/>
        <v>0</v>
      </c>
      <c r="U1066" s="101">
        <f t="shared" si="362"/>
        <v>0</v>
      </c>
      <c r="V1066" s="101">
        <f t="shared" si="362"/>
        <v>0</v>
      </c>
      <c r="W1066" s="101">
        <f t="shared" si="362"/>
        <v>0</v>
      </c>
      <c r="X1066" s="101">
        <f t="shared" si="362"/>
        <v>0</v>
      </c>
      <c r="Y1066" s="101">
        <f t="shared" si="362"/>
        <v>0</v>
      </c>
      <c r="Z1066" s="101">
        <f t="shared" si="362"/>
        <v>0</v>
      </c>
      <c r="AA1066" s="101">
        <f t="shared" si="362"/>
        <v>0</v>
      </c>
      <c r="AB1066" s="101">
        <f t="shared" si="362"/>
        <v>0</v>
      </c>
      <c r="AC1066" s="101">
        <f t="shared" si="362"/>
        <v>0</v>
      </c>
      <c r="AD1066" s="101">
        <f t="shared" si="362"/>
        <v>0</v>
      </c>
      <c r="AE1066" s="101">
        <f t="shared" si="362"/>
        <v>0</v>
      </c>
      <c r="AF1066" s="101">
        <f t="shared" si="362"/>
        <v>0</v>
      </c>
      <c r="AG1066" s="101">
        <f t="shared" si="362"/>
        <v>0</v>
      </c>
      <c r="AH1066" s="101">
        <f t="shared" si="362"/>
        <v>0</v>
      </c>
      <c r="AI1066" s="101">
        <f t="shared" si="362"/>
        <v>0</v>
      </c>
      <c r="AJ1066" s="101">
        <f t="shared" ref="AJ1066:BO1066" si="363">Annual_sleep_disturbance_valuation_hh_adj/Discount_factor</f>
        <v>0</v>
      </c>
      <c r="AK1066" s="101">
        <f t="shared" si="363"/>
        <v>0</v>
      </c>
      <c r="AL1066" s="101">
        <f t="shared" si="363"/>
        <v>0</v>
      </c>
      <c r="AM1066" s="101">
        <f t="shared" si="363"/>
        <v>0</v>
      </c>
      <c r="AN1066" s="101">
        <f t="shared" si="363"/>
        <v>0</v>
      </c>
      <c r="AO1066" s="101">
        <f t="shared" si="363"/>
        <v>0</v>
      </c>
      <c r="AP1066" s="101">
        <f t="shared" si="363"/>
        <v>0</v>
      </c>
      <c r="AQ1066" s="101">
        <f t="shared" si="363"/>
        <v>0</v>
      </c>
      <c r="AR1066" s="101">
        <f t="shared" si="363"/>
        <v>0</v>
      </c>
      <c r="AS1066" s="101">
        <f t="shared" si="363"/>
        <v>0</v>
      </c>
      <c r="AT1066" s="101">
        <f t="shared" si="363"/>
        <v>0</v>
      </c>
      <c r="AU1066" s="101">
        <f t="shared" si="363"/>
        <v>0</v>
      </c>
      <c r="AV1066" s="101">
        <f t="shared" si="363"/>
        <v>0</v>
      </c>
      <c r="AW1066" s="101">
        <f t="shared" si="363"/>
        <v>0</v>
      </c>
      <c r="AX1066" s="101">
        <f t="shared" si="363"/>
        <v>0</v>
      </c>
      <c r="AY1066" s="101">
        <f t="shared" si="363"/>
        <v>0</v>
      </c>
      <c r="AZ1066" s="101">
        <f t="shared" si="363"/>
        <v>0</v>
      </c>
      <c r="BA1066" s="101">
        <f t="shared" si="363"/>
        <v>0</v>
      </c>
      <c r="BB1066" s="101">
        <f t="shared" si="363"/>
        <v>0</v>
      </c>
      <c r="BC1066" s="101">
        <f t="shared" si="363"/>
        <v>0</v>
      </c>
      <c r="BD1066" s="101">
        <f t="shared" si="363"/>
        <v>0</v>
      </c>
      <c r="BE1066" s="101">
        <f t="shared" si="363"/>
        <v>0</v>
      </c>
      <c r="BF1066" s="101">
        <f t="shared" si="363"/>
        <v>0</v>
      </c>
      <c r="BG1066" s="101">
        <f t="shared" si="363"/>
        <v>0</v>
      </c>
      <c r="BH1066" s="101">
        <f t="shared" si="363"/>
        <v>0</v>
      </c>
      <c r="BI1066" s="101">
        <f t="shared" si="363"/>
        <v>0</v>
      </c>
      <c r="BJ1066" s="101">
        <f t="shared" si="363"/>
        <v>0</v>
      </c>
      <c r="BK1066" s="101">
        <f t="shared" si="363"/>
        <v>0</v>
      </c>
      <c r="BL1066" s="101">
        <f t="shared" si="363"/>
        <v>0</v>
      </c>
      <c r="BM1066" s="101">
        <f t="shared" si="363"/>
        <v>0</v>
      </c>
      <c r="BN1066" s="101">
        <f t="shared" si="363"/>
        <v>0</v>
      </c>
      <c r="BO1066" s="101">
        <f t="shared" si="363"/>
        <v>0</v>
      </c>
      <c r="BP1066" s="101">
        <f t="shared" ref="BP1066:CP1066" si="364">Annual_sleep_disturbance_valuation_hh_adj/Discount_factor</f>
        <v>0</v>
      </c>
      <c r="BQ1066" s="101">
        <f t="shared" si="364"/>
        <v>0</v>
      </c>
      <c r="BR1066" s="101">
        <f t="shared" si="364"/>
        <v>0</v>
      </c>
      <c r="BS1066" s="101">
        <f t="shared" si="364"/>
        <v>0</v>
      </c>
      <c r="BT1066" s="101">
        <f t="shared" si="364"/>
        <v>0</v>
      </c>
      <c r="BU1066" s="101">
        <f t="shared" si="364"/>
        <v>0</v>
      </c>
      <c r="BV1066" s="101">
        <f t="shared" si="364"/>
        <v>0</v>
      </c>
      <c r="BW1066" s="101">
        <f t="shared" si="364"/>
        <v>0</v>
      </c>
      <c r="BX1066" s="101">
        <f t="shared" si="364"/>
        <v>0</v>
      </c>
      <c r="BY1066" s="101">
        <f t="shared" si="364"/>
        <v>0</v>
      </c>
      <c r="BZ1066" s="101">
        <f t="shared" si="364"/>
        <v>0</v>
      </c>
      <c r="CA1066" s="101">
        <f t="shared" si="364"/>
        <v>0</v>
      </c>
      <c r="CB1066" s="101">
        <f t="shared" si="364"/>
        <v>0</v>
      </c>
      <c r="CC1066" s="101">
        <f t="shared" si="364"/>
        <v>0</v>
      </c>
      <c r="CD1066" s="101">
        <f t="shared" si="364"/>
        <v>0</v>
      </c>
      <c r="CE1066" s="101">
        <f t="shared" si="364"/>
        <v>0</v>
      </c>
      <c r="CF1066" s="101">
        <f t="shared" si="364"/>
        <v>0</v>
      </c>
      <c r="CG1066" s="101">
        <f t="shared" si="364"/>
        <v>0</v>
      </c>
      <c r="CH1066" s="101">
        <f t="shared" si="364"/>
        <v>0</v>
      </c>
      <c r="CI1066" s="101">
        <f t="shared" si="364"/>
        <v>0</v>
      </c>
      <c r="CJ1066" s="101">
        <f t="shared" si="364"/>
        <v>0</v>
      </c>
      <c r="CK1066" s="101">
        <f t="shared" si="364"/>
        <v>0</v>
      </c>
      <c r="CL1066" s="101">
        <f t="shared" si="364"/>
        <v>0</v>
      </c>
      <c r="CM1066" s="101">
        <f t="shared" si="364"/>
        <v>0</v>
      </c>
      <c r="CN1066" s="101">
        <f t="shared" si="364"/>
        <v>0</v>
      </c>
      <c r="CO1066" s="101">
        <f t="shared" si="364"/>
        <v>0</v>
      </c>
      <c r="CP1066" s="101">
        <f t="shared" si="364"/>
        <v>0</v>
      </c>
      <c r="CQ1066" s="3" t="s">
        <v>365</v>
      </c>
    </row>
    <row r="1067" spans="1:95" ht="14.5" x14ac:dyDescent="0.35">
      <c r="A1067" s="102"/>
      <c r="B1067" s="102" t="s">
        <v>145</v>
      </c>
      <c r="C1067" s="102"/>
      <c r="D1067" s="101">
        <f t="shared" ref="D1067:AI1067" si="365">Annual_amenity_valuation_hh_adj/Discount_factor</f>
        <v>0</v>
      </c>
      <c r="E1067" s="101">
        <f t="shared" si="365"/>
        <v>0</v>
      </c>
      <c r="F1067" s="101">
        <f t="shared" si="365"/>
        <v>0</v>
      </c>
      <c r="G1067" s="101">
        <f t="shared" si="365"/>
        <v>0</v>
      </c>
      <c r="H1067" s="101">
        <f t="shared" si="365"/>
        <v>0</v>
      </c>
      <c r="I1067" s="101">
        <f>Annual_amenity_valuation_hh_adj/Discount_factor</f>
        <v>0</v>
      </c>
      <c r="J1067" s="101">
        <f t="shared" si="365"/>
        <v>0</v>
      </c>
      <c r="K1067" s="101">
        <f t="shared" si="365"/>
        <v>0</v>
      </c>
      <c r="L1067" s="101">
        <f t="shared" si="365"/>
        <v>0</v>
      </c>
      <c r="M1067" s="101">
        <f t="shared" si="365"/>
        <v>0</v>
      </c>
      <c r="N1067" s="101">
        <f t="shared" si="365"/>
        <v>0</v>
      </c>
      <c r="O1067" s="101">
        <f t="shared" si="365"/>
        <v>0</v>
      </c>
      <c r="P1067" s="101">
        <f t="shared" si="365"/>
        <v>0</v>
      </c>
      <c r="Q1067" s="101">
        <f t="shared" si="365"/>
        <v>0</v>
      </c>
      <c r="R1067" s="101">
        <f t="shared" si="365"/>
        <v>0</v>
      </c>
      <c r="S1067" s="101">
        <f t="shared" si="365"/>
        <v>0</v>
      </c>
      <c r="T1067" s="101">
        <f t="shared" si="365"/>
        <v>0</v>
      </c>
      <c r="U1067" s="101">
        <f t="shared" si="365"/>
        <v>0</v>
      </c>
      <c r="V1067" s="101">
        <f t="shared" si="365"/>
        <v>0</v>
      </c>
      <c r="W1067" s="101">
        <f t="shared" si="365"/>
        <v>0</v>
      </c>
      <c r="X1067" s="101">
        <f t="shared" si="365"/>
        <v>0</v>
      </c>
      <c r="Y1067" s="101">
        <f t="shared" si="365"/>
        <v>0</v>
      </c>
      <c r="Z1067" s="101">
        <f t="shared" si="365"/>
        <v>0</v>
      </c>
      <c r="AA1067" s="101">
        <f t="shared" si="365"/>
        <v>0</v>
      </c>
      <c r="AB1067" s="101">
        <f>Annual_amenity_valuation_hh_adj/Discount_factor</f>
        <v>0</v>
      </c>
      <c r="AC1067" s="101">
        <f>Annual_amenity_valuation_hh_adj/Discount_factor</f>
        <v>0</v>
      </c>
      <c r="AD1067" s="101">
        <f t="shared" si="365"/>
        <v>0</v>
      </c>
      <c r="AE1067" s="101">
        <f t="shared" si="365"/>
        <v>0</v>
      </c>
      <c r="AF1067" s="101">
        <f t="shared" si="365"/>
        <v>0</v>
      </c>
      <c r="AG1067" s="101">
        <f t="shared" si="365"/>
        <v>0</v>
      </c>
      <c r="AH1067" s="101">
        <f t="shared" si="365"/>
        <v>0</v>
      </c>
      <c r="AI1067" s="101">
        <f t="shared" si="365"/>
        <v>0</v>
      </c>
      <c r="AJ1067" s="101">
        <f t="shared" ref="AJ1067:BO1067" si="366">Annual_amenity_valuation_hh_adj/Discount_factor</f>
        <v>0</v>
      </c>
      <c r="AK1067" s="101">
        <f t="shared" si="366"/>
        <v>0</v>
      </c>
      <c r="AL1067" s="101">
        <f t="shared" si="366"/>
        <v>0</v>
      </c>
      <c r="AM1067" s="101">
        <f t="shared" si="366"/>
        <v>0</v>
      </c>
      <c r="AN1067" s="101">
        <f t="shared" si="366"/>
        <v>0</v>
      </c>
      <c r="AO1067" s="101">
        <f t="shared" si="366"/>
        <v>0</v>
      </c>
      <c r="AP1067" s="101">
        <f t="shared" si="366"/>
        <v>0</v>
      </c>
      <c r="AQ1067" s="101">
        <f t="shared" si="366"/>
        <v>0</v>
      </c>
      <c r="AR1067" s="101">
        <f t="shared" si="366"/>
        <v>0</v>
      </c>
      <c r="AS1067" s="101">
        <f t="shared" si="366"/>
        <v>0</v>
      </c>
      <c r="AT1067" s="101">
        <f t="shared" si="366"/>
        <v>0</v>
      </c>
      <c r="AU1067" s="101">
        <f t="shared" si="366"/>
        <v>0</v>
      </c>
      <c r="AV1067" s="101">
        <f t="shared" si="366"/>
        <v>0</v>
      </c>
      <c r="AW1067" s="101">
        <f t="shared" si="366"/>
        <v>0</v>
      </c>
      <c r="AX1067" s="101">
        <f t="shared" si="366"/>
        <v>0</v>
      </c>
      <c r="AY1067" s="101">
        <f t="shared" si="366"/>
        <v>0</v>
      </c>
      <c r="AZ1067" s="101">
        <f t="shared" si="366"/>
        <v>0</v>
      </c>
      <c r="BA1067" s="101">
        <f t="shared" si="366"/>
        <v>0</v>
      </c>
      <c r="BB1067" s="101">
        <f t="shared" si="366"/>
        <v>0</v>
      </c>
      <c r="BC1067" s="101">
        <f t="shared" si="366"/>
        <v>0</v>
      </c>
      <c r="BD1067" s="101">
        <f t="shared" si="366"/>
        <v>0</v>
      </c>
      <c r="BE1067" s="101">
        <f t="shared" si="366"/>
        <v>0</v>
      </c>
      <c r="BF1067" s="101">
        <f t="shared" si="366"/>
        <v>0</v>
      </c>
      <c r="BG1067" s="101">
        <f t="shared" si="366"/>
        <v>0</v>
      </c>
      <c r="BH1067" s="101">
        <f t="shared" si="366"/>
        <v>0</v>
      </c>
      <c r="BI1067" s="101">
        <f t="shared" si="366"/>
        <v>0</v>
      </c>
      <c r="BJ1067" s="101">
        <f t="shared" si="366"/>
        <v>0</v>
      </c>
      <c r="BK1067" s="101">
        <f t="shared" si="366"/>
        <v>0</v>
      </c>
      <c r="BL1067" s="101">
        <f t="shared" si="366"/>
        <v>0</v>
      </c>
      <c r="BM1067" s="101">
        <f t="shared" si="366"/>
        <v>0</v>
      </c>
      <c r="BN1067" s="101">
        <f t="shared" si="366"/>
        <v>0</v>
      </c>
      <c r="BO1067" s="101">
        <f t="shared" si="366"/>
        <v>0</v>
      </c>
      <c r="BP1067" s="101">
        <f t="shared" ref="BP1067:CP1067" si="367">Annual_amenity_valuation_hh_adj/Discount_factor</f>
        <v>0</v>
      </c>
      <c r="BQ1067" s="101">
        <f t="shared" si="367"/>
        <v>0</v>
      </c>
      <c r="BR1067" s="101">
        <f t="shared" si="367"/>
        <v>0</v>
      </c>
      <c r="BS1067" s="101">
        <f t="shared" si="367"/>
        <v>0</v>
      </c>
      <c r="BT1067" s="101">
        <f t="shared" si="367"/>
        <v>0</v>
      </c>
      <c r="BU1067" s="101">
        <f t="shared" si="367"/>
        <v>0</v>
      </c>
      <c r="BV1067" s="101">
        <f t="shared" si="367"/>
        <v>0</v>
      </c>
      <c r="BW1067" s="101">
        <f t="shared" si="367"/>
        <v>0</v>
      </c>
      <c r="BX1067" s="101">
        <f t="shared" si="367"/>
        <v>0</v>
      </c>
      <c r="BY1067" s="101">
        <f t="shared" si="367"/>
        <v>0</v>
      </c>
      <c r="BZ1067" s="101">
        <f t="shared" si="367"/>
        <v>0</v>
      </c>
      <c r="CA1067" s="101">
        <f t="shared" si="367"/>
        <v>0</v>
      </c>
      <c r="CB1067" s="101">
        <f t="shared" si="367"/>
        <v>0</v>
      </c>
      <c r="CC1067" s="101">
        <f t="shared" si="367"/>
        <v>0</v>
      </c>
      <c r="CD1067" s="101">
        <f t="shared" si="367"/>
        <v>0</v>
      </c>
      <c r="CE1067" s="101">
        <f t="shared" si="367"/>
        <v>0</v>
      </c>
      <c r="CF1067" s="101">
        <f t="shared" si="367"/>
        <v>0</v>
      </c>
      <c r="CG1067" s="101">
        <f t="shared" si="367"/>
        <v>0</v>
      </c>
      <c r="CH1067" s="101">
        <f t="shared" si="367"/>
        <v>0</v>
      </c>
      <c r="CI1067" s="101">
        <f t="shared" si="367"/>
        <v>0</v>
      </c>
      <c r="CJ1067" s="101">
        <f t="shared" si="367"/>
        <v>0</v>
      </c>
      <c r="CK1067" s="101">
        <f t="shared" si="367"/>
        <v>0</v>
      </c>
      <c r="CL1067" s="101">
        <f t="shared" si="367"/>
        <v>0</v>
      </c>
      <c r="CM1067" s="101">
        <f t="shared" si="367"/>
        <v>0</v>
      </c>
      <c r="CN1067" s="101">
        <f t="shared" si="367"/>
        <v>0</v>
      </c>
      <c r="CO1067" s="101">
        <f t="shared" si="367"/>
        <v>0</v>
      </c>
      <c r="CP1067" s="101">
        <f t="shared" si="367"/>
        <v>0</v>
      </c>
      <c r="CQ1067" s="3" t="s">
        <v>366</v>
      </c>
    </row>
    <row r="1068" spans="1:95" ht="14.5" x14ac:dyDescent="0.35">
      <c r="A1068" s="102"/>
      <c r="B1068" s="102" t="s">
        <v>147</v>
      </c>
      <c r="C1068" s="102"/>
      <c r="D1068" s="101">
        <f t="shared" ref="D1068:AI1068" si="368">Annual_AMI_valuation_hh_adj/Discount_factor</f>
        <v>0</v>
      </c>
      <c r="E1068" s="101">
        <f t="shared" si="368"/>
        <v>0</v>
      </c>
      <c r="F1068" s="101">
        <f t="shared" si="368"/>
        <v>0</v>
      </c>
      <c r="G1068" s="101">
        <f t="shared" si="368"/>
        <v>0</v>
      </c>
      <c r="H1068" s="101">
        <f t="shared" si="368"/>
        <v>0</v>
      </c>
      <c r="I1068" s="101">
        <f>Annual_AMI_valuation_hh_adj/Discount_factor</f>
        <v>0</v>
      </c>
      <c r="J1068" s="101">
        <f t="shared" si="368"/>
        <v>0</v>
      </c>
      <c r="K1068" s="101">
        <f t="shared" si="368"/>
        <v>0</v>
      </c>
      <c r="L1068" s="101">
        <f t="shared" si="368"/>
        <v>0</v>
      </c>
      <c r="M1068" s="101">
        <f t="shared" si="368"/>
        <v>0</v>
      </c>
      <c r="N1068" s="101">
        <f t="shared" si="368"/>
        <v>0</v>
      </c>
      <c r="O1068" s="101">
        <f t="shared" si="368"/>
        <v>0</v>
      </c>
      <c r="P1068" s="101">
        <f t="shared" si="368"/>
        <v>0</v>
      </c>
      <c r="Q1068" s="101">
        <f t="shared" si="368"/>
        <v>0</v>
      </c>
      <c r="R1068" s="101">
        <f t="shared" si="368"/>
        <v>0</v>
      </c>
      <c r="S1068" s="101">
        <f t="shared" si="368"/>
        <v>0</v>
      </c>
      <c r="T1068" s="101">
        <f t="shared" si="368"/>
        <v>0</v>
      </c>
      <c r="U1068" s="101">
        <f t="shared" si="368"/>
        <v>0</v>
      </c>
      <c r="V1068" s="101">
        <f t="shared" si="368"/>
        <v>0</v>
      </c>
      <c r="W1068" s="101">
        <f t="shared" si="368"/>
        <v>0</v>
      </c>
      <c r="X1068" s="101">
        <f t="shared" si="368"/>
        <v>0</v>
      </c>
      <c r="Y1068" s="101">
        <f t="shared" si="368"/>
        <v>0</v>
      </c>
      <c r="Z1068" s="101">
        <f t="shared" si="368"/>
        <v>0</v>
      </c>
      <c r="AA1068" s="101">
        <f t="shared" si="368"/>
        <v>0</v>
      </c>
      <c r="AB1068" s="101">
        <f t="shared" si="368"/>
        <v>0</v>
      </c>
      <c r="AC1068" s="101">
        <f t="shared" si="368"/>
        <v>0</v>
      </c>
      <c r="AD1068" s="101">
        <f t="shared" si="368"/>
        <v>0</v>
      </c>
      <c r="AE1068" s="101">
        <f t="shared" si="368"/>
        <v>0</v>
      </c>
      <c r="AF1068" s="101">
        <f t="shared" si="368"/>
        <v>0</v>
      </c>
      <c r="AG1068" s="101">
        <f t="shared" si="368"/>
        <v>0</v>
      </c>
      <c r="AH1068" s="101">
        <f t="shared" si="368"/>
        <v>0</v>
      </c>
      <c r="AI1068" s="101">
        <f t="shared" si="368"/>
        <v>0</v>
      </c>
      <c r="AJ1068" s="101">
        <f t="shared" ref="AJ1068:BO1068" si="369">Annual_AMI_valuation_hh_adj/Discount_factor</f>
        <v>0</v>
      </c>
      <c r="AK1068" s="101">
        <f t="shared" si="369"/>
        <v>0</v>
      </c>
      <c r="AL1068" s="101">
        <f t="shared" si="369"/>
        <v>0</v>
      </c>
      <c r="AM1068" s="101">
        <f t="shared" si="369"/>
        <v>0</v>
      </c>
      <c r="AN1068" s="101">
        <f t="shared" si="369"/>
        <v>0</v>
      </c>
      <c r="AO1068" s="101">
        <f t="shared" si="369"/>
        <v>0</v>
      </c>
      <c r="AP1068" s="101">
        <f t="shared" si="369"/>
        <v>0</v>
      </c>
      <c r="AQ1068" s="101">
        <f t="shared" si="369"/>
        <v>0</v>
      </c>
      <c r="AR1068" s="101">
        <f t="shared" si="369"/>
        <v>0</v>
      </c>
      <c r="AS1068" s="101">
        <f t="shared" si="369"/>
        <v>0</v>
      </c>
      <c r="AT1068" s="101">
        <f t="shared" si="369"/>
        <v>0</v>
      </c>
      <c r="AU1068" s="101">
        <f t="shared" si="369"/>
        <v>0</v>
      </c>
      <c r="AV1068" s="101">
        <f t="shared" si="369"/>
        <v>0</v>
      </c>
      <c r="AW1068" s="101">
        <f t="shared" si="369"/>
        <v>0</v>
      </c>
      <c r="AX1068" s="101">
        <f t="shared" si="369"/>
        <v>0</v>
      </c>
      <c r="AY1068" s="101">
        <f t="shared" si="369"/>
        <v>0</v>
      </c>
      <c r="AZ1068" s="101">
        <f t="shared" si="369"/>
        <v>0</v>
      </c>
      <c r="BA1068" s="101">
        <f t="shared" si="369"/>
        <v>0</v>
      </c>
      <c r="BB1068" s="101">
        <f t="shared" si="369"/>
        <v>0</v>
      </c>
      <c r="BC1068" s="101">
        <f t="shared" si="369"/>
        <v>0</v>
      </c>
      <c r="BD1068" s="101">
        <f t="shared" si="369"/>
        <v>0</v>
      </c>
      <c r="BE1068" s="101">
        <f t="shared" si="369"/>
        <v>0</v>
      </c>
      <c r="BF1068" s="101">
        <f t="shared" si="369"/>
        <v>0</v>
      </c>
      <c r="BG1068" s="101">
        <f t="shared" si="369"/>
        <v>0</v>
      </c>
      <c r="BH1068" s="101">
        <f t="shared" si="369"/>
        <v>0</v>
      </c>
      <c r="BI1068" s="101">
        <f t="shared" si="369"/>
        <v>0</v>
      </c>
      <c r="BJ1068" s="101">
        <f t="shared" si="369"/>
        <v>0</v>
      </c>
      <c r="BK1068" s="101">
        <f t="shared" si="369"/>
        <v>0</v>
      </c>
      <c r="BL1068" s="101">
        <f t="shared" si="369"/>
        <v>0</v>
      </c>
      <c r="BM1068" s="101">
        <f t="shared" si="369"/>
        <v>0</v>
      </c>
      <c r="BN1068" s="101">
        <f t="shared" si="369"/>
        <v>0</v>
      </c>
      <c r="BO1068" s="101">
        <f t="shared" si="369"/>
        <v>0</v>
      </c>
      <c r="BP1068" s="101">
        <f t="shared" ref="BP1068:CP1068" si="370">Annual_AMI_valuation_hh_adj/Discount_factor</f>
        <v>0</v>
      </c>
      <c r="BQ1068" s="101">
        <f t="shared" si="370"/>
        <v>0</v>
      </c>
      <c r="BR1068" s="101">
        <f t="shared" si="370"/>
        <v>0</v>
      </c>
      <c r="BS1068" s="101">
        <f t="shared" si="370"/>
        <v>0</v>
      </c>
      <c r="BT1068" s="101">
        <f t="shared" si="370"/>
        <v>0</v>
      </c>
      <c r="BU1068" s="101">
        <f t="shared" si="370"/>
        <v>0</v>
      </c>
      <c r="BV1068" s="101">
        <f t="shared" si="370"/>
        <v>0</v>
      </c>
      <c r="BW1068" s="101">
        <f t="shared" si="370"/>
        <v>0</v>
      </c>
      <c r="BX1068" s="101">
        <f t="shared" si="370"/>
        <v>0</v>
      </c>
      <c r="BY1068" s="101">
        <f t="shared" si="370"/>
        <v>0</v>
      </c>
      <c r="BZ1068" s="101">
        <f t="shared" si="370"/>
        <v>0</v>
      </c>
      <c r="CA1068" s="101">
        <f t="shared" si="370"/>
        <v>0</v>
      </c>
      <c r="CB1068" s="101">
        <f t="shared" si="370"/>
        <v>0</v>
      </c>
      <c r="CC1068" s="101">
        <f t="shared" si="370"/>
        <v>0</v>
      </c>
      <c r="CD1068" s="101">
        <f t="shared" si="370"/>
        <v>0</v>
      </c>
      <c r="CE1068" s="101">
        <f t="shared" si="370"/>
        <v>0</v>
      </c>
      <c r="CF1068" s="101">
        <f t="shared" si="370"/>
        <v>0</v>
      </c>
      <c r="CG1068" s="101">
        <f t="shared" si="370"/>
        <v>0</v>
      </c>
      <c r="CH1068" s="101">
        <f t="shared" si="370"/>
        <v>0</v>
      </c>
      <c r="CI1068" s="101">
        <f t="shared" si="370"/>
        <v>0</v>
      </c>
      <c r="CJ1068" s="101">
        <f t="shared" si="370"/>
        <v>0</v>
      </c>
      <c r="CK1068" s="101">
        <f t="shared" si="370"/>
        <v>0</v>
      </c>
      <c r="CL1068" s="101">
        <f t="shared" si="370"/>
        <v>0</v>
      </c>
      <c r="CM1068" s="101">
        <f t="shared" si="370"/>
        <v>0</v>
      </c>
      <c r="CN1068" s="101">
        <f t="shared" si="370"/>
        <v>0</v>
      </c>
      <c r="CO1068" s="101">
        <f t="shared" si="370"/>
        <v>0</v>
      </c>
      <c r="CP1068" s="101">
        <f t="shared" si="370"/>
        <v>0</v>
      </c>
      <c r="CQ1068" s="3" t="s">
        <v>367</v>
      </c>
    </row>
    <row r="1069" spans="1:95" ht="14.5" x14ac:dyDescent="0.35">
      <c r="A1069" s="102"/>
      <c r="B1069" s="102" t="s">
        <v>149</v>
      </c>
      <c r="C1069" s="102"/>
      <c r="D1069" s="101">
        <f t="shared" ref="D1069:AI1069" si="371">Annual_stroke_valuation_hh_adj/Discount_factor</f>
        <v>0</v>
      </c>
      <c r="E1069" s="101">
        <f t="shared" si="371"/>
        <v>0</v>
      </c>
      <c r="F1069" s="101">
        <f t="shared" si="371"/>
        <v>0</v>
      </c>
      <c r="G1069" s="101">
        <f t="shared" si="371"/>
        <v>0</v>
      </c>
      <c r="H1069" s="101">
        <f t="shared" si="371"/>
        <v>0</v>
      </c>
      <c r="I1069" s="101">
        <f>Annual_stroke_valuation_hh_adj/Discount_factor</f>
        <v>0</v>
      </c>
      <c r="J1069" s="101">
        <f t="shared" si="371"/>
        <v>0</v>
      </c>
      <c r="K1069" s="101">
        <f t="shared" si="371"/>
        <v>0</v>
      </c>
      <c r="L1069" s="101">
        <f t="shared" si="371"/>
        <v>0</v>
      </c>
      <c r="M1069" s="101">
        <f t="shared" si="371"/>
        <v>0</v>
      </c>
      <c r="N1069" s="101">
        <f t="shared" si="371"/>
        <v>0</v>
      </c>
      <c r="O1069" s="101">
        <f t="shared" si="371"/>
        <v>0</v>
      </c>
      <c r="P1069" s="101">
        <f t="shared" si="371"/>
        <v>0</v>
      </c>
      <c r="Q1069" s="101">
        <f t="shared" si="371"/>
        <v>0</v>
      </c>
      <c r="R1069" s="101">
        <f t="shared" si="371"/>
        <v>0</v>
      </c>
      <c r="S1069" s="101">
        <f t="shared" si="371"/>
        <v>0</v>
      </c>
      <c r="T1069" s="101">
        <f t="shared" si="371"/>
        <v>0</v>
      </c>
      <c r="U1069" s="101">
        <f t="shared" si="371"/>
        <v>0</v>
      </c>
      <c r="V1069" s="101">
        <f t="shared" si="371"/>
        <v>0</v>
      </c>
      <c r="W1069" s="101">
        <f t="shared" si="371"/>
        <v>0</v>
      </c>
      <c r="X1069" s="101">
        <f t="shared" si="371"/>
        <v>0</v>
      </c>
      <c r="Y1069" s="101">
        <f t="shared" si="371"/>
        <v>0</v>
      </c>
      <c r="Z1069" s="101">
        <f t="shared" si="371"/>
        <v>0</v>
      </c>
      <c r="AA1069" s="101">
        <f t="shared" si="371"/>
        <v>0</v>
      </c>
      <c r="AB1069" s="101">
        <f t="shared" si="371"/>
        <v>0</v>
      </c>
      <c r="AC1069" s="101">
        <f t="shared" si="371"/>
        <v>0</v>
      </c>
      <c r="AD1069" s="101">
        <f t="shared" si="371"/>
        <v>0</v>
      </c>
      <c r="AE1069" s="101">
        <f t="shared" si="371"/>
        <v>0</v>
      </c>
      <c r="AF1069" s="101">
        <f t="shared" si="371"/>
        <v>0</v>
      </c>
      <c r="AG1069" s="101">
        <f t="shared" si="371"/>
        <v>0</v>
      </c>
      <c r="AH1069" s="101">
        <f t="shared" si="371"/>
        <v>0</v>
      </c>
      <c r="AI1069" s="101">
        <f t="shared" si="371"/>
        <v>0</v>
      </c>
      <c r="AJ1069" s="101">
        <f t="shared" ref="AJ1069:BO1069" si="372">Annual_stroke_valuation_hh_adj/Discount_factor</f>
        <v>0</v>
      </c>
      <c r="AK1069" s="101">
        <f t="shared" si="372"/>
        <v>0</v>
      </c>
      <c r="AL1069" s="101">
        <f t="shared" si="372"/>
        <v>0</v>
      </c>
      <c r="AM1069" s="101">
        <f t="shared" si="372"/>
        <v>0</v>
      </c>
      <c r="AN1069" s="101">
        <f t="shared" si="372"/>
        <v>0</v>
      </c>
      <c r="AO1069" s="101">
        <f t="shared" si="372"/>
        <v>0</v>
      </c>
      <c r="AP1069" s="101">
        <f t="shared" si="372"/>
        <v>0</v>
      </c>
      <c r="AQ1069" s="101">
        <f t="shared" si="372"/>
        <v>0</v>
      </c>
      <c r="AR1069" s="101">
        <f t="shared" si="372"/>
        <v>0</v>
      </c>
      <c r="AS1069" s="101">
        <f t="shared" si="372"/>
        <v>0</v>
      </c>
      <c r="AT1069" s="101">
        <f t="shared" si="372"/>
        <v>0</v>
      </c>
      <c r="AU1069" s="101">
        <f t="shared" si="372"/>
        <v>0</v>
      </c>
      <c r="AV1069" s="101">
        <f t="shared" si="372"/>
        <v>0</v>
      </c>
      <c r="AW1069" s="101">
        <f t="shared" si="372"/>
        <v>0</v>
      </c>
      <c r="AX1069" s="101">
        <f t="shared" si="372"/>
        <v>0</v>
      </c>
      <c r="AY1069" s="101">
        <f t="shared" si="372"/>
        <v>0</v>
      </c>
      <c r="AZ1069" s="101">
        <f t="shared" si="372"/>
        <v>0</v>
      </c>
      <c r="BA1069" s="101">
        <f t="shared" si="372"/>
        <v>0</v>
      </c>
      <c r="BB1069" s="101">
        <f t="shared" si="372"/>
        <v>0</v>
      </c>
      <c r="BC1069" s="101">
        <f t="shared" si="372"/>
        <v>0</v>
      </c>
      <c r="BD1069" s="101">
        <f t="shared" si="372"/>
        <v>0</v>
      </c>
      <c r="BE1069" s="101">
        <f t="shared" si="372"/>
        <v>0</v>
      </c>
      <c r="BF1069" s="101">
        <f t="shared" si="372"/>
        <v>0</v>
      </c>
      <c r="BG1069" s="101">
        <f t="shared" si="372"/>
        <v>0</v>
      </c>
      <c r="BH1069" s="101">
        <f t="shared" si="372"/>
        <v>0</v>
      </c>
      <c r="BI1069" s="101">
        <f t="shared" si="372"/>
        <v>0</v>
      </c>
      <c r="BJ1069" s="101">
        <f t="shared" si="372"/>
        <v>0</v>
      </c>
      <c r="BK1069" s="101">
        <f t="shared" si="372"/>
        <v>0</v>
      </c>
      <c r="BL1069" s="101">
        <f t="shared" si="372"/>
        <v>0</v>
      </c>
      <c r="BM1069" s="101">
        <f t="shared" si="372"/>
        <v>0</v>
      </c>
      <c r="BN1069" s="101">
        <f t="shared" si="372"/>
        <v>0</v>
      </c>
      <c r="BO1069" s="101">
        <f t="shared" si="372"/>
        <v>0</v>
      </c>
      <c r="BP1069" s="101">
        <f t="shared" ref="BP1069:CP1069" si="373">Annual_stroke_valuation_hh_adj/Discount_factor</f>
        <v>0</v>
      </c>
      <c r="BQ1069" s="101">
        <f t="shared" si="373"/>
        <v>0</v>
      </c>
      <c r="BR1069" s="101">
        <f t="shared" si="373"/>
        <v>0</v>
      </c>
      <c r="BS1069" s="101">
        <f t="shared" si="373"/>
        <v>0</v>
      </c>
      <c r="BT1069" s="101">
        <f t="shared" si="373"/>
        <v>0</v>
      </c>
      <c r="BU1069" s="101">
        <f t="shared" si="373"/>
        <v>0</v>
      </c>
      <c r="BV1069" s="101">
        <f t="shared" si="373"/>
        <v>0</v>
      </c>
      <c r="BW1069" s="101">
        <f t="shared" si="373"/>
        <v>0</v>
      </c>
      <c r="BX1069" s="101">
        <f t="shared" si="373"/>
        <v>0</v>
      </c>
      <c r="BY1069" s="101">
        <f t="shared" si="373"/>
        <v>0</v>
      </c>
      <c r="BZ1069" s="101">
        <f t="shared" si="373"/>
        <v>0</v>
      </c>
      <c r="CA1069" s="101">
        <f t="shared" si="373"/>
        <v>0</v>
      </c>
      <c r="CB1069" s="101">
        <f t="shared" si="373"/>
        <v>0</v>
      </c>
      <c r="CC1069" s="101">
        <f t="shared" si="373"/>
        <v>0</v>
      </c>
      <c r="CD1069" s="101">
        <f t="shared" si="373"/>
        <v>0</v>
      </c>
      <c r="CE1069" s="101">
        <f t="shared" si="373"/>
        <v>0</v>
      </c>
      <c r="CF1069" s="101">
        <f t="shared" si="373"/>
        <v>0</v>
      </c>
      <c r="CG1069" s="101">
        <f t="shared" si="373"/>
        <v>0</v>
      </c>
      <c r="CH1069" s="101">
        <f t="shared" si="373"/>
        <v>0</v>
      </c>
      <c r="CI1069" s="101">
        <f t="shared" si="373"/>
        <v>0</v>
      </c>
      <c r="CJ1069" s="101">
        <f t="shared" si="373"/>
        <v>0</v>
      </c>
      <c r="CK1069" s="101">
        <f t="shared" si="373"/>
        <v>0</v>
      </c>
      <c r="CL1069" s="101">
        <f t="shared" si="373"/>
        <v>0</v>
      </c>
      <c r="CM1069" s="101">
        <f t="shared" si="373"/>
        <v>0</v>
      </c>
      <c r="CN1069" s="101">
        <f t="shared" si="373"/>
        <v>0</v>
      </c>
      <c r="CO1069" s="101">
        <f t="shared" si="373"/>
        <v>0</v>
      </c>
      <c r="CP1069" s="101">
        <f t="shared" si="373"/>
        <v>0</v>
      </c>
      <c r="CQ1069" s="3" t="s">
        <v>368</v>
      </c>
    </row>
    <row r="1070" spans="1:95" ht="14.5" x14ac:dyDescent="0.35">
      <c r="A1070" s="102"/>
      <c r="B1070" s="102" t="s">
        <v>151</v>
      </c>
      <c r="C1070" s="102"/>
      <c r="D1070" s="101">
        <f t="shared" ref="D1070:AI1070" si="374">Annual_dementia_valuation_hh_adj/Discount_factor</f>
        <v>0</v>
      </c>
      <c r="E1070" s="101">
        <f t="shared" si="374"/>
        <v>0</v>
      </c>
      <c r="F1070" s="101">
        <f t="shared" si="374"/>
        <v>0</v>
      </c>
      <c r="G1070" s="101">
        <f t="shared" si="374"/>
        <v>0</v>
      </c>
      <c r="H1070" s="101">
        <f t="shared" si="374"/>
        <v>0</v>
      </c>
      <c r="I1070" s="101">
        <f>Annual_dementia_valuation_hh_adj/Discount_factor</f>
        <v>0</v>
      </c>
      <c r="J1070" s="101">
        <f t="shared" si="374"/>
        <v>0</v>
      </c>
      <c r="K1070" s="101">
        <f t="shared" si="374"/>
        <v>0</v>
      </c>
      <c r="L1070" s="101">
        <f t="shared" si="374"/>
        <v>0</v>
      </c>
      <c r="M1070" s="101">
        <f t="shared" si="374"/>
        <v>0</v>
      </c>
      <c r="N1070" s="101">
        <f t="shared" si="374"/>
        <v>0</v>
      </c>
      <c r="O1070" s="101">
        <f t="shared" si="374"/>
        <v>0</v>
      </c>
      <c r="P1070" s="101">
        <f t="shared" si="374"/>
        <v>0</v>
      </c>
      <c r="Q1070" s="101">
        <f t="shared" si="374"/>
        <v>0</v>
      </c>
      <c r="R1070" s="101">
        <f t="shared" si="374"/>
        <v>0</v>
      </c>
      <c r="S1070" s="101">
        <f t="shared" si="374"/>
        <v>0</v>
      </c>
      <c r="T1070" s="101">
        <f t="shared" si="374"/>
        <v>0</v>
      </c>
      <c r="U1070" s="101">
        <f t="shared" si="374"/>
        <v>0</v>
      </c>
      <c r="V1070" s="101">
        <f t="shared" si="374"/>
        <v>0</v>
      </c>
      <c r="W1070" s="101">
        <f t="shared" si="374"/>
        <v>0</v>
      </c>
      <c r="X1070" s="101">
        <f t="shared" si="374"/>
        <v>0</v>
      </c>
      <c r="Y1070" s="101">
        <f t="shared" si="374"/>
        <v>0</v>
      </c>
      <c r="Z1070" s="101">
        <f t="shared" si="374"/>
        <v>0</v>
      </c>
      <c r="AA1070" s="101">
        <f t="shared" si="374"/>
        <v>0</v>
      </c>
      <c r="AB1070" s="101">
        <f t="shared" si="374"/>
        <v>0</v>
      </c>
      <c r="AC1070" s="101">
        <f t="shared" si="374"/>
        <v>0</v>
      </c>
      <c r="AD1070" s="101">
        <f t="shared" si="374"/>
        <v>0</v>
      </c>
      <c r="AE1070" s="101">
        <f t="shared" si="374"/>
        <v>0</v>
      </c>
      <c r="AF1070" s="101">
        <f t="shared" si="374"/>
        <v>0</v>
      </c>
      <c r="AG1070" s="101">
        <f t="shared" si="374"/>
        <v>0</v>
      </c>
      <c r="AH1070" s="101">
        <f t="shared" si="374"/>
        <v>0</v>
      </c>
      <c r="AI1070" s="101">
        <f t="shared" si="374"/>
        <v>0</v>
      </c>
      <c r="AJ1070" s="101">
        <f t="shared" ref="AJ1070:BO1070" si="375">Annual_dementia_valuation_hh_adj/Discount_factor</f>
        <v>0</v>
      </c>
      <c r="AK1070" s="101">
        <f t="shared" si="375"/>
        <v>0</v>
      </c>
      <c r="AL1070" s="101">
        <f t="shared" si="375"/>
        <v>0</v>
      </c>
      <c r="AM1070" s="101">
        <f t="shared" si="375"/>
        <v>0</v>
      </c>
      <c r="AN1070" s="101">
        <f t="shared" si="375"/>
        <v>0</v>
      </c>
      <c r="AO1070" s="101">
        <f t="shared" si="375"/>
        <v>0</v>
      </c>
      <c r="AP1070" s="101">
        <f t="shared" si="375"/>
        <v>0</v>
      </c>
      <c r="AQ1070" s="101">
        <f t="shared" si="375"/>
        <v>0</v>
      </c>
      <c r="AR1070" s="101">
        <f t="shared" si="375"/>
        <v>0</v>
      </c>
      <c r="AS1070" s="101">
        <f t="shared" si="375"/>
        <v>0</v>
      </c>
      <c r="AT1070" s="101">
        <f t="shared" si="375"/>
        <v>0</v>
      </c>
      <c r="AU1070" s="101">
        <f t="shared" si="375"/>
        <v>0</v>
      </c>
      <c r="AV1070" s="101">
        <f t="shared" si="375"/>
        <v>0</v>
      </c>
      <c r="AW1070" s="101">
        <f t="shared" si="375"/>
        <v>0</v>
      </c>
      <c r="AX1070" s="101">
        <f t="shared" si="375"/>
        <v>0</v>
      </c>
      <c r="AY1070" s="101">
        <f t="shared" si="375"/>
        <v>0</v>
      </c>
      <c r="AZ1070" s="101">
        <f t="shared" si="375"/>
        <v>0</v>
      </c>
      <c r="BA1070" s="101">
        <f t="shared" si="375"/>
        <v>0</v>
      </c>
      <c r="BB1070" s="101">
        <f t="shared" si="375"/>
        <v>0</v>
      </c>
      <c r="BC1070" s="101">
        <f t="shared" si="375"/>
        <v>0</v>
      </c>
      <c r="BD1070" s="101">
        <f t="shared" si="375"/>
        <v>0</v>
      </c>
      <c r="BE1070" s="101">
        <f t="shared" si="375"/>
        <v>0</v>
      </c>
      <c r="BF1070" s="101">
        <f t="shared" si="375"/>
        <v>0</v>
      </c>
      <c r="BG1070" s="101">
        <f t="shared" si="375"/>
        <v>0</v>
      </c>
      <c r="BH1070" s="101">
        <f t="shared" si="375"/>
        <v>0</v>
      </c>
      <c r="BI1070" s="101">
        <f t="shared" si="375"/>
        <v>0</v>
      </c>
      <c r="BJ1070" s="101">
        <f t="shared" si="375"/>
        <v>0</v>
      </c>
      <c r="BK1070" s="101">
        <f t="shared" si="375"/>
        <v>0</v>
      </c>
      <c r="BL1070" s="101">
        <f t="shared" si="375"/>
        <v>0</v>
      </c>
      <c r="BM1070" s="101">
        <f t="shared" si="375"/>
        <v>0</v>
      </c>
      <c r="BN1070" s="101">
        <f t="shared" si="375"/>
        <v>0</v>
      </c>
      <c r="BO1070" s="101">
        <f t="shared" si="375"/>
        <v>0</v>
      </c>
      <c r="BP1070" s="101">
        <f t="shared" ref="BP1070:CP1070" si="376">Annual_dementia_valuation_hh_adj/Discount_factor</f>
        <v>0</v>
      </c>
      <c r="BQ1070" s="101">
        <f t="shared" si="376"/>
        <v>0</v>
      </c>
      <c r="BR1070" s="101">
        <f t="shared" si="376"/>
        <v>0</v>
      </c>
      <c r="BS1070" s="101">
        <f t="shared" si="376"/>
        <v>0</v>
      </c>
      <c r="BT1070" s="101">
        <f t="shared" si="376"/>
        <v>0</v>
      </c>
      <c r="BU1070" s="101">
        <f t="shared" si="376"/>
        <v>0</v>
      </c>
      <c r="BV1070" s="101">
        <f t="shared" si="376"/>
        <v>0</v>
      </c>
      <c r="BW1070" s="101">
        <f t="shared" si="376"/>
        <v>0</v>
      </c>
      <c r="BX1070" s="101">
        <f t="shared" si="376"/>
        <v>0</v>
      </c>
      <c r="BY1070" s="101">
        <f t="shared" si="376"/>
        <v>0</v>
      </c>
      <c r="BZ1070" s="101">
        <f t="shared" si="376"/>
        <v>0</v>
      </c>
      <c r="CA1070" s="101">
        <f t="shared" si="376"/>
        <v>0</v>
      </c>
      <c r="CB1070" s="101">
        <f t="shared" si="376"/>
        <v>0</v>
      </c>
      <c r="CC1070" s="101">
        <f t="shared" si="376"/>
        <v>0</v>
      </c>
      <c r="CD1070" s="101">
        <f t="shared" si="376"/>
        <v>0</v>
      </c>
      <c r="CE1070" s="101">
        <f t="shared" si="376"/>
        <v>0</v>
      </c>
      <c r="CF1070" s="101">
        <f t="shared" si="376"/>
        <v>0</v>
      </c>
      <c r="CG1070" s="101">
        <f t="shared" si="376"/>
        <v>0</v>
      </c>
      <c r="CH1070" s="101">
        <f t="shared" si="376"/>
        <v>0</v>
      </c>
      <c r="CI1070" s="101">
        <f t="shared" si="376"/>
        <v>0</v>
      </c>
      <c r="CJ1070" s="101">
        <f t="shared" si="376"/>
        <v>0</v>
      </c>
      <c r="CK1070" s="101">
        <f t="shared" si="376"/>
        <v>0</v>
      </c>
      <c r="CL1070" s="101">
        <f t="shared" si="376"/>
        <v>0</v>
      </c>
      <c r="CM1070" s="101">
        <f t="shared" si="376"/>
        <v>0</v>
      </c>
      <c r="CN1070" s="101">
        <f t="shared" si="376"/>
        <v>0</v>
      </c>
      <c r="CO1070" s="101">
        <f t="shared" si="376"/>
        <v>0</v>
      </c>
      <c r="CP1070" s="101">
        <f t="shared" si="376"/>
        <v>0</v>
      </c>
      <c r="CQ1070" s="3" t="s">
        <v>369</v>
      </c>
    </row>
    <row r="1071" spans="1:95" ht="14.5" x14ac:dyDescent="0.35">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5" x14ac:dyDescent="0.35">
      <c r="B1072" s="5" t="s">
        <v>370</v>
      </c>
    </row>
    <row r="1073" spans="1:95" ht="14.5" x14ac:dyDescent="0.35">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5" x14ac:dyDescent="0.35">
      <c r="A1074" s="102"/>
      <c r="B1074" s="102" t="s">
        <v>143</v>
      </c>
      <c r="C1074" s="102"/>
      <c r="D1074" s="144">
        <f>SUM(Discounted_annual_sleep_disturbance_valuation)</f>
        <v>0</v>
      </c>
      <c r="E1074" s="43" t="s">
        <v>371</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5" x14ac:dyDescent="0.35">
      <c r="A1075" s="102"/>
      <c r="B1075" s="102" t="s">
        <v>145</v>
      </c>
      <c r="C1075" s="102"/>
      <c r="D1075" s="144">
        <f>SUM(Discounted_annual_amenity_valuation)</f>
        <v>0</v>
      </c>
      <c r="E1075" s="43" t="s">
        <v>372</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5" x14ac:dyDescent="0.35">
      <c r="A1076" s="102"/>
      <c r="B1076" s="102" t="s">
        <v>147</v>
      </c>
      <c r="C1076" s="102"/>
      <c r="D1076" s="144">
        <f>SUM(Discounted_annual_AMI_valuation)</f>
        <v>0</v>
      </c>
      <c r="E1076" s="43" t="s">
        <v>373</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5" x14ac:dyDescent="0.35">
      <c r="A1077" s="102"/>
      <c r="B1077" s="102" t="s">
        <v>149</v>
      </c>
      <c r="C1077" s="102"/>
      <c r="D1077" s="144">
        <f>SUM(Discounted_annual_stroke_valuation)</f>
        <v>0</v>
      </c>
      <c r="E1077" s="43" t="s">
        <v>374</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5" x14ac:dyDescent="0.35">
      <c r="A1078" s="102"/>
      <c r="B1078" s="102" t="s">
        <v>151</v>
      </c>
      <c r="C1078" s="102"/>
      <c r="D1078" s="144">
        <f>SUM(Discounted_annual_dementia_valuation)</f>
        <v>0</v>
      </c>
      <c r="E1078" s="43" t="s">
        <v>375</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5" x14ac:dyDescent="0.3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5" x14ac:dyDescent="0.35">
      <c r="B1080" s="5" t="s">
        <v>376</v>
      </c>
    </row>
    <row r="1081" spans="1:95" ht="14.5" x14ac:dyDescent="0.3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5" x14ac:dyDescent="0.35">
      <c r="A1082" s="102"/>
      <c r="B1082" s="102" t="s">
        <v>377</v>
      </c>
      <c r="C1082" s="102"/>
      <c r="D1082" s="144">
        <f>SUM(Total_discounted_sleep_disturbance_valuation,Total_discounted_amenity_valuation,Total_discounted_AMI_valuation,Total_discounted_stroke_valuation,Total_discounted_dementia_valuation)</f>
        <v>0</v>
      </c>
      <c r="E1082" s="3" t="s">
        <v>378</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5" x14ac:dyDescent="0.35">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5" hidden="1" x14ac:dyDescent="0.35">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5" hidden="1" x14ac:dyDescent="0.3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5" hidden="1" x14ac:dyDescent="0.3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5" hidden="1" x14ac:dyDescent="0.3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5" hidden="1" x14ac:dyDescent="0.3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5" hidden="1" x14ac:dyDescent="0.3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5" hidden="1" x14ac:dyDescent="0.3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5" hidden="1" x14ac:dyDescent="0.3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5" hidden="1" x14ac:dyDescent="0.3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5" hidden="1" x14ac:dyDescent="0.3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5" hidden="1" x14ac:dyDescent="0.3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5" hidden="1" x14ac:dyDescent="0.3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5" hidden="1" x14ac:dyDescent="0.3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5" hidden="1" x14ac:dyDescent="0.3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5" hidden="1" x14ac:dyDescent="0.3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5" hidden="1" x14ac:dyDescent="0.3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5" hidden="1" x14ac:dyDescent="0.3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5" hidden="1" x14ac:dyDescent="0.3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5" hidden="1" x14ac:dyDescent="0.3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5" hidden="1" x14ac:dyDescent="0.3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5" hidden="1" x14ac:dyDescent="0.3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5" hidden="1" x14ac:dyDescent="0.3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5" hidden="1" x14ac:dyDescent="0.3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5" hidden="1" x14ac:dyDescent="0.3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5" hidden="1" x14ac:dyDescent="0.3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5" hidden="1" x14ac:dyDescent="0.3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5" hidden="1" x14ac:dyDescent="0.3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5" hidden="1" x14ac:dyDescent="0.3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5" hidden="1" x14ac:dyDescent="0.3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5" hidden="1" x14ac:dyDescent="0.3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5" hidden="1" x14ac:dyDescent="0.3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5" hidden="1" x14ac:dyDescent="0.3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5" hidden="1" x14ac:dyDescent="0.3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5" hidden="1" x14ac:dyDescent="0.3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5" hidden="1" x14ac:dyDescent="0.3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5" hidden="1" x14ac:dyDescent="0.3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5" hidden="1" x14ac:dyDescent="0.3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5" hidden="1" x14ac:dyDescent="0.3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5" hidden="1" x14ac:dyDescent="0.3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5" hidden="1" x14ac:dyDescent="0.3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5" hidden="1" x14ac:dyDescent="0.3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5" hidden="1" x14ac:dyDescent="0.3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5" hidden="1" x14ac:dyDescent="0.3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5" hidden="1" x14ac:dyDescent="0.3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5" hidden="1" x14ac:dyDescent="0.3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5" hidden="1" x14ac:dyDescent="0.3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5" hidden="1" x14ac:dyDescent="0.3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5" hidden="1" x14ac:dyDescent="0.3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5" hidden="1" x14ac:dyDescent="0.3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5" hidden="1" x14ac:dyDescent="0.3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5" hidden="1" x14ac:dyDescent="0.3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5" hidden="1" x14ac:dyDescent="0.3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5" hidden="1" x14ac:dyDescent="0.3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5" hidden="1" x14ac:dyDescent="0.3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5" hidden="1" x14ac:dyDescent="0.3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5" hidden="1" x14ac:dyDescent="0.3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5" hidden="1" x14ac:dyDescent="0.3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5" hidden="1" x14ac:dyDescent="0.3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5" hidden="1" x14ac:dyDescent="0.3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5" hidden="1" x14ac:dyDescent="0.3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5" hidden="1" x14ac:dyDescent="0.3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5" hidden="1" x14ac:dyDescent="0.3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5" hidden="1" x14ac:dyDescent="0.3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5" hidden="1" x14ac:dyDescent="0.3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5" hidden="1" x14ac:dyDescent="0.3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5" hidden="1" x14ac:dyDescent="0.3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5" hidden="1" x14ac:dyDescent="0.3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5" hidden="1" x14ac:dyDescent="0.3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5" hidden="1" x14ac:dyDescent="0.3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5" hidden="1" x14ac:dyDescent="0.3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5" hidden="1" x14ac:dyDescent="0.3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5" hidden="1" x14ac:dyDescent="0.3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5" hidden="1" x14ac:dyDescent="0.3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5" hidden="1" x14ac:dyDescent="0.3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5" hidden="1" x14ac:dyDescent="0.3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5" hidden="1" x14ac:dyDescent="0.3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5" hidden="1" x14ac:dyDescent="0.3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5" hidden="1" x14ac:dyDescent="0.3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5" hidden="1" x14ac:dyDescent="0.3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5" hidden="1" x14ac:dyDescent="0.3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5" hidden="1" x14ac:dyDescent="0.3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5" hidden="1" x14ac:dyDescent="0.3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5" hidden="1" x14ac:dyDescent="0.3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5" hidden="1" x14ac:dyDescent="0.3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5" hidden="1" x14ac:dyDescent="0.3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5" hidden="1" x14ac:dyDescent="0.3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5" hidden="1" x14ac:dyDescent="0.3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5" hidden="1" x14ac:dyDescent="0.3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5" hidden="1" x14ac:dyDescent="0.3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5" hidden="1" x14ac:dyDescent="0.3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5" hidden="1" x14ac:dyDescent="0.3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5" hidden="1" x14ac:dyDescent="0.3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5" hidden="1" x14ac:dyDescent="0.3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5" hidden="1" x14ac:dyDescent="0.3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5" hidden="1" x14ac:dyDescent="0.3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5" hidden="1" x14ac:dyDescent="0.3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5" hidden="1" x14ac:dyDescent="0.3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5" hidden="1" x14ac:dyDescent="0.3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5" hidden="1" x14ac:dyDescent="0.3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5" hidden="1" x14ac:dyDescent="0.3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5" hidden="1" x14ac:dyDescent="0.3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5" hidden="1" x14ac:dyDescent="0.3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5" hidden="1" x14ac:dyDescent="0.3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5" hidden="1" x14ac:dyDescent="0.3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5" hidden="1" x14ac:dyDescent="0.3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5" hidden="1" x14ac:dyDescent="0.3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5" hidden="1" x14ac:dyDescent="0.3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5" hidden="1" x14ac:dyDescent="0.3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5" hidden="1" x14ac:dyDescent="0.3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5" hidden="1" x14ac:dyDescent="0.3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5" hidden="1" x14ac:dyDescent="0.3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5" hidden="1" x14ac:dyDescent="0.3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5" hidden="1" x14ac:dyDescent="0.3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5" hidden="1" x14ac:dyDescent="0.3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5" hidden="1" x14ac:dyDescent="0.3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5" hidden="1" x14ac:dyDescent="0.3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5" hidden="1" x14ac:dyDescent="0.3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5" hidden="1" x14ac:dyDescent="0.3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5" hidden="1" x14ac:dyDescent="0.3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5" hidden="1" x14ac:dyDescent="0.3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5" hidden="1" x14ac:dyDescent="0.3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5" hidden="1" x14ac:dyDescent="0.3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5" hidden="1" x14ac:dyDescent="0.3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5" hidden="1" x14ac:dyDescent="0.3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5" hidden="1" x14ac:dyDescent="0.3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5" hidden="1" x14ac:dyDescent="0.3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5" hidden="1" x14ac:dyDescent="0.3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5" hidden="1" x14ac:dyDescent="0.3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5" hidden="1" x14ac:dyDescent="0.3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5" hidden="1" x14ac:dyDescent="0.3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5" hidden="1" x14ac:dyDescent="0.3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5" hidden="1" x14ac:dyDescent="0.3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5" hidden="1" x14ac:dyDescent="0.3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5" hidden="1" x14ac:dyDescent="0.3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5" hidden="1" x14ac:dyDescent="0.3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5" hidden="1" x14ac:dyDescent="0.3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5" hidden="1" x14ac:dyDescent="0.3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5" hidden="1" x14ac:dyDescent="0.3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5" hidden="1" x14ac:dyDescent="0.3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5" hidden="1" x14ac:dyDescent="0.3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5" hidden="1" x14ac:dyDescent="0.3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5" hidden="1" x14ac:dyDescent="0.3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5" hidden="1" x14ac:dyDescent="0.3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5" hidden="1" x14ac:dyDescent="0.3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5" hidden="1" x14ac:dyDescent="0.3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5" hidden="1" x14ac:dyDescent="0.3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5" hidden="1" x14ac:dyDescent="0.3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5" hidden="1" x14ac:dyDescent="0.3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5" hidden="1" x14ac:dyDescent="0.3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5" hidden="1" x14ac:dyDescent="0.3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5" hidden="1" x14ac:dyDescent="0.3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5" hidden="1" x14ac:dyDescent="0.3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5" hidden="1" x14ac:dyDescent="0.3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5" hidden="1" x14ac:dyDescent="0.3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5" hidden="1" x14ac:dyDescent="0.3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5" hidden="1" x14ac:dyDescent="0.3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5" hidden="1" x14ac:dyDescent="0.3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5" hidden="1" x14ac:dyDescent="0.3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5" hidden="1" x14ac:dyDescent="0.3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5" hidden="1" x14ac:dyDescent="0.3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5" hidden="1" x14ac:dyDescent="0.3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5" hidden="1" x14ac:dyDescent="0.3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5" hidden="1" x14ac:dyDescent="0.3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5" hidden="1" x14ac:dyDescent="0.3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5" hidden="1" x14ac:dyDescent="0.3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5" hidden="1" x14ac:dyDescent="0.3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5" hidden="1" x14ac:dyDescent="0.3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5" hidden="1" x14ac:dyDescent="0.3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5" hidden="1" x14ac:dyDescent="0.3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5" hidden="1" x14ac:dyDescent="0.3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5" hidden="1" x14ac:dyDescent="0.3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5" hidden="1" x14ac:dyDescent="0.3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5" hidden="1" x14ac:dyDescent="0.3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5" hidden="1" x14ac:dyDescent="0.3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5" hidden="1" x14ac:dyDescent="0.3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5" hidden="1" x14ac:dyDescent="0.3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5" hidden="1" x14ac:dyDescent="0.3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5" hidden="1" x14ac:dyDescent="0.3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5" hidden="1" x14ac:dyDescent="0.3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5" hidden="1" x14ac:dyDescent="0.3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5" hidden="1" x14ac:dyDescent="0.3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5" hidden="1" x14ac:dyDescent="0.3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5" hidden="1" x14ac:dyDescent="0.3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5" hidden="1" x14ac:dyDescent="0.3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5" hidden="1" x14ac:dyDescent="0.3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5" hidden="1" x14ac:dyDescent="0.3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5" hidden="1" x14ac:dyDescent="0.3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5" hidden="1" x14ac:dyDescent="0.3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5" hidden="1" x14ac:dyDescent="0.3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5" hidden="1" x14ac:dyDescent="0.3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5" hidden="1" x14ac:dyDescent="0.3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5" hidden="1" x14ac:dyDescent="0.3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5" hidden="1" x14ac:dyDescent="0.3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5" hidden="1" x14ac:dyDescent="0.3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5" hidden="1" x14ac:dyDescent="0.3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5" hidden="1" x14ac:dyDescent="0.3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5" hidden="1" x14ac:dyDescent="0.3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5" hidden="1" x14ac:dyDescent="0.3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5" hidden="1" x14ac:dyDescent="0.3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5" hidden="1" x14ac:dyDescent="0.3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5" hidden="1" x14ac:dyDescent="0.3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5" hidden="1" x14ac:dyDescent="0.3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5" hidden="1" x14ac:dyDescent="0.3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5" hidden="1" x14ac:dyDescent="0.3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5" hidden="1" x14ac:dyDescent="0.3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5" hidden="1" x14ac:dyDescent="0.3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5" hidden="1" x14ac:dyDescent="0.3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5" hidden="1" x14ac:dyDescent="0.3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5" hidden="1" x14ac:dyDescent="0.3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5" hidden="1" x14ac:dyDescent="0.3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5" hidden="1" x14ac:dyDescent="0.3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5" hidden="1" x14ac:dyDescent="0.3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5" hidden="1" x14ac:dyDescent="0.3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5" hidden="1" x14ac:dyDescent="0.3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5" hidden="1" x14ac:dyDescent="0.3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5" hidden="1" x14ac:dyDescent="0.3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5" hidden="1" x14ac:dyDescent="0.3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853" activePane="bottomRight" state="frozen"/>
      <selection pane="topRight" activeCell="D1" sqref="D1"/>
      <selection pane="bottomLeft" activeCell="A3" sqref="A3"/>
      <selection pane="bottomRight" activeCell="D999" sqref="D999"/>
    </sheetView>
  </sheetViews>
  <sheetFormatPr defaultColWidth="0" defaultRowHeight="12.5" zeroHeight="1" outlineLevelRow="1" x14ac:dyDescent="0.25"/>
  <cols>
    <col min="1" max="1" width="9.08984375" customWidth="1"/>
    <col min="2" max="2" width="23" customWidth="1"/>
    <col min="3" max="3" width="17.453125" customWidth="1"/>
    <col min="4" max="4" width="16" customWidth="1"/>
    <col min="5" max="5" width="12" customWidth="1"/>
    <col min="6" max="10" width="9.08984375" customWidth="1"/>
    <col min="11" max="11" width="10.90625" customWidth="1"/>
    <col min="12" max="16" width="9.08984375" customWidth="1"/>
    <col min="17" max="17" width="11.90625" customWidth="1"/>
    <col min="18" max="29" width="9.08984375" customWidth="1"/>
    <col min="30" max="39" width="10" bestFit="1" customWidth="1"/>
    <col min="40" max="40" width="12" customWidth="1"/>
    <col min="41" max="41" width="10" bestFit="1" customWidth="1"/>
    <col min="42" max="42" width="17.6328125" customWidth="1"/>
    <col min="43" max="80" width="8.6328125" customWidth="1"/>
    <col min="81" max="94" width="9.08984375" customWidth="1"/>
    <col min="95" max="95" width="45.54296875" bestFit="1" customWidth="1"/>
    <col min="96" max="16384" width="9.08984375" hidden="1"/>
  </cols>
  <sheetData>
    <row r="1" spans="1:95" x14ac:dyDescent="0.25"/>
    <row r="2" spans="1:95" s="1" customFormat="1" ht="26" x14ac:dyDescent="0.6">
      <c r="B2" s="1" t="s">
        <v>191</v>
      </c>
    </row>
    <row r="3" spans="1:95" s="22" customFormat="1" x14ac:dyDescent="0.25"/>
    <row r="4" spans="1:95" s="2" customFormat="1" ht="18.5" x14ac:dyDescent="0.45">
      <c r="B4" s="2" t="s">
        <v>84</v>
      </c>
    </row>
    <row r="5" spans="1:95" s="22" customFormat="1" x14ac:dyDescent="0.25"/>
    <row r="6" spans="1:95" s="5" customFormat="1" ht="15.5" x14ac:dyDescent="0.35">
      <c r="B6" s="5" t="s">
        <v>192</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7" t="s">
        <v>93</v>
      </c>
      <c r="C8" s="49" t="s">
        <v>94</v>
      </c>
      <c r="D8" s="70" t="s">
        <v>95</v>
      </c>
      <c r="E8" s="70" t="s">
        <v>96</v>
      </c>
      <c r="F8" s="70" t="s">
        <v>97</v>
      </c>
      <c r="G8" s="70" t="s">
        <v>98</v>
      </c>
      <c r="H8" s="70" t="s">
        <v>99</v>
      </c>
      <c r="I8" s="70" t="s">
        <v>100</v>
      </c>
      <c r="J8" s="70" t="s">
        <v>101</v>
      </c>
      <c r="K8" s="70" t="s">
        <v>102</v>
      </c>
      <c r="L8" s="70" t="s">
        <v>103</v>
      </c>
      <c r="M8" s="70" t="s">
        <v>104</v>
      </c>
      <c r="N8" s="70" t="s">
        <v>105</v>
      </c>
      <c r="O8" s="70" t="s">
        <v>106</v>
      </c>
      <c r="P8" s="70" t="s">
        <v>107</v>
      </c>
      <c r="Q8" s="70" t="s">
        <v>108</v>
      </c>
      <c r="R8" s="70" t="s">
        <v>109</v>
      </c>
      <c r="S8" s="70" t="s">
        <v>110</v>
      </c>
      <c r="T8" s="70" t="s">
        <v>111</v>
      </c>
      <c r="U8" s="70" t="s">
        <v>112</v>
      </c>
      <c r="V8" s="70" t="s">
        <v>113</v>
      </c>
      <c r="W8" s="70" t="s">
        <v>114</v>
      </c>
      <c r="X8" s="70" t="s">
        <v>115</v>
      </c>
      <c r="Y8" s="70" t="s">
        <v>116</v>
      </c>
      <c r="Z8" s="70" t="s">
        <v>117</v>
      </c>
      <c r="AA8" s="70" t="s">
        <v>118</v>
      </c>
      <c r="AB8" s="70" t="s">
        <v>119</v>
      </c>
      <c r="AC8" s="70" t="s">
        <v>120</v>
      </c>
      <c r="AD8" s="70" t="s">
        <v>121</v>
      </c>
      <c r="AE8" s="70" t="s">
        <v>122</v>
      </c>
      <c r="AF8" s="70" t="s">
        <v>123</v>
      </c>
      <c r="AG8" s="70" t="s">
        <v>124</v>
      </c>
      <c r="AH8" s="70" t="s">
        <v>125</v>
      </c>
      <c r="AI8" s="70" t="s">
        <v>126</v>
      </c>
      <c r="AJ8" s="70" t="s">
        <v>127</v>
      </c>
      <c r="AK8" s="70" t="s">
        <v>128</v>
      </c>
      <c r="AL8" s="70" t="s">
        <v>129</v>
      </c>
      <c r="AM8" s="70" t="s">
        <v>130</v>
      </c>
      <c r="AN8" s="70" t="s">
        <v>131</v>
      </c>
      <c r="AO8" s="70"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133</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8" t="s">
        <v>95</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2" t="s">
        <v>96</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2" t="s">
        <v>97</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2" t="s">
        <v>98</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2" t="s">
        <v>99</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2" t="s">
        <v>100</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2" t="s">
        <v>101</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2" t="s">
        <v>102</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2" t="s">
        <v>103</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5">
      <c r="A19" s="55"/>
      <c r="B19" s="112" t="s">
        <v>104</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5">
      <c r="A20" s="55"/>
      <c r="B20" s="112" t="s">
        <v>105</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5">
      <c r="A21" s="55"/>
      <c r="B21" s="112" t="s">
        <v>106</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5" x14ac:dyDescent="0.35">
      <c r="A22" s="55"/>
      <c r="B22" s="112" t="s">
        <v>107</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5" x14ac:dyDescent="0.35">
      <c r="A23" s="55"/>
      <c r="B23" s="112" t="s">
        <v>108</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5" x14ac:dyDescent="0.35">
      <c r="A24" s="55"/>
      <c r="B24" s="112" t="s">
        <v>109</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5" x14ac:dyDescent="0.35">
      <c r="A25" s="55"/>
      <c r="B25" s="112" t="s">
        <v>110</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5" x14ac:dyDescent="0.35">
      <c r="A26" s="55"/>
      <c r="B26" s="112" t="s">
        <v>111</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5" x14ac:dyDescent="0.35">
      <c r="A27" s="55"/>
      <c r="B27" s="112" t="s">
        <v>112</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5" x14ac:dyDescent="0.35">
      <c r="A28" s="55"/>
      <c r="B28" s="112" t="s">
        <v>113</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5" x14ac:dyDescent="0.35">
      <c r="A29" s="55"/>
      <c r="B29" s="112" t="s">
        <v>114</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5" x14ac:dyDescent="0.35">
      <c r="A30" s="55"/>
      <c r="B30" s="112" t="s">
        <v>115</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5" x14ac:dyDescent="0.35">
      <c r="A31" s="55"/>
      <c r="B31" s="112" t="s">
        <v>116</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5" x14ac:dyDescent="0.35">
      <c r="A32" s="55"/>
      <c r="B32" s="112" t="s">
        <v>117</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5" x14ac:dyDescent="0.35">
      <c r="A33" s="55"/>
      <c r="B33" s="112" t="s">
        <v>118</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5" x14ac:dyDescent="0.35">
      <c r="A34" s="55"/>
      <c r="B34" s="112" t="s">
        <v>119</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5" x14ac:dyDescent="0.35">
      <c r="A35" s="55"/>
      <c r="B35" s="112" t="s">
        <v>120</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5" x14ac:dyDescent="0.35">
      <c r="A36" s="55"/>
      <c r="B36" s="112" t="s">
        <v>121</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5" x14ac:dyDescent="0.35">
      <c r="A37" s="55"/>
      <c r="B37" s="112" t="s">
        <v>122</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5" x14ac:dyDescent="0.35">
      <c r="A38" s="55"/>
      <c r="B38" s="112" t="s">
        <v>123</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5" x14ac:dyDescent="0.35">
      <c r="A39" s="55"/>
      <c r="B39" s="112" t="s">
        <v>124</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5" x14ac:dyDescent="0.35">
      <c r="A40" s="55"/>
      <c r="B40" s="112" t="s">
        <v>125</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5" x14ac:dyDescent="0.35">
      <c r="A41" s="55"/>
      <c r="B41" s="112" t="s">
        <v>126</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5" x14ac:dyDescent="0.35">
      <c r="A42" s="55"/>
      <c r="B42" s="112" t="s">
        <v>127</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5" x14ac:dyDescent="0.35">
      <c r="A43" s="55"/>
      <c r="B43" s="112" t="s">
        <v>128</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5" x14ac:dyDescent="0.35">
      <c r="A44" s="55"/>
      <c r="B44" s="112" t="s">
        <v>129</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5" x14ac:dyDescent="0.35">
      <c r="A45" s="55"/>
      <c r="B45" s="112" t="s">
        <v>130</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5" x14ac:dyDescent="0.35">
      <c r="A46" s="55"/>
      <c r="B46" s="112" t="s">
        <v>131</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5" x14ac:dyDescent="0.35">
      <c r="A47" s="55"/>
      <c r="B47" s="112" t="s">
        <v>132</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5">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5">
      <c r="A49" s="55"/>
      <c r="B49" s="107" t="s">
        <v>134</v>
      </c>
      <c r="C49" s="49" t="s">
        <v>94</v>
      </c>
      <c r="D49" s="70" t="s">
        <v>95</v>
      </c>
      <c r="E49" s="70" t="s">
        <v>96</v>
      </c>
      <c r="F49" s="70" t="s">
        <v>97</v>
      </c>
      <c r="G49" s="70" t="s">
        <v>98</v>
      </c>
      <c r="H49" s="70" t="s">
        <v>99</v>
      </c>
      <c r="I49" s="70" t="s">
        <v>100</v>
      </c>
      <c r="J49" s="70" t="s">
        <v>101</v>
      </c>
      <c r="K49" s="70" t="s">
        <v>102</v>
      </c>
      <c r="L49" s="70" t="s">
        <v>103</v>
      </c>
      <c r="M49" s="70" t="s">
        <v>104</v>
      </c>
      <c r="N49" s="70" t="s">
        <v>105</v>
      </c>
      <c r="O49" s="70" t="s">
        <v>106</v>
      </c>
      <c r="P49" s="70" t="s">
        <v>107</v>
      </c>
      <c r="Q49" s="70" t="s">
        <v>108</v>
      </c>
      <c r="R49" s="70" t="s">
        <v>109</v>
      </c>
      <c r="S49" s="70" t="s">
        <v>110</v>
      </c>
      <c r="T49" s="70" t="s">
        <v>111</v>
      </c>
      <c r="U49" s="70" t="s">
        <v>112</v>
      </c>
      <c r="V49" s="70" t="s">
        <v>113</v>
      </c>
      <c r="W49" s="70" t="s">
        <v>114</v>
      </c>
      <c r="X49" s="70" t="s">
        <v>115</v>
      </c>
      <c r="Y49" s="70" t="s">
        <v>116</v>
      </c>
      <c r="Z49" s="70" t="s">
        <v>117</v>
      </c>
      <c r="AA49" s="70" t="s">
        <v>118</v>
      </c>
      <c r="AB49" s="70" t="s">
        <v>119</v>
      </c>
      <c r="AC49" s="70" t="s">
        <v>120</v>
      </c>
      <c r="AD49" s="70" t="s">
        <v>121</v>
      </c>
      <c r="AE49" s="70" t="s">
        <v>122</v>
      </c>
      <c r="AF49" s="70" t="s">
        <v>123</v>
      </c>
      <c r="AG49" s="70" t="s">
        <v>124</v>
      </c>
      <c r="AH49" s="70" t="s">
        <v>125</v>
      </c>
      <c r="AI49" s="70" t="s">
        <v>126</v>
      </c>
      <c r="AJ49" s="70" t="s">
        <v>127</v>
      </c>
      <c r="AK49" s="70" t="s">
        <v>128</v>
      </c>
      <c r="AL49" s="70" t="s">
        <v>129</v>
      </c>
      <c r="AM49" s="70" t="s">
        <v>130</v>
      </c>
      <c r="AN49" s="70" t="s">
        <v>131</v>
      </c>
      <c r="AO49" s="70" t="s">
        <v>132</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5">
      <c r="A50" s="102"/>
      <c r="B50" s="49" t="s">
        <v>133</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5">
      <c r="A51" s="102"/>
      <c r="B51" s="68" t="s">
        <v>95</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5">
      <c r="A52" s="102"/>
      <c r="B52" s="112" t="s">
        <v>96</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5">
      <c r="A53" s="102"/>
      <c r="B53" s="112" t="s">
        <v>97</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5">
      <c r="A54" s="102"/>
      <c r="B54" s="112" t="s">
        <v>98</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5">
      <c r="A55" s="102"/>
      <c r="B55" s="112" t="s">
        <v>99</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5">
      <c r="A56" s="102"/>
      <c r="B56" s="112" t="s">
        <v>100</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5">
      <c r="A57" s="102"/>
      <c r="B57" s="112" t="s">
        <v>101</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5">
      <c r="A58" s="102"/>
      <c r="B58" s="112" t="s">
        <v>102</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5">
      <c r="A59" s="102"/>
      <c r="B59" s="112" t="s">
        <v>103</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5">
      <c r="A60" s="102"/>
      <c r="B60" s="112" t="s">
        <v>104</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5">
      <c r="A61" s="102"/>
      <c r="B61" s="112" t="s">
        <v>105</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5">
      <c r="A62" s="102"/>
      <c r="B62" s="112" t="s">
        <v>106</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5">
      <c r="A63" s="102"/>
      <c r="B63" s="112" t="s">
        <v>107</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5">
      <c r="A64" s="102"/>
      <c r="B64" s="112" t="s">
        <v>108</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5">
      <c r="A65" s="102"/>
      <c r="B65" s="112" t="s">
        <v>109</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5">
      <c r="A66" s="102"/>
      <c r="B66" s="112" t="s">
        <v>110</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5">
      <c r="A67" s="102"/>
      <c r="B67" s="112" t="s">
        <v>111</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5">
      <c r="A68" s="102"/>
      <c r="B68" s="112" t="s">
        <v>112</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5">
      <c r="A69" s="102"/>
      <c r="B69" s="112" t="s">
        <v>113</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5">
      <c r="A70" s="102"/>
      <c r="B70" s="112" t="s">
        <v>114</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5">
      <c r="A71" s="102"/>
      <c r="B71" s="112" t="s">
        <v>115</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5">
      <c r="A72" s="102"/>
      <c r="B72" s="112" t="s">
        <v>116</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5">
      <c r="A73" s="102"/>
      <c r="B73" s="112" t="s">
        <v>117</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5">
      <c r="A74" s="102"/>
      <c r="B74" s="112" t="s">
        <v>118</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5">
      <c r="A75" s="102"/>
      <c r="B75" s="112" t="s">
        <v>119</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5">
      <c r="A76" s="102"/>
      <c r="B76" s="112" t="s">
        <v>120</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5">
      <c r="A77" s="102"/>
      <c r="B77" s="112" t="s">
        <v>121</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5">
      <c r="A78" s="102"/>
      <c r="B78" s="112" t="s">
        <v>122</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5">
      <c r="A79" s="102"/>
      <c r="B79" s="112" t="s">
        <v>123</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5">
      <c r="A80" s="102"/>
      <c r="B80" s="112" t="s">
        <v>124</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5">
      <c r="A81" s="102"/>
      <c r="B81" s="112" t="s">
        <v>125</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5">
      <c r="A82" s="102"/>
      <c r="B82" s="112" t="s">
        <v>126</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5">
      <c r="A83" s="102"/>
      <c r="B83" s="112" t="s">
        <v>127</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5">
      <c r="A84" s="102"/>
      <c r="B84" s="112" t="s">
        <v>128</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5">
      <c r="A85" s="102"/>
      <c r="B85" s="112" t="s">
        <v>129</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5">
      <c r="A86" s="102"/>
      <c r="B86" s="112" t="s">
        <v>130</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5">
      <c r="A87" s="102"/>
      <c r="B87" s="112" t="s">
        <v>131</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5" x14ac:dyDescent="0.35">
      <c r="A88" s="55"/>
      <c r="B88" s="112" t="s">
        <v>132</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5">
      <c r="A89" s="55"/>
      <c r="B89" s="145"/>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5" x14ac:dyDescent="0.35">
      <c r="B90" s="5" t="s">
        <v>193</v>
      </c>
    </row>
    <row r="91" spans="1:96" ht="15" customHeight="1" x14ac:dyDescent="0.3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5">
      <c r="A92" s="102"/>
      <c r="B92" s="107" t="s">
        <v>93</v>
      </c>
      <c r="C92" s="49" t="s">
        <v>94</v>
      </c>
      <c r="D92" s="70" t="s">
        <v>95</v>
      </c>
      <c r="E92" s="70" t="s">
        <v>96</v>
      </c>
      <c r="F92" s="70" t="s">
        <v>97</v>
      </c>
      <c r="G92" s="70" t="s">
        <v>98</v>
      </c>
      <c r="H92" s="70" t="s">
        <v>99</v>
      </c>
      <c r="I92" s="70" t="s">
        <v>100</v>
      </c>
      <c r="J92" s="70" t="s">
        <v>101</v>
      </c>
      <c r="K92" s="70" t="s">
        <v>102</v>
      </c>
      <c r="L92" s="70" t="s">
        <v>103</v>
      </c>
      <c r="M92" s="70" t="s">
        <v>104</v>
      </c>
      <c r="N92" s="70" t="s">
        <v>105</v>
      </c>
      <c r="O92" s="70" t="s">
        <v>106</v>
      </c>
      <c r="P92" s="70" t="s">
        <v>107</v>
      </c>
      <c r="Q92" s="70" t="s">
        <v>108</v>
      </c>
      <c r="R92" s="70" t="s">
        <v>109</v>
      </c>
      <c r="S92" s="70" t="s">
        <v>110</v>
      </c>
      <c r="T92" s="70" t="s">
        <v>111</v>
      </c>
      <c r="U92" s="70" t="s">
        <v>112</v>
      </c>
      <c r="V92" s="70" t="s">
        <v>113</v>
      </c>
      <c r="W92" s="70" t="s">
        <v>114</v>
      </c>
      <c r="X92" s="70" t="s">
        <v>115</v>
      </c>
      <c r="Y92" s="70" t="s">
        <v>116</v>
      </c>
      <c r="Z92" s="70" t="s">
        <v>117</v>
      </c>
      <c r="AA92" s="70" t="s">
        <v>118</v>
      </c>
      <c r="AB92" s="70" t="s">
        <v>119</v>
      </c>
      <c r="AC92" s="70" t="s">
        <v>120</v>
      </c>
      <c r="AD92" s="70" t="s">
        <v>121</v>
      </c>
      <c r="AE92" s="70" t="s">
        <v>122</v>
      </c>
      <c r="AF92" s="70" t="s">
        <v>123</v>
      </c>
      <c r="AG92" s="70" t="s">
        <v>124</v>
      </c>
      <c r="AH92" s="70" t="s">
        <v>125</v>
      </c>
      <c r="AI92" s="70" t="s">
        <v>126</v>
      </c>
      <c r="AJ92" s="70" t="s">
        <v>127</v>
      </c>
      <c r="AK92" s="70" t="s">
        <v>128</v>
      </c>
      <c r="AL92" s="70" t="s">
        <v>129</v>
      </c>
      <c r="AM92" s="70" t="s">
        <v>130</v>
      </c>
      <c r="AN92" s="70" t="s">
        <v>131</v>
      </c>
      <c r="AO92" s="70" t="s">
        <v>132</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5">
      <c r="A93" s="102"/>
      <c r="B93" s="49" t="s">
        <v>133</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5">
      <c r="A94" s="102"/>
      <c r="B94" s="68" t="s">
        <v>95</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5">
      <c r="A95" s="102"/>
      <c r="B95" s="112" t="s">
        <v>96</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5">
      <c r="A96" s="102"/>
      <c r="B96" s="112" t="s">
        <v>97</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5">
      <c r="A97" s="102"/>
      <c r="B97" s="112" t="s">
        <v>98</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5">
      <c r="A98" s="102"/>
      <c r="B98" s="112" t="s">
        <v>99</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45">
      <c r="A99" s="50"/>
      <c r="B99" s="112" t="s">
        <v>100</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2" t="s">
        <v>101</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2" t="s">
        <v>102</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2"/>
      <c r="B102" s="112" t="s">
        <v>103</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5">
      <c r="A103" s="102"/>
      <c r="B103" s="112" t="s">
        <v>104</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5">
      <c r="A104" s="102"/>
      <c r="B104" s="112" t="s">
        <v>105</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5">
      <c r="A105" s="102"/>
      <c r="B105" s="112" t="s">
        <v>106</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5">
      <c r="A106" s="6"/>
      <c r="B106" s="112" t="s">
        <v>107</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2" t="s">
        <v>108</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5">
      <c r="B108" s="112" t="s">
        <v>109</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5">
      <c r="B109" s="112" t="s">
        <v>110</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5">
      <c r="B110" s="112" t="s">
        <v>111</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5">
      <c r="B111" s="112" t="s">
        <v>112</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5">
      <c r="B112" s="112" t="s">
        <v>113</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5">
      <c r="B113" s="112" t="s">
        <v>114</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5">
      <c r="B114" s="112" t="s">
        <v>115</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5">
      <c r="B115" s="112" t="s">
        <v>116</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5">
      <c r="B116" s="112" t="s">
        <v>117</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5">
      <c r="B117" s="112" t="s">
        <v>118</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5">
      <c r="B118" s="112" t="s">
        <v>119</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5">
      <c r="B119" s="112" t="s">
        <v>120</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5">
      <c r="B120" s="112" t="s">
        <v>121</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5">
      <c r="B121" s="112" t="s">
        <v>122</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5">
      <c r="B122" s="112" t="s">
        <v>123</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5">
      <c r="B123" s="112" t="s">
        <v>124</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5">
      <c r="B124" s="112" t="s">
        <v>125</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5">
      <c r="B125" s="112" t="s">
        <v>126</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5">
      <c r="B126" s="112" t="s">
        <v>127</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5">
      <c r="B127" s="112" t="s">
        <v>128</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5">
      <c r="B128" s="112" t="s">
        <v>129</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5">
      <c r="B129" s="112" t="s">
        <v>130</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5">
      <c r="B130" s="112" t="s">
        <v>131</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5" x14ac:dyDescent="0.35">
      <c r="A131" s="55"/>
      <c r="B131" s="112" t="s">
        <v>132</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5" x14ac:dyDescent="0.35">
      <c r="B133" s="5" t="s">
        <v>193</v>
      </c>
    </row>
    <row r="134" spans="1:96" ht="15" customHeight="1" x14ac:dyDescent="0.3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5">
      <c r="A135" s="102"/>
      <c r="B135" s="107" t="s">
        <v>134</v>
      </c>
      <c r="C135" s="49" t="s">
        <v>94</v>
      </c>
      <c r="D135" s="70" t="s">
        <v>95</v>
      </c>
      <c r="E135" s="70" t="s">
        <v>96</v>
      </c>
      <c r="F135" s="70" t="s">
        <v>97</v>
      </c>
      <c r="G135" s="70" t="s">
        <v>98</v>
      </c>
      <c r="H135" s="70" t="s">
        <v>99</v>
      </c>
      <c r="I135" s="70" t="s">
        <v>100</v>
      </c>
      <c r="J135" s="70" t="s">
        <v>101</v>
      </c>
      <c r="K135" s="70" t="s">
        <v>102</v>
      </c>
      <c r="L135" s="70" t="s">
        <v>103</v>
      </c>
      <c r="M135" s="70" t="s">
        <v>104</v>
      </c>
      <c r="N135" s="70" t="s">
        <v>105</v>
      </c>
      <c r="O135" s="70" t="s">
        <v>106</v>
      </c>
      <c r="P135" s="70" t="s">
        <v>107</v>
      </c>
      <c r="Q135" s="70" t="s">
        <v>108</v>
      </c>
      <c r="R135" s="70" t="s">
        <v>109</v>
      </c>
      <c r="S135" s="70" t="s">
        <v>110</v>
      </c>
      <c r="T135" s="70" t="s">
        <v>111</v>
      </c>
      <c r="U135" s="70" t="s">
        <v>112</v>
      </c>
      <c r="V135" s="70" t="s">
        <v>113</v>
      </c>
      <c r="W135" s="70" t="s">
        <v>114</v>
      </c>
      <c r="X135" s="70" t="s">
        <v>115</v>
      </c>
      <c r="Y135" s="70" t="s">
        <v>116</v>
      </c>
      <c r="Z135" s="70" t="s">
        <v>117</v>
      </c>
      <c r="AA135" s="70" t="s">
        <v>118</v>
      </c>
      <c r="AB135" s="70" t="s">
        <v>119</v>
      </c>
      <c r="AC135" s="70" t="s">
        <v>120</v>
      </c>
      <c r="AD135" s="70" t="s">
        <v>121</v>
      </c>
      <c r="AE135" s="70" t="s">
        <v>122</v>
      </c>
      <c r="AF135" s="70" t="s">
        <v>123</v>
      </c>
      <c r="AG135" s="70" t="s">
        <v>124</v>
      </c>
      <c r="AH135" s="70" t="s">
        <v>125</v>
      </c>
      <c r="AI135" s="70" t="s">
        <v>126</v>
      </c>
      <c r="AJ135" s="70" t="s">
        <v>127</v>
      </c>
      <c r="AK135" s="70" t="s">
        <v>128</v>
      </c>
      <c r="AL135" s="70" t="s">
        <v>129</v>
      </c>
      <c r="AM135" s="70" t="s">
        <v>130</v>
      </c>
      <c r="AN135" s="70" t="s">
        <v>131</v>
      </c>
      <c r="AO135" s="70" t="s">
        <v>132</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5">
      <c r="A136" s="102"/>
      <c r="B136" s="49" t="s">
        <v>133</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5">
      <c r="A137" s="102"/>
      <c r="B137" s="68" t="s">
        <v>95</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5">
      <c r="A138" s="102"/>
      <c r="B138" s="112" t="s">
        <v>96</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5">
      <c r="A139" s="102"/>
      <c r="B139" s="112" t="s">
        <v>97</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5">
      <c r="A140" s="102"/>
      <c r="B140" s="112" t="s">
        <v>98</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5">
      <c r="A141" s="102"/>
      <c r="B141" s="112" t="s">
        <v>99</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45">
      <c r="A142" s="50"/>
      <c r="B142" s="112" t="s">
        <v>100</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2" t="s">
        <v>101</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2" t="s">
        <v>102</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2"/>
      <c r="B145" s="112" t="s">
        <v>103</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5">
      <c r="A146" s="102"/>
      <c r="B146" s="112" t="s">
        <v>104</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5">
      <c r="A147" s="102"/>
      <c r="B147" s="112" t="s">
        <v>105</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5">
      <c r="A148" s="102"/>
      <c r="B148" s="112" t="s">
        <v>106</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5">
      <c r="A149" s="6"/>
      <c r="B149" s="112" t="s">
        <v>107</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2" t="s">
        <v>108</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5">
      <c r="B151" s="112" t="s">
        <v>109</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5">
      <c r="B152" s="112" t="s">
        <v>110</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5">
      <c r="B153" s="112" t="s">
        <v>111</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5">
      <c r="B154" s="112" t="s">
        <v>112</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5">
      <c r="B155" s="112" t="s">
        <v>113</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5">
      <c r="B156" s="112" t="s">
        <v>114</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5">
      <c r="B157" s="112" t="s">
        <v>115</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5">
      <c r="B158" s="112" t="s">
        <v>116</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5">
      <c r="B159" s="112" t="s">
        <v>117</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5">
      <c r="B160" s="112" t="s">
        <v>118</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5">
      <c r="B161" s="112" t="s">
        <v>119</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5">
      <c r="B162" s="112" t="s">
        <v>120</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5">
      <c r="B163" s="112" t="s">
        <v>121</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5">
      <c r="B164" s="112" t="s">
        <v>122</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5">
      <c r="B165" s="112" t="s">
        <v>123</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5">
      <c r="B166" s="112" t="s">
        <v>124</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5">
      <c r="B167" s="112" t="s">
        <v>125</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5">
      <c r="B168" s="112" t="s">
        <v>126</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5">
      <c r="B169" s="112" t="s">
        <v>127</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5">
      <c r="B170" s="112" t="s">
        <v>128</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5">
      <c r="B171" s="112" t="s">
        <v>129</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5">
      <c r="B172" s="112" t="s">
        <v>130</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5">
      <c r="B173" s="112" t="s">
        <v>131</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5" x14ac:dyDescent="0.35">
      <c r="A174" s="55"/>
      <c r="B174" s="112" t="s">
        <v>132</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5">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5">
      <c r="B176" s="129" t="s">
        <v>194</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195</v>
      </c>
    </row>
    <row r="177" spans="1:95" s="6" customFormat="1" ht="15" customHeight="1" x14ac:dyDescent="0.35">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5">
      <c r="B178" s="129" t="s">
        <v>196</v>
      </c>
      <c r="C178" s="50"/>
      <c r="D178" s="128">
        <f>SUMIF($D$94:$AN$130,"&gt;0",$D$94:$AN$130)</f>
        <v>0</v>
      </c>
      <c r="E178" s="16" t="s">
        <v>197</v>
      </c>
      <c r="F178" s="128"/>
      <c r="G178" s="128"/>
      <c r="H178" s="128"/>
      <c r="I178" s="130"/>
      <c r="J178" s="128"/>
      <c r="K178" s="128"/>
      <c r="L178" s="128"/>
      <c r="M178" s="128"/>
      <c r="N178" s="128"/>
      <c r="O178" s="128"/>
      <c r="P178" s="128"/>
      <c r="Q178" s="128"/>
      <c r="R178" s="16"/>
    </row>
    <row r="179" spans="1:95" s="6" customFormat="1" ht="15" customHeight="1" x14ac:dyDescent="0.35">
      <c r="B179" s="129" t="s">
        <v>198</v>
      </c>
      <c r="C179" s="50"/>
      <c r="D179" s="128">
        <f>-SUMIF($D$94:$AN$130,"&lt;0",$D$94:$AN$130)</f>
        <v>0</v>
      </c>
      <c r="E179" s="16" t="s">
        <v>199</v>
      </c>
      <c r="F179" s="128"/>
      <c r="G179" s="128"/>
      <c r="H179" s="128"/>
      <c r="I179" s="128"/>
      <c r="J179" s="128"/>
      <c r="K179" s="128"/>
      <c r="L179" s="128"/>
      <c r="M179" s="128"/>
      <c r="N179" s="128"/>
      <c r="O179" s="128"/>
      <c r="P179" s="128"/>
      <c r="Q179" s="128"/>
      <c r="R179" s="16"/>
    </row>
    <row r="180" spans="1:95" s="6" customFormat="1" ht="15" customHeight="1" x14ac:dyDescent="0.35">
      <c r="B180" s="129" t="s">
        <v>200</v>
      </c>
      <c r="C180" s="50"/>
      <c r="D180" s="131" t="str">
        <f>IF(C198=0,"n/a",SUMIF($D$137:$AN$173,"&gt;0",$D$137:$AN$173))</f>
        <v>n/a</v>
      </c>
      <c r="E180" s="16" t="s">
        <v>201</v>
      </c>
      <c r="F180" s="128"/>
      <c r="G180" s="128"/>
      <c r="H180" s="128"/>
      <c r="I180" s="128"/>
      <c r="J180" s="128"/>
      <c r="K180" s="128"/>
      <c r="L180" s="128"/>
      <c r="M180" s="128"/>
      <c r="N180" s="128"/>
      <c r="O180" s="128"/>
      <c r="P180" s="128"/>
      <c r="Q180" s="128"/>
      <c r="R180" s="16"/>
    </row>
    <row r="181" spans="1:95" s="6" customFormat="1" ht="15" customHeight="1" x14ac:dyDescent="0.35">
      <c r="B181" s="129" t="s">
        <v>202</v>
      </c>
      <c r="C181" s="50"/>
      <c r="D181" s="131" t="str">
        <f>IF(C198=0,"n/a",-SUMIF($D$137:$AN$173,"&lt;0",$D$137:$AN$173))</f>
        <v>n/a</v>
      </c>
      <c r="E181" s="16" t="s">
        <v>203</v>
      </c>
      <c r="F181" s="128"/>
      <c r="G181" s="128"/>
      <c r="H181" s="128"/>
      <c r="I181" s="128"/>
      <c r="J181" s="128"/>
      <c r="K181" s="128"/>
      <c r="L181" s="128"/>
      <c r="M181" s="128"/>
      <c r="N181" s="128"/>
      <c r="O181" s="128"/>
      <c r="P181" s="128"/>
      <c r="Q181" s="128"/>
      <c r="R181" s="16"/>
    </row>
    <row r="182" spans="1:95" ht="15" customHeight="1" x14ac:dyDescent="0.3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5" x14ac:dyDescent="0.45">
      <c r="B183" s="2" t="s">
        <v>204</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2" t="s">
        <v>205</v>
      </c>
      <c r="C185" s="11" t="str">
        <f>Scheme_type_in</f>
        <v>road</v>
      </c>
      <c r="D185" s="3" t="s">
        <v>206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2" t="s">
        <v>140</v>
      </c>
      <c r="C187" s="11">
        <f>(Scheme_type="Road")*1</f>
        <v>1</v>
      </c>
      <c r="D187" s="3" t="s">
        <v>207</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2" t="s">
        <v>155</v>
      </c>
      <c r="C188" s="11">
        <f>(Scheme_type="Rail")*1</f>
        <v>0</v>
      </c>
      <c r="D188" s="3" t="s">
        <v>208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2" t="s">
        <v>161</v>
      </c>
      <c r="C189" s="11">
        <f>(Scheme_type="Aviation")*1</f>
        <v>0</v>
      </c>
      <c r="D189" s="3" t="s">
        <v>209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2"/>
      <c r="B191" s="102" t="s">
        <v>210</v>
      </c>
      <c r="C191" s="65" t="str">
        <f>Night_noise_impact_in</f>
        <v>yes</v>
      </c>
      <c r="D191" s="3" t="s">
        <v>211</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5">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5">
      <c r="A193" s="102"/>
      <c r="B193" s="102" t="s">
        <v>212</v>
      </c>
      <c r="C193" s="11">
        <f>(Night_noise_impact="yes")*1</f>
        <v>1</v>
      </c>
      <c r="D193" s="3" t="s">
        <v>213</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5">
      <c r="A194" s="102"/>
      <c r="B194" s="102" t="s">
        <v>214</v>
      </c>
      <c r="C194" s="11">
        <f>(Night_noise_impact="no")*1</f>
        <v>0</v>
      </c>
      <c r="D194" s="3" t="s">
        <v>215</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5">
      <c r="A196" s="102"/>
      <c r="B196" s="102" t="s">
        <v>216</v>
      </c>
      <c r="C196" s="65" t="str">
        <f>Night_noise_modelling_in</f>
        <v>no</v>
      </c>
      <c r="D196" s="3" t="s">
        <v>217</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5">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5">
      <c r="A198" s="102"/>
      <c r="B198" s="102" t="s">
        <v>218</v>
      </c>
      <c r="C198" s="11">
        <f>(Night_noise_modelling="yes")*1</f>
        <v>0</v>
      </c>
      <c r="D198" s="3" t="s">
        <v>219</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5">
      <c r="A199" s="102"/>
      <c r="B199" s="102" t="s">
        <v>220</v>
      </c>
      <c r="C199" s="11">
        <f>(Night_noise_modelling="no")*1</f>
        <v>1</v>
      </c>
      <c r="D199" s="3" t="s">
        <v>221</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143</v>
      </c>
      <c r="C201" s="9"/>
      <c r="D201" s="10"/>
      <c r="E201" s="10"/>
    </row>
    <row r="202" spans="1:95" ht="15" customHeight="1" x14ac:dyDescent="0.35">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5">
      <c r="A203" s="102"/>
      <c r="B203" s="151" t="s">
        <v>222</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5">
      <c r="A204" s="102"/>
      <c r="B204" s="151"/>
      <c r="C204" s="64" t="s">
        <v>223</v>
      </c>
      <c r="D204" s="12" t="s">
        <v>95</v>
      </c>
      <c r="E204" s="13" t="s">
        <v>96</v>
      </c>
      <c r="F204" s="97" t="s">
        <v>97</v>
      </c>
      <c r="G204" s="97" t="s">
        <v>98</v>
      </c>
      <c r="H204" s="97" t="s">
        <v>99</v>
      </c>
      <c r="I204" s="97" t="s">
        <v>100</v>
      </c>
      <c r="J204" s="97" t="s">
        <v>101</v>
      </c>
      <c r="K204" s="97" t="s">
        <v>102</v>
      </c>
      <c r="L204" s="97" t="s">
        <v>103</v>
      </c>
      <c r="M204" s="97" t="s">
        <v>104</v>
      </c>
      <c r="N204" s="97" t="s">
        <v>105</v>
      </c>
      <c r="O204" s="97" t="s">
        <v>106</v>
      </c>
      <c r="P204" s="97" t="s">
        <v>107</v>
      </c>
      <c r="Q204" s="97" t="s">
        <v>108</v>
      </c>
      <c r="R204" s="97" t="s">
        <v>109</v>
      </c>
      <c r="S204" s="97" t="s">
        <v>110</v>
      </c>
      <c r="T204" s="97" t="s">
        <v>111</v>
      </c>
      <c r="U204" s="97" t="s">
        <v>112</v>
      </c>
      <c r="V204" s="97" t="s">
        <v>113</v>
      </c>
      <c r="W204" s="97" t="s">
        <v>114</v>
      </c>
      <c r="X204" s="97" t="s">
        <v>115</v>
      </c>
      <c r="Y204" s="97" t="s">
        <v>116</v>
      </c>
      <c r="Z204" s="97" t="s">
        <v>117</v>
      </c>
      <c r="AA204" s="97" t="s">
        <v>118</v>
      </c>
      <c r="AB204" s="97" t="s">
        <v>119</v>
      </c>
      <c r="AC204" s="97" t="s">
        <v>120</v>
      </c>
      <c r="AD204" s="97" t="s">
        <v>121</v>
      </c>
      <c r="AE204" s="97" t="s">
        <v>122</v>
      </c>
      <c r="AF204" s="97" t="s">
        <v>123</v>
      </c>
      <c r="AG204" s="97" t="s">
        <v>124</v>
      </c>
      <c r="AH204" s="97" t="s">
        <v>125</v>
      </c>
      <c r="AI204" s="97" t="s">
        <v>126</v>
      </c>
      <c r="AJ204" s="97" t="s">
        <v>127</v>
      </c>
      <c r="AK204" s="97" t="s">
        <v>128</v>
      </c>
      <c r="AL204" s="97" t="s">
        <v>129</v>
      </c>
      <c r="AM204" s="97" t="s">
        <v>130</v>
      </c>
      <c r="AN204" s="97" t="s">
        <v>131</v>
      </c>
      <c r="AO204" s="97" t="s">
        <v>132</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5">
      <c r="A205" s="102"/>
      <c r="B205" s="102" t="s">
        <v>224</v>
      </c>
      <c r="C205" s="102">
        <f>Road_mask*Night_impact_mask*Night_modelling_mask</f>
        <v>0</v>
      </c>
      <c r="D205" s="118">
        <v>0</v>
      </c>
      <c r="E205" s="118">
        <v>0</v>
      </c>
      <c r="F205" s="118">
        <v>0</v>
      </c>
      <c r="G205" s="118">
        <v>0</v>
      </c>
      <c r="H205" s="118">
        <v>0</v>
      </c>
      <c r="I205" s="118">
        <v>0</v>
      </c>
      <c r="J205" s="118">
        <f t="shared" ref="J205:AN205" si="0">Sleep_disturbance_values_road_1dB_night_in</f>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5">
      <c r="A206" s="102"/>
      <c r="B206" s="102" t="s">
        <v>225</v>
      </c>
      <c r="C206" s="101">
        <f>Rail_mask*Night_impact_mask*Night_modelling_mask</f>
        <v>0</v>
      </c>
      <c r="D206" s="118">
        <v>0</v>
      </c>
      <c r="E206" s="118">
        <v>0</v>
      </c>
      <c r="F206" s="118">
        <v>0</v>
      </c>
      <c r="G206" s="118">
        <v>0</v>
      </c>
      <c r="H206" s="118">
        <v>0</v>
      </c>
      <c r="I206" s="118">
        <v>0</v>
      </c>
      <c r="J206" s="118">
        <f t="shared" ref="J206:AO206" si="1">Sleep_disturbance_values_rail_1dB_night_in</f>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5">
      <c r="A207" s="102"/>
      <c r="B207" s="102" t="s">
        <v>226</v>
      </c>
      <c r="C207" s="101">
        <f>Aviation_mask*Night_impact_mask*Night_modelling_mask</f>
        <v>0</v>
      </c>
      <c r="D207" s="118">
        <v>0</v>
      </c>
      <c r="E207" s="118">
        <v>0</v>
      </c>
      <c r="F207" s="118">
        <v>0</v>
      </c>
      <c r="G207" s="118">
        <v>0</v>
      </c>
      <c r="H207" s="118">
        <v>0</v>
      </c>
      <c r="I207" s="118">
        <v>0</v>
      </c>
      <c r="J207" s="118">
        <f t="shared" ref="J207:AO207" si="2">Sleep_disturbance_values_aviation_1dB_night_in</f>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5">
      <c r="A208" s="102"/>
      <c r="B208" s="102" t="s">
        <v>227</v>
      </c>
      <c r="C208" s="102">
        <f>Road_mask*Night_impact_mask*Non_night_modelling_mask</f>
        <v>1</v>
      </c>
      <c r="D208" s="118">
        <v>0</v>
      </c>
      <c r="E208" s="118">
        <v>0</v>
      </c>
      <c r="F208" s="118">
        <v>0</v>
      </c>
      <c r="G208" s="118">
        <v>0</v>
      </c>
      <c r="H208" s="118">
        <v>0</v>
      </c>
      <c r="I208" s="118">
        <v>0</v>
      </c>
      <c r="J208" s="118">
        <f t="shared" ref="J208:AO208" si="3">Sleep_disturbance_values_road_1dB_16hr_in</f>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5">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5">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5">
      <c r="A211" s="102"/>
      <c r="B211" s="151"/>
      <c r="C211" s="102"/>
      <c r="D211" s="12" t="s">
        <v>95</v>
      </c>
      <c r="E211" s="13" t="s">
        <v>96</v>
      </c>
      <c r="F211" s="97" t="s">
        <v>97</v>
      </c>
      <c r="G211" s="97" t="s">
        <v>98</v>
      </c>
      <c r="H211" s="97" t="s">
        <v>99</v>
      </c>
      <c r="I211" s="97" t="s">
        <v>100</v>
      </c>
      <c r="J211" s="97" t="s">
        <v>101</v>
      </c>
      <c r="K211" s="97" t="s">
        <v>102</v>
      </c>
      <c r="L211" s="97" t="s">
        <v>103</v>
      </c>
      <c r="M211" s="97" t="s">
        <v>104</v>
      </c>
      <c r="N211" s="97" t="s">
        <v>105</v>
      </c>
      <c r="O211" s="97" t="s">
        <v>106</v>
      </c>
      <c r="P211" s="97" t="s">
        <v>107</v>
      </c>
      <c r="Q211" s="97" t="s">
        <v>108</v>
      </c>
      <c r="R211" s="97" t="s">
        <v>109</v>
      </c>
      <c r="S211" s="97" t="s">
        <v>110</v>
      </c>
      <c r="T211" s="97" t="s">
        <v>111</v>
      </c>
      <c r="U211" s="97" t="s">
        <v>112</v>
      </c>
      <c r="V211" s="97" t="s">
        <v>113</v>
      </c>
      <c r="W211" s="97" t="s">
        <v>114</v>
      </c>
      <c r="X211" s="97" t="s">
        <v>115</v>
      </c>
      <c r="Y211" s="97" t="s">
        <v>116</v>
      </c>
      <c r="Z211" s="97" t="s">
        <v>117</v>
      </c>
      <c r="AA211" s="97" t="s">
        <v>118</v>
      </c>
      <c r="AB211" s="97" t="s">
        <v>119</v>
      </c>
      <c r="AC211" s="97" t="s">
        <v>120</v>
      </c>
      <c r="AD211" s="97" t="s">
        <v>121</v>
      </c>
      <c r="AE211" s="97" t="s">
        <v>122</v>
      </c>
      <c r="AF211" s="97" t="s">
        <v>123</v>
      </c>
      <c r="AG211" s="97" t="s">
        <v>124</v>
      </c>
      <c r="AH211" s="97" t="s">
        <v>125</v>
      </c>
      <c r="AI211" s="97" t="s">
        <v>126</v>
      </c>
      <c r="AJ211" s="97" t="s">
        <v>127</v>
      </c>
      <c r="AK211" s="97" t="s">
        <v>128</v>
      </c>
      <c r="AL211" s="97" t="s">
        <v>129</v>
      </c>
      <c r="AM211" s="97" t="s">
        <v>130</v>
      </c>
      <c r="AN211" s="97" t="s">
        <v>131</v>
      </c>
      <c r="AO211" s="97" t="s">
        <v>132</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5">
      <c r="A212" s="102"/>
      <c r="B212" s="102" t="s">
        <v>228</v>
      </c>
      <c r="C212" s="102"/>
      <c r="D212" s="118">
        <v>0</v>
      </c>
      <c r="E212" s="118">
        <v>0</v>
      </c>
      <c r="F212" s="118">
        <v>0</v>
      </c>
      <c r="G212" s="118">
        <v>0</v>
      </c>
      <c r="H212" s="118">
        <v>0</v>
      </c>
      <c r="I212" s="118">
        <v>0</v>
      </c>
      <c r="J212" s="118">
        <f t="shared" ref="J212:AO212" si="4">Sleep_disturbance_values_road_1dB_night*Road_Lnight_mask+Sleep_disturbance_values_rail_1dB_night*Rail_Lnight_mask+Sleep_disturbance_values_aviation_1dB_night*Aviation_Lnight_mask+Sleep_disturbance_values_road_1dB_16hr*Road_L16h_mask</f>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5">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5">
      <c r="A214" s="17"/>
      <c r="B214" s="114"/>
      <c r="C214" s="49" t="s">
        <v>94</v>
      </c>
      <c r="D214" s="70" t="s">
        <v>95</v>
      </c>
      <c r="E214" s="70" t="s">
        <v>96</v>
      </c>
      <c r="F214" s="70" t="s">
        <v>97</v>
      </c>
      <c r="G214" s="70" t="s">
        <v>98</v>
      </c>
      <c r="H214" s="70" t="s">
        <v>99</v>
      </c>
      <c r="I214" s="70" t="s">
        <v>100</v>
      </c>
      <c r="J214" s="70" t="s">
        <v>101</v>
      </c>
      <c r="K214" s="70" t="s">
        <v>102</v>
      </c>
      <c r="L214" s="70" t="s">
        <v>103</v>
      </c>
      <c r="M214" s="70" t="s">
        <v>104</v>
      </c>
      <c r="N214" s="70" t="s">
        <v>105</v>
      </c>
      <c r="O214" s="70" t="s">
        <v>106</v>
      </c>
      <c r="P214" s="70" t="s">
        <v>107</v>
      </c>
      <c r="Q214" s="70" t="s">
        <v>108</v>
      </c>
      <c r="R214" s="70" t="s">
        <v>109</v>
      </c>
      <c r="S214" s="70" t="s">
        <v>110</v>
      </c>
      <c r="T214" s="70" t="s">
        <v>111</v>
      </c>
      <c r="U214" s="70" t="s">
        <v>112</v>
      </c>
      <c r="V214" s="70" t="s">
        <v>113</v>
      </c>
      <c r="W214" s="70" t="s">
        <v>114</v>
      </c>
      <c r="X214" s="70" t="s">
        <v>115</v>
      </c>
      <c r="Y214" s="70" t="s">
        <v>116</v>
      </c>
      <c r="Z214" s="70" t="s">
        <v>117</v>
      </c>
      <c r="AA214" s="70" t="s">
        <v>118</v>
      </c>
      <c r="AB214" s="70" t="s">
        <v>119</v>
      </c>
      <c r="AC214" s="70" t="s">
        <v>120</v>
      </c>
      <c r="AD214" s="70" t="s">
        <v>121</v>
      </c>
      <c r="AE214" s="70" t="s">
        <v>122</v>
      </c>
      <c r="AF214" s="70" t="s">
        <v>123</v>
      </c>
      <c r="AG214" s="70" t="s">
        <v>124</v>
      </c>
      <c r="AH214" s="70" t="s">
        <v>125</v>
      </c>
      <c r="AI214" s="70" t="s">
        <v>126</v>
      </c>
      <c r="AJ214" s="70" t="s">
        <v>127</v>
      </c>
      <c r="AK214" s="70" t="s">
        <v>128</v>
      </c>
      <c r="AL214" s="70" t="s">
        <v>129</v>
      </c>
      <c r="AM214" s="70" t="s">
        <v>130</v>
      </c>
      <c r="AN214" s="70" t="s">
        <v>131</v>
      </c>
      <c r="AO214" s="70"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133</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18.115231465883515</v>
      </c>
      <c r="AZ215" s="17">
        <f t="shared" si="5"/>
        <v>37.868984471112647</v>
      </c>
      <c r="BA215" s="17">
        <f t="shared" si="5"/>
        <v>41.146027549801701</v>
      </c>
      <c r="BB215" s="17">
        <f t="shared" si="5"/>
        <v>44.423070628490521</v>
      </c>
      <c r="BC215" s="17">
        <f t="shared" si="5"/>
        <v>47.7001137071803</v>
      </c>
      <c r="BD215" s="17">
        <f t="shared" si="5"/>
        <v>50.977156785869106</v>
      </c>
      <c r="BE215" s="17">
        <f t="shared" si="5"/>
        <v>54.25419986455816</v>
      </c>
      <c r="BF215" s="17">
        <f t="shared" si="5"/>
        <v>57.531242943247456</v>
      </c>
      <c r="BG215" s="17">
        <f t="shared" si="5"/>
        <v>60.808286021937477</v>
      </c>
      <c r="BH215" s="17">
        <f t="shared" si="5"/>
        <v>64.085329100626296</v>
      </c>
      <c r="BI215" s="17">
        <f t="shared" si="5"/>
        <v>67.362372179315585</v>
      </c>
      <c r="BJ215" s="17">
        <f t="shared" si="5"/>
        <v>70.63941525800584</v>
      </c>
      <c r="BK215" s="17">
        <f t="shared" si="5"/>
        <v>73.916458336695143</v>
      </c>
      <c r="BL215" s="17">
        <f t="shared" si="5"/>
        <v>77.19350141538348</v>
      </c>
      <c r="BM215" s="17">
        <f t="shared" si="5"/>
        <v>80.470544494072286</v>
      </c>
      <c r="BN215" s="17">
        <f t="shared" si="5"/>
        <v>83.747587572762072</v>
      </c>
      <c r="BO215" s="17">
        <f t="shared" si="5"/>
        <v>87.024630651450877</v>
      </c>
      <c r="BP215" s="17">
        <f t="shared" si="5"/>
        <v>90.301673730140649</v>
      </c>
      <c r="BQ215" s="17">
        <f t="shared" si="5"/>
        <v>93.578716808830436</v>
      </c>
      <c r="BR215" s="17">
        <f t="shared" si="5"/>
        <v>96.855759887519241</v>
      </c>
      <c r="BS215" s="17">
        <f t="shared" si="5"/>
        <v>100.13280296620806</v>
      </c>
      <c r="BT215" s="17">
        <f t="shared" si="5"/>
        <v>103.40984604489832</v>
      </c>
      <c r="BU215" s="17">
        <f t="shared" si="5"/>
        <v>106.68688912358762</v>
      </c>
      <c r="BV215" s="17">
        <f t="shared" si="5"/>
        <v>108.32541066293108</v>
      </c>
      <c r="BW215" s="17">
        <f t="shared" si="5"/>
        <v>108.32541066293108</v>
      </c>
      <c r="BX215" s="17">
        <f t="shared" si="5"/>
        <v>108.32541066293108</v>
      </c>
      <c r="BY215" s="17">
        <f t="shared" si="5"/>
        <v>108.32541066293108</v>
      </c>
      <c r="BZ215" s="17">
        <f t="shared" si="5"/>
        <v>108.32541066293108</v>
      </c>
      <c r="CA215" s="17">
        <f t="shared" si="5"/>
        <v>108.32541066293108</v>
      </c>
      <c r="CB215" s="17">
        <f t="shared" si="5"/>
        <v>108.32541066293108</v>
      </c>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8" t="s">
        <v>95</v>
      </c>
      <c r="C216" s="125"/>
      <c r="D216" s="134">
        <f>IF(D$214=$B216,0,IF(D$214&gt;$B216,-0.5*D$212-0.5*C$212+C216,0.5*HLOOKUP($B216,$D$211:$AO$212,2,FALSE)+0.5*HLOOKUP($B215,$D$211:$AO$212,2,FALSE)+D215))</f>
        <v>0</v>
      </c>
      <c r="E216" s="134">
        <f t="shared" ref="E216:AO216" si="6">IF(E$214=$B216,0,IF(E$214&gt;$B216,-0.5*E$212-0.5*D$212+D216,0.5*HLOOKUP($B216,$D$211:$AO$212,2,FALSE)+0.5*HLOOKUP($B215,$D$211:$AO$212,2,FALSE)+E215))</f>
        <v>0</v>
      </c>
      <c r="F216" s="134">
        <f t="shared" si="6"/>
        <v>0</v>
      </c>
      <c r="G216" s="134">
        <f t="shared" si="6"/>
        <v>0</v>
      </c>
      <c r="H216" s="134">
        <f t="shared" si="6"/>
        <v>0</v>
      </c>
      <c r="I216" s="134">
        <f t="shared" si="6"/>
        <v>0</v>
      </c>
      <c r="J216" s="134">
        <f t="shared" si="6"/>
        <v>0</v>
      </c>
      <c r="K216" s="134">
        <f t="shared" si="6"/>
        <v>0</v>
      </c>
      <c r="L216" s="134">
        <f t="shared" si="6"/>
        <v>-18.115231465883515</v>
      </c>
      <c r="M216" s="134">
        <f t="shared" si="6"/>
        <v>-55.984215936996165</v>
      </c>
      <c r="N216" s="134">
        <f t="shared" si="6"/>
        <v>-97.130243486797866</v>
      </c>
      <c r="O216" s="134">
        <f t="shared" si="6"/>
        <v>-141.5533141152884</v>
      </c>
      <c r="P216" s="134">
        <f t="shared" si="6"/>
        <v>-189.25342782246869</v>
      </c>
      <c r="Q216" s="134">
        <f t="shared" si="6"/>
        <v>-240.23058460833781</v>
      </c>
      <c r="R216" s="134">
        <f t="shared" si="6"/>
        <v>-294.48478447289597</v>
      </c>
      <c r="S216" s="134">
        <f t="shared" si="6"/>
        <v>-352.0160274161434</v>
      </c>
      <c r="T216" s="134">
        <f t="shared" si="6"/>
        <v>-412.82431343808088</v>
      </c>
      <c r="U216" s="134">
        <f t="shared" si="6"/>
        <v>-476.9096425387072</v>
      </c>
      <c r="V216" s="134">
        <f t="shared" si="6"/>
        <v>-544.27201471802277</v>
      </c>
      <c r="W216" s="134">
        <f t="shared" si="6"/>
        <v>-614.91142997602856</v>
      </c>
      <c r="X216" s="134">
        <f t="shared" si="6"/>
        <v>-688.82788831272364</v>
      </c>
      <c r="Y216" s="134">
        <f t="shared" si="6"/>
        <v>-766.02138972810712</v>
      </c>
      <c r="Z216" s="134">
        <f t="shared" si="6"/>
        <v>-846.49193422217945</v>
      </c>
      <c r="AA216" s="134">
        <f t="shared" si="6"/>
        <v>-930.23952179494154</v>
      </c>
      <c r="AB216" s="134">
        <f t="shared" si="6"/>
        <v>-1017.2641524463925</v>
      </c>
      <c r="AC216" s="134">
        <f t="shared" si="6"/>
        <v>-1107.5658261765332</v>
      </c>
      <c r="AD216" s="134">
        <f t="shared" si="6"/>
        <v>-1201.1445429853636</v>
      </c>
      <c r="AE216" s="134">
        <f t="shared" si="6"/>
        <v>-1298.0003028728829</v>
      </c>
      <c r="AF216" s="134">
        <f t="shared" si="6"/>
        <v>-1398.1331058390911</v>
      </c>
      <c r="AG216" s="134">
        <f t="shared" si="6"/>
        <v>-1501.5429518839894</v>
      </c>
      <c r="AH216" s="134">
        <f t="shared" si="6"/>
        <v>-1608.2298410075771</v>
      </c>
      <c r="AI216" s="134">
        <f t="shared" si="6"/>
        <v>-1716.5552516705081</v>
      </c>
      <c r="AJ216" s="134">
        <f t="shared" si="6"/>
        <v>-1824.8806623334392</v>
      </c>
      <c r="AK216" s="134">
        <f t="shared" si="6"/>
        <v>-1933.2060729963703</v>
      </c>
      <c r="AL216" s="134">
        <f t="shared" si="6"/>
        <v>-2041.5314836593013</v>
      </c>
      <c r="AM216" s="134">
        <f t="shared" si="6"/>
        <v>-2149.8568943222326</v>
      </c>
      <c r="AN216" s="134">
        <f t="shared" si="6"/>
        <v>-2258.1823049851637</v>
      </c>
      <c r="AO216" s="134">
        <f t="shared" si="6"/>
        <v>-2366.5077156480947</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18.115231465883515</v>
      </c>
      <c r="AZ216" s="17">
        <f>SUM($AQ215:AZ215)</f>
        <v>55.984215936996165</v>
      </c>
      <c r="BA216" s="17">
        <f>SUM($AQ215:BA215)</f>
        <v>97.130243486797866</v>
      </c>
      <c r="BB216" s="17">
        <f>SUM($AQ215:BB215)</f>
        <v>141.5533141152884</v>
      </c>
      <c r="BC216" s="17">
        <f>SUM($AQ215:BC215)</f>
        <v>189.25342782246869</v>
      </c>
      <c r="BD216" s="17">
        <f>SUM($AQ215:BD215)</f>
        <v>240.23058460833781</v>
      </c>
      <c r="BE216" s="17">
        <f>SUM($AQ215:BE215)</f>
        <v>294.48478447289597</v>
      </c>
      <c r="BF216" s="17">
        <f>SUM($AQ215:BF215)</f>
        <v>352.0160274161434</v>
      </c>
      <c r="BG216" s="17">
        <f>SUM($AQ215:BG215)</f>
        <v>412.82431343808088</v>
      </c>
      <c r="BH216" s="17">
        <f>SUM($AQ215:BH215)</f>
        <v>476.9096425387072</v>
      </c>
      <c r="BI216" s="17">
        <f>SUM($AQ215:BI215)</f>
        <v>544.27201471802277</v>
      </c>
      <c r="BJ216" s="17">
        <f>SUM($AQ215:BJ215)</f>
        <v>614.91142997602856</v>
      </c>
      <c r="BK216" s="17">
        <f>SUM($AQ215:BK215)</f>
        <v>688.82788831272364</v>
      </c>
      <c r="BL216" s="17">
        <f>SUM($AQ215:BL215)</f>
        <v>766.02138972810712</v>
      </c>
      <c r="BM216" s="17">
        <f>SUM($AQ215:BM215)</f>
        <v>846.49193422217945</v>
      </c>
      <c r="BN216" s="17">
        <f>SUM($AQ215:BN215)</f>
        <v>930.23952179494154</v>
      </c>
      <c r="BO216" s="17">
        <f>SUM($AQ215:BO215)</f>
        <v>1017.2641524463925</v>
      </c>
      <c r="BP216" s="17">
        <f>SUM($AQ215:BP215)</f>
        <v>1107.5658261765332</v>
      </c>
      <c r="BQ216" s="17">
        <f>SUM($AQ215:BQ215)</f>
        <v>1201.1445429853636</v>
      </c>
      <c r="BR216" s="17">
        <f>SUM($AQ215:BR215)</f>
        <v>1298.0003028728829</v>
      </c>
      <c r="BS216" s="17">
        <f>SUM($AQ215:BS215)</f>
        <v>1398.1331058390911</v>
      </c>
      <c r="BT216" s="17">
        <f>SUM($AQ215:BT215)</f>
        <v>1501.5429518839894</v>
      </c>
      <c r="BU216" s="17">
        <f>SUM($AQ215:BU215)</f>
        <v>1608.2298410075771</v>
      </c>
      <c r="BV216" s="17">
        <f>SUM($AQ215:BV215)</f>
        <v>1716.5552516705081</v>
      </c>
      <c r="BW216" s="17">
        <f>SUM($AQ215:BW215)</f>
        <v>1824.8806623334392</v>
      </c>
      <c r="BX216" s="17">
        <f>SUM($AQ215:BX215)</f>
        <v>1933.2060729963703</v>
      </c>
      <c r="BY216" s="17">
        <f>SUM($AQ215:BY215)</f>
        <v>2041.5314836593013</v>
      </c>
      <c r="BZ216" s="17">
        <f>SUM($AQ215:BZ215)</f>
        <v>2149.8568943222326</v>
      </c>
      <c r="CA216" s="17">
        <f>SUM($AQ215:CA215)</f>
        <v>2258.1823049851637</v>
      </c>
      <c r="CB216" s="17">
        <f>SUM($AQ215:CB215)</f>
        <v>2366.5077156480947</v>
      </c>
    </row>
    <row r="217" spans="1:95" s="15" customFormat="1" ht="15" customHeight="1" x14ac:dyDescent="0.35">
      <c r="A217" s="17"/>
      <c r="B217" s="112" t="s">
        <v>96</v>
      </c>
      <c r="C217" s="135"/>
      <c r="D217" s="134">
        <f t="shared" ref="D217:AO223" si="7">IF(D$214=$B217,0,IF(D$214&gt;$B217,-0.5*D$212-0.5*C$212+C217,0.5*HLOOKUP($B217,$D$211:$AO$212,2,FALSE)+0.5*HLOOKUP($B216,$D$211:$AO$212,2,FALSE)+D216))</f>
        <v>0</v>
      </c>
      <c r="E217" s="134">
        <f t="shared" si="7"/>
        <v>0</v>
      </c>
      <c r="F217" s="134">
        <f t="shared" si="7"/>
        <v>0</v>
      </c>
      <c r="G217" s="134">
        <f t="shared" si="7"/>
        <v>0</v>
      </c>
      <c r="H217" s="134">
        <f t="shared" si="7"/>
        <v>0</v>
      </c>
      <c r="I217" s="134">
        <f t="shared" si="7"/>
        <v>0</v>
      </c>
      <c r="J217" s="134">
        <f t="shared" si="7"/>
        <v>0</v>
      </c>
      <c r="K217" s="134">
        <f t="shared" si="7"/>
        <v>0</v>
      </c>
      <c r="L217" s="134">
        <f t="shared" si="7"/>
        <v>-18.115231465883515</v>
      </c>
      <c r="M217" s="134">
        <f t="shared" si="7"/>
        <v>-55.984215936996165</v>
      </c>
      <c r="N217" s="134">
        <f t="shared" si="7"/>
        <v>-97.130243486797866</v>
      </c>
      <c r="O217" s="134">
        <f t="shared" si="7"/>
        <v>-141.5533141152884</v>
      </c>
      <c r="P217" s="134">
        <f t="shared" si="7"/>
        <v>-189.25342782246869</v>
      </c>
      <c r="Q217" s="134">
        <f t="shared" si="7"/>
        <v>-240.23058460833781</v>
      </c>
      <c r="R217" s="134">
        <f t="shared" si="7"/>
        <v>-294.48478447289597</v>
      </c>
      <c r="S217" s="134">
        <f t="shared" si="7"/>
        <v>-352.0160274161434</v>
      </c>
      <c r="T217" s="134">
        <f t="shared" si="7"/>
        <v>-412.82431343808088</v>
      </c>
      <c r="U217" s="134">
        <f t="shared" si="7"/>
        <v>-476.9096425387072</v>
      </c>
      <c r="V217" s="134">
        <f t="shared" si="7"/>
        <v>-544.27201471802277</v>
      </c>
      <c r="W217" s="134">
        <f t="shared" si="7"/>
        <v>-614.91142997602856</v>
      </c>
      <c r="X217" s="134">
        <f t="shared" si="7"/>
        <v>-688.82788831272364</v>
      </c>
      <c r="Y217" s="134">
        <f t="shared" si="7"/>
        <v>-766.02138972810712</v>
      </c>
      <c r="Z217" s="134">
        <f t="shared" si="7"/>
        <v>-846.49193422217945</v>
      </c>
      <c r="AA217" s="134">
        <f t="shared" si="7"/>
        <v>-930.23952179494154</v>
      </c>
      <c r="AB217" s="134">
        <f t="shared" si="7"/>
        <v>-1017.2641524463925</v>
      </c>
      <c r="AC217" s="134">
        <f t="shared" si="7"/>
        <v>-1107.5658261765332</v>
      </c>
      <c r="AD217" s="134">
        <f t="shared" si="7"/>
        <v>-1201.1445429853636</v>
      </c>
      <c r="AE217" s="134">
        <f t="shared" si="7"/>
        <v>-1298.0003028728829</v>
      </c>
      <c r="AF217" s="134">
        <f t="shared" si="7"/>
        <v>-1398.1331058390911</v>
      </c>
      <c r="AG217" s="134">
        <f t="shared" si="7"/>
        <v>-1501.5429518839894</v>
      </c>
      <c r="AH217" s="134">
        <f t="shared" si="7"/>
        <v>-1608.2298410075771</v>
      </c>
      <c r="AI217" s="134">
        <f t="shared" si="7"/>
        <v>-1716.5552516705081</v>
      </c>
      <c r="AJ217" s="134">
        <f t="shared" si="7"/>
        <v>-1824.8806623334392</v>
      </c>
      <c r="AK217" s="134">
        <f t="shared" si="7"/>
        <v>-1933.2060729963703</v>
      </c>
      <c r="AL217" s="134">
        <f t="shared" si="7"/>
        <v>-2041.5314836593013</v>
      </c>
      <c r="AM217" s="134">
        <f t="shared" si="7"/>
        <v>-2149.8568943222326</v>
      </c>
      <c r="AN217" s="134">
        <f t="shared" si="7"/>
        <v>-2258.1823049851637</v>
      </c>
      <c r="AO217" s="134">
        <f t="shared" si="7"/>
        <v>-2366.5077156480947</v>
      </c>
      <c r="AP217" s="99">
        <f>COUNTIF(AQ217:CB217,TRUE)</f>
        <v>38</v>
      </c>
      <c r="AQ217" s="98" t="b">
        <f>AQ216=-D216</f>
        <v>1</v>
      </c>
      <c r="AR217" s="98" t="b">
        <f t="shared" ref="AR217:CB217" si="8">AR216=-E216</f>
        <v>1</v>
      </c>
      <c r="AS217" s="98" t="b">
        <f t="shared" si="8"/>
        <v>1</v>
      </c>
      <c r="AT217" s="98" t="b">
        <f t="shared" si="8"/>
        <v>1</v>
      </c>
      <c r="AU217" s="98" t="b">
        <f t="shared" si="8"/>
        <v>1</v>
      </c>
      <c r="AV217" s="98" t="b">
        <f t="shared" si="8"/>
        <v>1</v>
      </c>
      <c r="AW217" s="98" t="b">
        <f t="shared" si="8"/>
        <v>1</v>
      </c>
      <c r="AX217" s="98" t="b">
        <f t="shared" si="8"/>
        <v>1</v>
      </c>
      <c r="AY217" s="98" t="b">
        <f t="shared" si="8"/>
        <v>1</v>
      </c>
      <c r="AZ217" s="98" t="b">
        <f t="shared" si="8"/>
        <v>1</v>
      </c>
      <c r="BA217" s="98" t="b">
        <f t="shared" si="8"/>
        <v>1</v>
      </c>
      <c r="BB217" s="98" t="b">
        <f t="shared" si="8"/>
        <v>1</v>
      </c>
      <c r="BC217" s="98" t="b">
        <f t="shared" si="8"/>
        <v>1</v>
      </c>
      <c r="BD217" s="98" t="b">
        <f t="shared" si="8"/>
        <v>1</v>
      </c>
      <c r="BE217" s="98" t="b">
        <f t="shared" si="8"/>
        <v>1</v>
      </c>
      <c r="BF217" s="98" t="b">
        <f t="shared" si="8"/>
        <v>1</v>
      </c>
      <c r="BG217" s="98" t="b">
        <f t="shared" si="8"/>
        <v>1</v>
      </c>
      <c r="BH217" s="98" t="b">
        <f t="shared" si="8"/>
        <v>1</v>
      </c>
      <c r="BI217" s="98" t="b">
        <f t="shared" si="8"/>
        <v>1</v>
      </c>
      <c r="BJ217" s="98" t="b">
        <f t="shared" si="8"/>
        <v>1</v>
      </c>
      <c r="BK217" s="98" t="b">
        <f t="shared" si="8"/>
        <v>1</v>
      </c>
      <c r="BL217" s="98" t="b">
        <f t="shared" si="8"/>
        <v>1</v>
      </c>
      <c r="BM217" s="98" t="b">
        <f t="shared" si="8"/>
        <v>1</v>
      </c>
      <c r="BN217" s="98" t="b">
        <f t="shared" si="8"/>
        <v>1</v>
      </c>
      <c r="BO217" s="98" t="b">
        <f t="shared" si="8"/>
        <v>1</v>
      </c>
      <c r="BP217" s="98" t="b">
        <f t="shared" si="8"/>
        <v>1</v>
      </c>
      <c r="BQ217" s="98" t="b">
        <f t="shared" si="8"/>
        <v>1</v>
      </c>
      <c r="BR217" s="98" t="b">
        <f t="shared" si="8"/>
        <v>1</v>
      </c>
      <c r="BS217" s="98" t="b">
        <f t="shared" si="8"/>
        <v>1</v>
      </c>
      <c r="BT217" s="98" t="b">
        <f t="shared" si="8"/>
        <v>1</v>
      </c>
      <c r="BU217" s="98" t="b">
        <f t="shared" si="8"/>
        <v>1</v>
      </c>
      <c r="BV217" s="98" t="b">
        <f t="shared" si="8"/>
        <v>1</v>
      </c>
      <c r="BW217" s="98" t="b">
        <f t="shared" si="8"/>
        <v>1</v>
      </c>
      <c r="BX217" s="98" t="b">
        <f t="shared" si="8"/>
        <v>1</v>
      </c>
      <c r="BY217" s="98" t="b">
        <f t="shared" si="8"/>
        <v>1</v>
      </c>
      <c r="BZ217" s="98" t="b">
        <f t="shared" si="8"/>
        <v>1</v>
      </c>
      <c r="CA217" s="98" t="b">
        <f t="shared" si="8"/>
        <v>1</v>
      </c>
      <c r="CB217" s="98" t="b">
        <f t="shared" si="8"/>
        <v>1</v>
      </c>
    </row>
    <row r="218" spans="1:95" s="15" customFormat="1" ht="15" customHeight="1" x14ac:dyDescent="0.35">
      <c r="A218" s="17"/>
      <c r="B218" s="112" t="s">
        <v>97</v>
      </c>
      <c r="C218" s="135"/>
      <c r="D218" s="134">
        <f t="shared" si="7"/>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2" t="s">
        <v>98</v>
      </c>
      <c r="C219" s="135"/>
      <c r="D219" s="134">
        <f t="shared" si="7"/>
        <v>0</v>
      </c>
      <c r="E219" s="134">
        <f t="shared" si="7"/>
        <v>0</v>
      </c>
      <c r="F219" s="134">
        <f t="shared" si="7"/>
        <v>0</v>
      </c>
      <c r="G219" s="134">
        <f t="shared" si="7"/>
        <v>0</v>
      </c>
      <c r="H219" s="134">
        <f t="shared" si="7"/>
        <v>0</v>
      </c>
      <c r="I219" s="134">
        <f t="shared" si="7"/>
        <v>0</v>
      </c>
      <c r="J219" s="134">
        <f t="shared" si="7"/>
        <v>0</v>
      </c>
      <c r="K219" s="134">
        <f t="shared" si="7"/>
        <v>0</v>
      </c>
      <c r="L219" s="134">
        <f t="shared" si="7"/>
        <v>-18.115231465883515</v>
      </c>
      <c r="M219" s="134">
        <f t="shared" si="7"/>
        <v>-55.984215936996165</v>
      </c>
      <c r="N219" s="134">
        <f t="shared" si="7"/>
        <v>-97.130243486797866</v>
      </c>
      <c r="O219" s="134">
        <f t="shared" si="7"/>
        <v>-141.5533141152884</v>
      </c>
      <c r="P219" s="134">
        <f t="shared" si="7"/>
        <v>-189.25342782246869</v>
      </c>
      <c r="Q219" s="134">
        <f t="shared" si="7"/>
        <v>-240.23058460833781</v>
      </c>
      <c r="R219" s="134">
        <f t="shared" si="7"/>
        <v>-294.48478447289597</v>
      </c>
      <c r="S219" s="134">
        <f t="shared" si="7"/>
        <v>-352.0160274161434</v>
      </c>
      <c r="T219" s="134">
        <f t="shared" si="7"/>
        <v>-412.82431343808088</v>
      </c>
      <c r="U219" s="134">
        <f t="shared" si="7"/>
        <v>-476.9096425387072</v>
      </c>
      <c r="V219" s="134">
        <f t="shared" si="7"/>
        <v>-544.27201471802277</v>
      </c>
      <c r="W219" s="134">
        <f t="shared" si="7"/>
        <v>-614.91142997602856</v>
      </c>
      <c r="X219" s="134">
        <f t="shared" si="7"/>
        <v>-688.82788831272364</v>
      </c>
      <c r="Y219" s="134">
        <f t="shared" si="7"/>
        <v>-766.02138972810712</v>
      </c>
      <c r="Z219" s="134">
        <f t="shared" si="7"/>
        <v>-846.49193422217945</v>
      </c>
      <c r="AA219" s="134">
        <f t="shared" si="7"/>
        <v>-930.23952179494154</v>
      </c>
      <c r="AB219" s="134">
        <f t="shared" si="7"/>
        <v>-1017.2641524463925</v>
      </c>
      <c r="AC219" s="134">
        <f t="shared" si="7"/>
        <v>-1107.5658261765332</v>
      </c>
      <c r="AD219" s="134">
        <f t="shared" si="7"/>
        <v>-1201.1445429853636</v>
      </c>
      <c r="AE219" s="134">
        <f t="shared" si="7"/>
        <v>-1298.0003028728829</v>
      </c>
      <c r="AF219" s="134">
        <f t="shared" si="7"/>
        <v>-1398.1331058390911</v>
      </c>
      <c r="AG219" s="134">
        <f t="shared" si="7"/>
        <v>-1501.5429518839894</v>
      </c>
      <c r="AH219" s="134">
        <f t="shared" si="7"/>
        <v>-1608.2298410075771</v>
      </c>
      <c r="AI219" s="134">
        <f t="shared" si="7"/>
        <v>-1716.5552516705081</v>
      </c>
      <c r="AJ219" s="134">
        <f t="shared" si="7"/>
        <v>-1824.8806623334392</v>
      </c>
      <c r="AK219" s="134">
        <f t="shared" si="7"/>
        <v>-1933.2060729963703</v>
      </c>
      <c r="AL219" s="134">
        <f t="shared" si="7"/>
        <v>-2041.5314836593013</v>
      </c>
      <c r="AM219" s="134">
        <f t="shared" si="7"/>
        <v>-2149.8568943222326</v>
      </c>
      <c r="AN219" s="134">
        <f t="shared" si="7"/>
        <v>-2258.1823049851637</v>
      </c>
      <c r="AO219" s="134">
        <f t="shared" si="7"/>
        <v>-2366.5077156480947</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35">
      <c r="A220" s="17"/>
      <c r="B220" s="112" t="s">
        <v>99</v>
      </c>
      <c r="C220" s="135"/>
      <c r="D220" s="134">
        <f t="shared" si="7"/>
        <v>0</v>
      </c>
      <c r="E220" s="134">
        <f t="shared" si="7"/>
        <v>0</v>
      </c>
      <c r="F220" s="134">
        <f t="shared" si="7"/>
        <v>0</v>
      </c>
      <c r="G220" s="134">
        <f t="shared" si="7"/>
        <v>0</v>
      </c>
      <c r="H220" s="134">
        <f t="shared" si="7"/>
        <v>0</v>
      </c>
      <c r="I220" s="134">
        <f t="shared" si="7"/>
        <v>0</v>
      </c>
      <c r="J220" s="134">
        <f t="shared" si="7"/>
        <v>0</v>
      </c>
      <c r="K220" s="134">
        <f t="shared" si="7"/>
        <v>0</v>
      </c>
      <c r="L220" s="134">
        <f t="shared" si="7"/>
        <v>-18.115231465883515</v>
      </c>
      <c r="M220" s="134">
        <f t="shared" si="7"/>
        <v>-55.984215936996165</v>
      </c>
      <c r="N220" s="134">
        <f t="shared" si="7"/>
        <v>-97.130243486797866</v>
      </c>
      <c r="O220" s="134">
        <f t="shared" si="7"/>
        <v>-141.5533141152884</v>
      </c>
      <c r="P220" s="134">
        <f t="shared" si="7"/>
        <v>-189.25342782246869</v>
      </c>
      <c r="Q220" s="134">
        <f t="shared" si="7"/>
        <v>-240.23058460833781</v>
      </c>
      <c r="R220" s="134">
        <f t="shared" si="7"/>
        <v>-294.48478447289597</v>
      </c>
      <c r="S220" s="134">
        <f t="shared" si="7"/>
        <v>-352.0160274161434</v>
      </c>
      <c r="T220" s="134">
        <f t="shared" si="7"/>
        <v>-412.82431343808088</v>
      </c>
      <c r="U220" s="134">
        <f t="shared" si="7"/>
        <v>-476.9096425387072</v>
      </c>
      <c r="V220" s="134">
        <f t="shared" si="7"/>
        <v>-544.27201471802277</v>
      </c>
      <c r="W220" s="134">
        <f t="shared" si="7"/>
        <v>-614.91142997602856</v>
      </c>
      <c r="X220" s="134">
        <f t="shared" si="7"/>
        <v>-688.82788831272364</v>
      </c>
      <c r="Y220" s="134">
        <f t="shared" si="7"/>
        <v>-766.02138972810712</v>
      </c>
      <c r="Z220" s="134">
        <f t="shared" si="7"/>
        <v>-846.49193422217945</v>
      </c>
      <c r="AA220" s="134">
        <f t="shared" si="7"/>
        <v>-930.23952179494154</v>
      </c>
      <c r="AB220" s="134">
        <f t="shared" si="7"/>
        <v>-1017.2641524463925</v>
      </c>
      <c r="AC220" s="134">
        <f t="shared" si="7"/>
        <v>-1107.5658261765332</v>
      </c>
      <c r="AD220" s="134">
        <f t="shared" si="7"/>
        <v>-1201.1445429853636</v>
      </c>
      <c r="AE220" s="134">
        <f t="shared" si="7"/>
        <v>-1298.0003028728829</v>
      </c>
      <c r="AF220" s="134">
        <f t="shared" si="7"/>
        <v>-1398.1331058390911</v>
      </c>
      <c r="AG220" s="134">
        <f t="shared" si="7"/>
        <v>-1501.5429518839894</v>
      </c>
      <c r="AH220" s="134">
        <f t="shared" si="7"/>
        <v>-1608.2298410075771</v>
      </c>
      <c r="AI220" s="134">
        <f t="shared" si="7"/>
        <v>-1716.5552516705081</v>
      </c>
      <c r="AJ220" s="134">
        <f t="shared" si="7"/>
        <v>-1824.8806623334392</v>
      </c>
      <c r="AK220" s="134">
        <f t="shared" si="7"/>
        <v>-1933.2060729963703</v>
      </c>
      <c r="AL220" s="134">
        <f t="shared" si="7"/>
        <v>-2041.5314836593013</v>
      </c>
      <c r="AM220" s="134">
        <f t="shared" si="7"/>
        <v>-2149.8568943222326</v>
      </c>
      <c r="AN220" s="134">
        <f t="shared" si="7"/>
        <v>-2258.1823049851637</v>
      </c>
      <c r="AO220" s="134">
        <f t="shared" si="7"/>
        <v>-2366.5077156480947</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35">
      <c r="A221" s="17"/>
      <c r="B221" s="112" t="s">
        <v>100</v>
      </c>
      <c r="C221" s="135"/>
      <c r="D221" s="134">
        <f t="shared" si="7"/>
        <v>0</v>
      </c>
      <c r="E221" s="134">
        <f t="shared" si="7"/>
        <v>0</v>
      </c>
      <c r="F221" s="134">
        <f t="shared" si="7"/>
        <v>0</v>
      </c>
      <c r="G221" s="134">
        <f t="shared" si="7"/>
        <v>0</v>
      </c>
      <c r="H221" s="134">
        <f t="shared" si="7"/>
        <v>0</v>
      </c>
      <c r="I221" s="134">
        <f t="shared" si="7"/>
        <v>0</v>
      </c>
      <c r="J221" s="134">
        <f t="shared" si="7"/>
        <v>0</v>
      </c>
      <c r="K221" s="134">
        <f t="shared" si="7"/>
        <v>0</v>
      </c>
      <c r="L221" s="134">
        <f t="shared" si="7"/>
        <v>-18.115231465883515</v>
      </c>
      <c r="M221" s="134">
        <f t="shared" si="7"/>
        <v>-55.984215936996165</v>
      </c>
      <c r="N221" s="134">
        <f t="shared" si="7"/>
        <v>-97.130243486797866</v>
      </c>
      <c r="O221" s="134">
        <f t="shared" si="7"/>
        <v>-141.5533141152884</v>
      </c>
      <c r="P221" s="134">
        <f t="shared" si="7"/>
        <v>-189.25342782246869</v>
      </c>
      <c r="Q221" s="134">
        <f t="shared" si="7"/>
        <v>-240.23058460833781</v>
      </c>
      <c r="R221" s="134">
        <f t="shared" si="7"/>
        <v>-294.48478447289597</v>
      </c>
      <c r="S221" s="134">
        <f t="shared" si="7"/>
        <v>-352.0160274161434</v>
      </c>
      <c r="T221" s="134">
        <f t="shared" si="7"/>
        <v>-412.82431343808088</v>
      </c>
      <c r="U221" s="134">
        <f t="shared" si="7"/>
        <v>-476.9096425387072</v>
      </c>
      <c r="V221" s="134">
        <f t="shared" si="7"/>
        <v>-544.27201471802277</v>
      </c>
      <c r="W221" s="134">
        <f t="shared" si="7"/>
        <v>-614.91142997602856</v>
      </c>
      <c r="X221" s="134">
        <f t="shared" si="7"/>
        <v>-688.82788831272364</v>
      </c>
      <c r="Y221" s="134">
        <f t="shared" si="7"/>
        <v>-766.02138972810712</v>
      </c>
      <c r="Z221" s="134">
        <f t="shared" si="7"/>
        <v>-846.49193422217945</v>
      </c>
      <c r="AA221" s="134">
        <f t="shared" si="7"/>
        <v>-930.23952179494154</v>
      </c>
      <c r="AB221" s="134">
        <f t="shared" si="7"/>
        <v>-1017.2641524463925</v>
      </c>
      <c r="AC221" s="134">
        <f t="shared" si="7"/>
        <v>-1107.5658261765332</v>
      </c>
      <c r="AD221" s="134">
        <f t="shared" si="7"/>
        <v>-1201.1445429853636</v>
      </c>
      <c r="AE221" s="134">
        <f t="shared" si="7"/>
        <v>-1298.0003028728829</v>
      </c>
      <c r="AF221" s="134">
        <f t="shared" si="7"/>
        <v>-1398.1331058390911</v>
      </c>
      <c r="AG221" s="134">
        <f t="shared" si="7"/>
        <v>-1501.5429518839894</v>
      </c>
      <c r="AH221" s="134">
        <f t="shared" si="7"/>
        <v>-1608.2298410075771</v>
      </c>
      <c r="AI221" s="134">
        <f t="shared" si="7"/>
        <v>-1716.5552516705081</v>
      </c>
      <c r="AJ221" s="134">
        <f t="shared" si="7"/>
        <v>-1824.8806623334392</v>
      </c>
      <c r="AK221" s="134">
        <f t="shared" si="7"/>
        <v>-1933.2060729963703</v>
      </c>
      <c r="AL221" s="134">
        <f t="shared" si="7"/>
        <v>-2041.5314836593013</v>
      </c>
      <c r="AM221" s="134">
        <f t="shared" si="7"/>
        <v>-2149.8568943222326</v>
      </c>
      <c r="AN221" s="134">
        <f t="shared" si="7"/>
        <v>-2258.1823049851637</v>
      </c>
      <c r="AO221" s="134">
        <f t="shared" si="7"/>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2" t="s">
        <v>101</v>
      </c>
      <c r="C222" s="135"/>
      <c r="D222" s="134">
        <f t="shared" si="7"/>
        <v>0</v>
      </c>
      <c r="E222" s="134">
        <f t="shared" si="7"/>
        <v>0</v>
      </c>
      <c r="F222" s="134">
        <f t="shared" si="7"/>
        <v>0</v>
      </c>
      <c r="G222" s="134">
        <f t="shared" si="7"/>
        <v>0</v>
      </c>
      <c r="H222" s="134">
        <f t="shared" si="7"/>
        <v>0</v>
      </c>
      <c r="I222" s="134">
        <f t="shared" si="7"/>
        <v>0</v>
      </c>
      <c r="J222" s="134">
        <f t="shared" si="7"/>
        <v>0</v>
      </c>
      <c r="K222" s="134">
        <f t="shared" si="7"/>
        <v>0</v>
      </c>
      <c r="L222" s="134">
        <f t="shared" si="7"/>
        <v>-18.115231465883515</v>
      </c>
      <c r="M222" s="134">
        <f t="shared" si="7"/>
        <v>-55.984215936996165</v>
      </c>
      <c r="N222" s="134">
        <f t="shared" si="7"/>
        <v>-97.130243486797866</v>
      </c>
      <c r="O222" s="134">
        <f t="shared" si="7"/>
        <v>-141.5533141152884</v>
      </c>
      <c r="P222" s="134">
        <f t="shared" si="7"/>
        <v>-189.25342782246869</v>
      </c>
      <c r="Q222" s="134">
        <f t="shared" si="7"/>
        <v>-240.23058460833781</v>
      </c>
      <c r="R222" s="134">
        <f t="shared" si="7"/>
        <v>-294.48478447289597</v>
      </c>
      <c r="S222" s="134">
        <f t="shared" si="7"/>
        <v>-352.0160274161434</v>
      </c>
      <c r="T222" s="134">
        <f t="shared" si="7"/>
        <v>-412.82431343808088</v>
      </c>
      <c r="U222" s="134">
        <f t="shared" si="7"/>
        <v>-476.9096425387072</v>
      </c>
      <c r="V222" s="134">
        <f t="shared" si="7"/>
        <v>-544.27201471802277</v>
      </c>
      <c r="W222" s="134">
        <f t="shared" si="7"/>
        <v>-614.91142997602856</v>
      </c>
      <c r="X222" s="134">
        <f t="shared" si="7"/>
        <v>-688.82788831272364</v>
      </c>
      <c r="Y222" s="134">
        <f t="shared" si="7"/>
        <v>-766.02138972810712</v>
      </c>
      <c r="Z222" s="134">
        <f t="shared" si="7"/>
        <v>-846.49193422217945</v>
      </c>
      <c r="AA222" s="134">
        <f t="shared" si="7"/>
        <v>-930.23952179494154</v>
      </c>
      <c r="AB222" s="134">
        <f t="shared" si="7"/>
        <v>-1017.2641524463925</v>
      </c>
      <c r="AC222" s="134">
        <f t="shared" si="7"/>
        <v>-1107.5658261765332</v>
      </c>
      <c r="AD222" s="134">
        <f t="shared" si="7"/>
        <v>-1201.1445429853636</v>
      </c>
      <c r="AE222" s="134">
        <f t="shared" si="7"/>
        <v>-1298.0003028728829</v>
      </c>
      <c r="AF222" s="134">
        <f t="shared" si="7"/>
        <v>-1398.1331058390911</v>
      </c>
      <c r="AG222" s="134">
        <f t="shared" si="7"/>
        <v>-1501.5429518839894</v>
      </c>
      <c r="AH222" s="134">
        <f t="shared" si="7"/>
        <v>-1608.2298410075771</v>
      </c>
      <c r="AI222" s="134">
        <f t="shared" si="7"/>
        <v>-1716.5552516705081</v>
      </c>
      <c r="AJ222" s="134">
        <f t="shared" si="7"/>
        <v>-1824.8806623334392</v>
      </c>
      <c r="AK222" s="134">
        <f t="shared" si="7"/>
        <v>-1933.2060729963703</v>
      </c>
      <c r="AL222" s="134">
        <f t="shared" si="7"/>
        <v>-2041.5314836593013</v>
      </c>
      <c r="AM222" s="134">
        <f t="shared" si="7"/>
        <v>-2149.8568943222326</v>
      </c>
      <c r="AN222" s="134">
        <f t="shared" si="7"/>
        <v>-2258.1823049851637</v>
      </c>
      <c r="AO222" s="134">
        <f t="shared" si="7"/>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2" t="s">
        <v>102</v>
      </c>
      <c r="C223" s="135"/>
      <c r="D223" s="134">
        <f t="shared" si="7"/>
        <v>0</v>
      </c>
      <c r="E223" s="134">
        <f t="shared" si="7"/>
        <v>0</v>
      </c>
      <c r="F223" s="134">
        <f t="shared" si="7"/>
        <v>0</v>
      </c>
      <c r="G223" s="134">
        <f t="shared" si="7"/>
        <v>0</v>
      </c>
      <c r="H223" s="134">
        <f t="shared" si="7"/>
        <v>0</v>
      </c>
      <c r="I223" s="134">
        <f t="shared" si="7"/>
        <v>0</v>
      </c>
      <c r="J223" s="134">
        <f t="shared" si="7"/>
        <v>0</v>
      </c>
      <c r="K223" s="134">
        <f t="shared" si="7"/>
        <v>0</v>
      </c>
      <c r="L223" s="134">
        <f t="shared" si="7"/>
        <v>-18.115231465883515</v>
      </c>
      <c r="M223" s="134">
        <f t="shared" si="7"/>
        <v>-55.984215936996165</v>
      </c>
      <c r="N223" s="134">
        <f t="shared" si="7"/>
        <v>-97.130243486797866</v>
      </c>
      <c r="O223" s="134">
        <f t="shared" si="7"/>
        <v>-141.5533141152884</v>
      </c>
      <c r="P223" s="134">
        <f t="shared" si="7"/>
        <v>-189.25342782246869</v>
      </c>
      <c r="Q223" s="134">
        <f t="shared" si="7"/>
        <v>-240.23058460833781</v>
      </c>
      <c r="R223" s="134">
        <f t="shared" si="7"/>
        <v>-294.48478447289597</v>
      </c>
      <c r="S223" s="134">
        <f t="shared" si="7"/>
        <v>-352.0160274161434</v>
      </c>
      <c r="T223" s="134">
        <f t="shared" si="7"/>
        <v>-412.82431343808088</v>
      </c>
      <c r="U223" s="134">
        <f t="shared" si="7"/>
        <v>-476.9096425387072</v>
      </c>
      <c r="V223" s="134">
        <f t="shared" si="7"/>
        <v>-544.27201471802277</v>
      </c>
      <c r="W223" s="134">
        <f t="shared" si="7"/>
        <v>-614.91142997602856</v>
      </c>
      <c r="X223" s="134">
        <f t="shared" si="7"/>
        <v>-688.82788831272364</v>
      </c>
      <c r="Y223" s="134">
        <f t="shared" si="7"/>
        <v>-766.02138972810712</v>
      </c>
      <c r="Z223" s="134">
        <f t="shared" si="7"/>
        <v>-846.49193422217945</v>
      </c>
      <c r="AA223" s="134">
        <f t="shared" si="7"/>
        <v>-930.23952179494154</v>
      </c>
      <c r="AB223" s="134">
        <f t="shared" si="7"/>
        <v>-1017.2641524463925</v>
      </c>
      <c r="AC223" s="134">
        <f t="shared" si="7"/>
        <v>-1107.5658261765332</v>
      </c>
      <c r="AD223" s="134">
        <f t="shared" si="7"/>
        <v>-1201.1445429853636</v>
      </c>
      <c r="AE223" s="134">
        <f t="shared" ref="AE223:AO223" si="10">IF(AE$214=$B223,0,IF(AE$214&gt;$B223,-0.5*AE$212-0.5*AD$212+AD223,0.5*HLOOKUP($B223,$D$211:$AO$212,2,FALSE)+0.5*HLOOKUP($B222,$D$211:$AO$212,2,FALSE)+AE222))</f>
        <v>-1298.0003028728829</v>
      </c>
      <c r="AF223" s="134">
        <f t="shared" si="10"/>
        <v>-1398.1331058390911</v>
      </c>
      <c r="AG223" s="134">
        <f t="shared" si="10"/>
        <v>-1501.5429518839894</v>
      </c>
      <c r="AH223" s="134">
        <f t="shared" si="10"/>
        <v>-1608.2298410075771</v>
      </c>
      <c r="AI223" s="134">
        <f t="shared" si="10"/>
        <v>-1716.5552516705081</v>
      </c>
      <c r="AJ223" s="134">
        <f t="shared" si="10"/>
        <v>-1824.8806623334392</v>
      </c>
      <c r="AK223" s="134">
        <f t="shared" si="10"/>
        <v>-1933.2060729963703</v>
      </c>
      <c r="AL223" s="134">
        <f t="shared" si="10"/>
        <v>-2041.5314836593013</v>
      </c>
      <c r="AM223" s="134">
        <f t="shared" si="10"/>
        <v>-2149.8568943222326</v>
      </c>
      <c r="AN223" s="134">
        <f t="shared" si="10"/>
        <v>-2258.1823049851637</v>
      </c>
      <c r="AO223" s="134">
        <f t="shared" si="10"/>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2"/>
      <c r="B224" s="112" t="s">
        <v>103</v>
      </c>
      <c r="C224" s="135"/>
      <c r="D224" s="134">
        <f t="shared" ref="D224:AO230" si="11">IF(D$214=$B224,0,IF(D$214&gt;$B224,-0.5*D$212-0.5*C$212+C224,0.5*HLOOKUP($B224,$D$211:$AO$212,2,FALSE)+0.5*HLOOKUP($B223,$D$211:$AO$212,2,FALSE)+D223))</f>
        <v>18.115231465883515</v>
      </c>
      <c r="E224" s="134">
        <f t="shared" si="11"/>
        <v>18.115231465883515</v>
      </c>
      <c r="F224" s="134">
        <f t="shared" si="11"/>
        <v>18.115231465883515</v>
      </c>
      <c r="G224" s="134">
        <f t="shared" si="11"/>
        <v>18.115231465883515</v>
      </c>
      <c r="H224" s="134">
        <f t="shared" si="11"/>
        <v>18.115231465883515</v>
      </c>
      <c r="I224" s="134">
        <f t="shared" si="11"/>
        <v>18.115231465883515</v>
      </c>
      <c r="J224" s="134">
        <f t="shared" si="11"/>
        <v>18.115231465883515</v>
      </c>
      <c r="K224" s="134">
        <f t="shared" si="11"/>
        <v>18.115231465883515</v>
      </c>
      <c r="L224" s="134">
        <f t="shared" si="11"/>
        <v>0</v>
      </c>
      <c r="M224" s="134">
        <f t="shared" si="11"/>
        <v>-37.868984471112647</v>
      </c>
      <c r="N224" s="134">
        <f t="shared" si="11"/>
        <v>-79.015012020914355</v>
      </c>
      <c r="O224" s="134">
        <f t="shared" si="11"/>
        <v>-123.43808264940488</v>
      </c>
      <c r="P224" s="134">
        <f t="shared" si="11"/>
        <v>-171.13819635658518</v>
      </c>
      <c r="Q224" s="134">
        <f t="shared" si="11"/>
        <v>-222.1153531424543</v>
      </c>
      <c r="R224" s="134">
        <f t="shared" si="11"/>
        <v>-276.36955300701243</v>
      </c>
      <c r="S224" s="134">
        <f t="shared" si="11"/>
        <v>-333.90079595025986</v>
      </c>
      <c r="T224" s="134">
        <f t="shared" si="11"/>
        <v>-394.70908197219734</v>
      </c>
      <c r="U224" s="134">
        <f t="shared" si="11"/>
        <v>-458.79441107282366</v>
      </c>
      <c r="V224" s="134">
        <f t="shared" si="11"/>
        <v>-526.15678325213923</v>
      </c>
      <c r="W224" s="134">
        <f t="shared" si="11"/>
        <v>-596.79619851014513</v>
      </c>
      <c r="X224" s="134">
        <f t="shared" si="11"/>
        <v>-670.71265684684022</v>
      </c>
      <c r="Y224" s="134">
        <f t="shared" si="11"/>
        <v>-747.9061582622237</v>
      </c>
      <c r="Z224" s="134">
        <f t="shared" si="11"/>
        <v>-828.37670275629603</v>
      </c>
      <c r="AA224" s="134">
        <f t="shared" si="11"/>
        <v>-912.12429032905811</v>
      </c>
      <c r="AB224" s="134">
        <f t="shared" si="11"/>
        <v>-999.14892098050905</v>
      </c>
      <c r="AC224" s="134">
        <f t="shared" si="11"/>
        <v>-1089.4505947106497</v>
      </c>
      <c r="AD224" s="134">
        <f t="shared" si="11"/>
        <v>-1183.0293115194802</v>
      </c>
      <c r="AE224" s="134">
        <f t="shared" si="11"/>
        <v>-1279.8850714069995</v>
      </c>
      <c r="AF224" s="134">
        <f t="shared" si="11"/>
        <v>-1380.0178743732076</v>
      </c>
      <c r="AG224" s="134">
        <f t="shared" si="11"/>
        <v>-1483.427720418106</v>
      </c>
      <c r="AH224" s="134">
        <f t="shared" si="11"/>
        <v>-1590.1146095416937</v>
      </c>
      <c r="AI224" s="134">
        <f t="shared" si="11"/>
        <v>-1698.4400202046247</v>
      </c>
      <c r="AJ224" s="134">
        <f t="shared" si="11"/>
        <v>-1806.7654308675558</v>
      </c>
      <c r="AK224" s="134">
        <f t="shared" si="11"/>
        <v>-1915.0908415304868</v>
      </c>
      <c r="AL224" s="134">
        <f t="shared" si="11"/>
        <v>-2023.4162521934179</v>
      </c>
      <c r="AM224" s="134">
        <f t="shared" si="11"/>
        <v>-2131.7416628563492</v>
      </c>
      <c r="AN224" s="134">
        <f t="shared" si="11"/>
        <v>-2240.0670735192803</v>
      </c>
      <c r="AO224" s="134">
        <f t="shared" si="11"/>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5">
      <c r="A225" s="102"/>
      <c r="B225" s="112" t="s">
        <v>104</v>
      </c>
      <c r="C225" s="135"/>
      <c r="D225" s="134">
        <f t="shared" si="11"/>
        <v>55.984215936996165</v>
      </c>
      <c r="E225" s="134">
        <f t="shared" si="11"/>
        <v>55.984215936996165</v>
      </c>
      <c r="F225" s="134">
        <f t="shared" si="11"/>
        <v>55.984215936996165</v>
      </c>
      <c r="G225" s="134">
        <f t="shared" si="11"/>
        <v>55.984215936996165</v>
      </c>
      <c r="H225" s="134">
        <f t="shared" si="11"/>
        <v>55.984215936996165</v>
      </c>
      <c r="I225" s="134">
        <f t="shared" si="11"/>
        <v>55.984215936996165</v>
      </c>
      <c r="J225" s="134">
        <f t="shared" si="11"/>
        <v>55.984215936996165</v>
      </c>
      <c r="K225" s="134">
        <f t="shared" si="11"/>
        <v>55.984215936996165</v>
      </c>
      <c r="L225" s="134">
        <f t="shared" si="11"/>
        <v>37.868984471112647</v>
      </c>
      <c r="M225" s="134">
        <f t="shared" si="11"/>
        <v>0</v>
      </c>
      <c r="N225" s="134">
        <f t="shared" si="11"/>
        <v>-41.146027549801701</v>
      </c>
      <c r="O225" s="134">
        <f t="shared" si="11"/>
        <v>-85.569098178292222</v>
      </c>
      <c r="P225" s="134">
        <f t="shared" si="11"/>
        <v>-133.26921188547252</v>
      </c>
      <c r="Q225" s="134">
        <f t="shared" si="11"/>
        <v>-184.24636867134163</v>
      </c>
      <c r="R225" s="134">
        <f t="shared" si="11"/>
        <v>-238.50056853589979</v>
      </c>
      <c r="S225" s="134">
        <f t="shared" si="11"/>
        <v>-296.03181147914722</v>
      </c>
      <c r="T225" s="134">
        <f t="shared" si="11"/>
        <v>-356.8400975010847</v>
      </c>
      <c r="U225" s="134">
        <f t="shared" si="11"/>
        <v>-420.92542660171102</v>
      </c>
      <c r="V225" s="134">
        <f t="shared" si="11"/>
        <v>-488.28779878102659</v>
      </c>
      <c r="W225" s="134">
        <f t="shared" si="11"/>
        <v>-558.92721403903238</v>
      </c>
      <c r="X225" s="134">
        <f t="shared" si="11"/>
        <v>-632.84367237572746</v>
      </c>
      <c r="Y225" s="134">
        <f t="shared" si="11"/>
        <v>-710.03717379111094</v>
      </c>
      <c r="Z225" s="134">
        <f t="shared" si="11"/>
        <v>-790.50771828518327</v>
      </c>
      <c r="AA225" s="134">
        <f t="shared" si="11"/>
        <v>-874.25530585794536</v>
      </c>
      <c r="AB225" s="134">
        <f t="shared" si="11"/>
        <v>-961.27993650939629</v>
      </c>
      <c r="AC225" s="134">
        <f t="shared" si="11"/>
        <v>-1051.581610239537</v>
      </c>
      <c r="AD225" s="134">
        <f t="shared" si="11"/>
        <v>-1145.1603270483674</v>
      </c>
      <c r="AE225" s="134">
        <f t="shared" si="11"/>
        <v>-1242.0160869358867</v>
      </c>
      <c r="AF225" s="134">
        <f t="shared" si="11"/>
        <v>-1342.1488899020949</v>
      </c>
      <c r="AG225" s="134">
        <f t="shared" si="11"/>
        <v>-1445.5587359469932</v>
      </c>
      <c r="AH225" s="134">
        <f t="shared" si="11"/>
        <v>-1552.2456250705809</v>
      </c>
      <c r="AI225" s="134">
        <f t="shared" si="11"/>
        <v>-1660.571035733512</v>
      </c>
      <c r="AJ225" s="134">
        <f t="shared" si="11"/>
        <v>-1768.896446396443</v>
      </c>
      <c r="AK225" s="134">
        <f t="shared" si="11"/>
        <v>-1877.2218570593741</v>
      </c>
      <c r="AL225" s="134">
        <f t="shared" si="11"/>
        <v>-1985.5472677223052</v>
      </c>
      <c r="AM225" s="134">
        <f t="shared" si="11"/>
        <v>-2093.8726783852362</v>
      </c>
      <c r="AN225" s="134">
        <f t="shared" si="11"/>
        <v>-2202.1980890481673</v>
      </c>
      <c r="AO225" s="134">
        <f t="shared" si="11"/>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5">
      <c r="A226" s="102"/>
      <c r="B226" s="112" t="s">
        <v>105</v>
      </c>
      <c r="C226" s="135"/>
      <c r="D226" s="134">
        <f t="shared" si="11"/>
        <v>97.130243486797866</v>
      </c>
      <c r="E226" s="134">
        <f t="shared" si="11"/>
        <v>97.130243486797866</v>
      </c>
      <c r="F226" s="134">
        <f t="shared" si="11"/>
        <v>97.130243486797866</v>
      </c>
      <c r="G226" s="134">
        <f t="shared" si="11"/>
        <v>97.130243486797866</v>
      </c>
      <c r="H226" s="134">
        <f t="shared" si="11"/>
        <v>97.130243486797866</v>
      </c>
      <c r="I226" s="134">
        <f t="shared" si="11"/>
        <v>97.130243486797866</v>
      </c>
      <c r="J226" s="134">
        <f t="shared" si="11"/>
        <v>97.130243486797866</v>
      </c>
      <c r="K226" s="134">
        <f t="shared" si="11"/>
        <v>97.130243486797866</v>
      </c>
      <c r="L226" s="134">
        <f t="shared" si="11"/>
        <v>79.015012020914355</v>
      </c>
      <c r="M226" s="134">
        <f t="shared" si="11"/>
        <v>41.146027549801701</v>
      </c>
      <c r="N226" s="134">
        <f t="shared" si="11"/>
        <v>0</v>
      </c>
      <c r="O226" s="134">
        <f t="shared" si="11"/>
        <v>-44.423070628490521</v>
      </c>
      <c r="P226" s="134">
        <f t="shared" si="11"/>
        <v>-92.123184335670828</v>
      </c>
      <c r="Q226" s="134">
        <f t="shared" si="11"/>
        <v>-143.10034112153994</v>
      </c>
      <c r="R226" s="134">
        <f t="shared" si="11"/>
        <v>-197.3545409860981</v>
      </c>
      <c r="S226" s="134">
        <f t="shared" si="11"/>
        <v>-254.88578392934556</v>
      </c>
      <c r="T226" s="134">
        <f t="shared" si="11"/>
        <v>-315.69406995128304</v>
      </c>
      <c r="U226" s="134">
        <f t="shared" si="11"/>
        <v>-379.77939905190931</v>
      </c>
      <c r="V226" s="134">
        <f t="shared" si="11"/>
        <v>-447.14177123122488</v>
      </c>
      <c r="W226" s="134">
        <f t="shared" si="11"/>
        <v>-517.78118648923078</v>
      </c>
      <c r="X226" s="134">
        <f t="shared" si="11"/>
        <v>-591.69764482592586</v>
      </c>
      <c r="Y226" s="134">
        <f t="shared" si="11"/>
        <v>-668.89114624130934</v>
      </c>
      <c r="Z226" s="134">
        <f t="shared" si="11"/>
        <v>-749.36169073538167</v>
      </c>
      <c r="AA226" s="134">
        <f t="shared" si="11"/>
        <v>-833.10927830814376</v>
      </c>
      <c r="AB226" s="134">
        <f t="shared" si="11"/>
        <v>-920.13390895959469</v>
      </c>
      <c r="AC226" s="134">
        <f t="shared" si="11"/>
        <v>-1010.4355826897354</v>
      </c>
      <c r="AD226" s="134">
        <f t="shared" si="11"/>
        <v>-1104.0142994985658</v>
      </c>
      <c r="AE226" s="134">
        <f t="shared" si="11"/>
        <v>-1200.8700593860851</v>
      </c>
      <c r="AF226" s="134">
        <f t="shared" si="11"/>
        <v>-1301.0028623522933</v>
      </c>
      <c r="AG226" s="134">
        <f t="shared" si="11"/>
        <v>-1404.4127083971916</v>
      </c>
      <c r="AH226" s="134">
        <f t="shared" si="11"/>
        <v>-1511.0995975207793</v>
      </c>
      <c r="AI226" s="134">
        <f t="shared" si="11"/>
        <v>-1619.4250081837104</v>
      </c>
      <c r="AJ226" s="134">
        <f t="shared" si="11"/>
        <v>-1727.7504188466414</v>
      </c>
      <c r="AK226" s="134">
        <f t="shared" si="11"/>
        <v>-1836.0758295095725</v>
      </c>
      <c r="AL226" s="134">
        <f t="shared" si="11"/>
        <v>-1944.4012401725035</v>
      </c>
      <c r="AM226" s="134">
        <f t="shared" si="11"/>
        <v>-2052.7266508354346</v>
      </c>
      <c r="AN226" s="134">
        <f t="shared" si="11"/>
        <v>-2161.0520614983657</v>
      </c>
      <c r="AO226" s="134">
        <f t="shared" si="11"/>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5">
      <c r="A227" s="102"/>
      <c r="B227" s="112" t="s">
        <v>106</v>
      </c>
      <c r="C227" s="135"/>
      <c r="D227" s="134">
        <f t="shared" si="11"/>
        <v>141.5533141152884</v>
      </c>
      <c r="E227" s="134">
        <f t="shared" si="11"/>
        <v>141.5533141152884</v>
      </c>
      <c r="F227" s="134">
        <f t="shared" si="11"/>
        <v>141.5533141152884</v>
      </c>
      <c r="G227" s="134">
        <f t="shared" si="11"/>
        <v>141.5533141152884</v>
      </c>
      <c r="H227" s="134">
        <f t="shared" si="11"/>
        <v>141.5533141152884</v>
      </c>
      <c r="I227" s="134">
        <f t="shared" si="11"/>
        <v>141.5533141152884</v>
      </c>
      <c r="J227" s="134">
        <f t="shared" si="11"/>
        <v>141.5533141152884</v>
      </c>
      <c r="K227" s="134">
        <f t="shared" si="11"/>
        <v>141.5533141152884</v>
      </c>
      <c r="L227" s="134">
        <f t="shared" si="11"/>
        <v>123.43808264940488</v>
      </c>
      <c r="M227" s="134">
        <f t="shared" si="11"/>
        <v>85.569098178292222</v>
      </c>
      <c r="N227" s="134">
        <f t="shared" si="11"/>
        <v>44.423070628490521</v>
      </c>
      <c r="O227" s="134">
        <f t="shared" si="11"/>
        <v>0</v>
      </c>
      <c r="P227" s="134">
        <f t="shared" si="11"/>
        <v>-47.7001137071803</v>
      </c>
      <c r="Q227" s="134">
        <f t="shared" si="11"/>
        <v>-98.677270493049406</v>
      </c>
      <c r="R227" s="134">
        <f t="shared" si="11"/>
        <v>-152.93147035760757</v>
      </c>
      <c r="S227" s="134">
        <f t="shared" si="11"/>
        <v>-210.46271330085503</v>
      </c>
      <c r="T227" s="134">
        <f t="shared" si="11"/>
        <v>-271.27099932279248</v>
      </c>
      <c r="U227" s="134">
        <f t="shared" si="11"/>
        <v>-335.35632842341874</v>
      </c>
      <c r="V227" s="134">
        <f t="shared" si="11"/>
        <v>-402.71870060273432</v>
      </c>
      <c r="W227" s="134">
        <f t="shared" si="11"/>
        <v>-473.35811586074016</v>
      </c>
      <c r="X227" s="134">
        <f t="shared" si="11"/>
        <v>-547.2745741974353</v>
      </c>
      <c r="Y227" s="134">
        <f t="shared" si="11"/>
        <v>-624.46807561281878</v>
      </c>
      <c r="Z227" s="134">
        <f t="shared" si="11"/>
        <v>-704.93862010689111</v>
      </c>
      <c r="AA227" s="134">
        <f t="shared" si="11"/>
        <v>-788.68620767965319</v>
      </c>
      <c r="AB227" s="134">
        <f t="shared" si="11"/>
        <v>-875.71083833110401</v>
      </c>
      <c r="AC227" s="134">
        <f t="shared" si="11"/>
        <v>-966.01251206124471</v>
      </c>
      <c r="AD227" s="134">
        <f t="shared" si="11"/>
        <v>-1059.5912288700752</v>
      </c>
      <c r="AE227" s="134">
        <f t="shared" si="11"/>
        <v>-1156.4469887575945</v>
      </c>
      <c r="AF227" s="134">
        <f t="shared" si="11"/>
        <v>-1256.5797917238026</v>
      </c>
      <c r="AG227" s="134">
        <f t="shared" si="11"/>
        <v>-1359.989637768701</v>
      </c>
      <c r="AH227" s="134">
        <f t="shared" si="11"/>
        <v>-1466.6765268922886</v>
      </c>
      <c r="AI227" s="134">
        <f t="shared" si="11"/>
        <v>-1575.0019375552197</v>
      </c>
      <c r="AJ227" s="134">
        <f t="shared" si="11"/>
        <v>-1683.3273482181507</v>
      </c>
      <c r="AK227" s="134">
        <f t="shared" si="11"/>
        <v>-1791.6527588810818</v>
      </c>
      <c r="AL227" s="134">
        <f t="shared" si="11"/>
        <v>-1899.9781695440129</v>
      </c>
      <c r="AM227" s="134">
        <f t="shared" si="11"/>
        <v>-2008.3035802069439</v>
      </c>
      <c r="AN227" s="134">
        <f t="shared" si="11"/>
        <v>-2116.628990869875</v>
      </c>
      <c r="AO227" s="134">
        <f t="shared" si="11"/>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5">
      <c r="A228" s="102"/>
      <c r="B228" s="112" t="s">
        <v>107</v>
      </c>
      <c r="C228" s="135"/>
      <c r="D228" s="134">
        <f t="shared" si="11"/>
        <v>189.25342782246869</v>
      </c>
      <c r="E228" s="134">
        <f t="shared" si="11"/>
        <v>189.25342782246869</v>
      </c>
      <c r="F228" s="134">
        <f t="shared" si="11"/>
        <v>189.25342782246869</v>
      </c>
      <c r="G228" s="134">
        <f t="shared" si="11"/>
        <v>189.25342782246869</v>
      </c>
      <c r="H228" s="134">
        <f t="shared" si="11"/>
        <v>189.25342782246869</v>
      </c>
      <c r="I228" s="134">
        <f t="shared" si="11"/>
        <v>189.25342782246869</v>
      </c>
      <c r="J228" s="134">
        <f t="shared" si="11"/>
        <v>189.25342782246869</v>
      </c>
      <c r="K228" s="134">
        <f t="shared" si="11"/>
        <v>189.25342782246869</v>
      </c>
      <c r="L228" s="134">
        <f t="shared" si="11"/>
        <v>171.13819635658518</v>
      </c>
      <c r="M228" s="134">
        <f t="shared" si="11"/>
        <v>133.26921188547252</v>
      </c>
      <c r="N228" s="134">
        <f t="shared" si="11"/>
        <v>92.123184335670828</v>
      </c>
      <c r="O228" s="134">
        <f t="shared" si="11"/>
        <v>47.7001137071803</v>
      </c>
      <c r="P228" s="134">
        <f t="shared" si="11"/>
        <v>0</v>
      </c>
      <c r="Q228" s="134">
        <f t="shared" si="11"/>
        <v>-50.977156785869106</v>
      </c>
      <c r="R228" s="134">
        <f t="shared" si="11"/>
        <v>-105.23135665042727</v>
      </c>
      <c r="S228" s="134">
        <f t="shared" si="11"/>
        <v>-162.76259959367474</v>
      </c>
      <c r="T228" s="134">
        <f t="shared" si="11"/>
        <v>-223.57088561561221</v>
      </c>
      <c r="U228" s="134">
        <f t="shared" si="11"/>
        <v>-287.65621471623854</v>
      </c>
      <c r="V228" s="134">
        <f t="shared" si="11"/>
        <v>-355.01858689555411</v>
      </c>
      <c r="W228" s="134">
        <f t="shared" si="11"/>
        <v>-425.65800215355995</v>
      </c>
      <c r="X228" s="134">
        <f t="shared" si="11"/>
        <v>-499.57446049025509</v>
      </c>
      <c r="Y228" s="134">
        <f t="shared" si="11"/>
        <v>-576.76796190563857</v>
      </c>
      <c r="Z228" s="134">
        <f t="shared" si="11"/>
        <v>-657.2385063997109</v>
      </c>
      <c r="AA228" s="134">
        <f t="shared" si="11"/>
        <v>-740.98609397247299</v>
      </c>
      <c r="AB228" s="134">
        <f t="shared" si="11"/>
        <v>-828.01072462392381</v>
      </c>
      <c r="AC228" s="134">
        <f t="shared" si="11"/>
        <v>-918.3123983540645</v>
      </c>
      <c r="AD228" s="134">
        <f t="shared" si="11"/>
        <v>-1011.8911151628949</v>
      </c>
      <c r="AE228" s="134">
        <f t="shared" si="11"/>
        <v>-1108.7468750504142</v>
      </c>
      <c r="AF228" s="134">
        <f t="shared" si="11"/>
        <v>-1208.8796780166224</v>
      </c>
      <c r="AG228" s="134">
        <f t="shared" si="11"/>
        <v>-1312.2895240615208</v>
      </c>
      <c r="AH228" s="134">
        <f t="shared" si="11"/>
        <v>-1418.9764131851084</v>
      </c>
      <c r="AI228" s="134">
        <f t="shared" si="11"/>
        <v>-1527.3018238480395</v>
      </c>
      <c r="AJ228" s="134">
        <f t="shared" si="11"/>
        <v>-1635.6272345109705</v>
      </c>
      <c r="AK228" s="134">
        <f t="shared" si="11"/>
        <v>-1743.9526451739016</v>
      </c>
      <c r="AL228" s="134">
        <f t="shared" si="11"/>
        <v>-1852.2780558368327</v>
      </c>
      <c r="AM228" s="134">
        <f t="shared" si="11"/>
        <v>-1960.6034664997637</v>
      </c>
      <c r="AN228" s="134">
        <f t="shared" si="11"/>
        <v>-2068.9288771626948</v>
      </c>
      <c r="AO228" s="134">
        <f t="shared" si="11"/>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5">
      <c r="A229" s="102"/>
      <c r="B229" s="112" t="s">
        <v>108</v>
      </c>
      <c r="C229" s="135"/>
      <c r="D229" s="134">
        <f t="shared" si="11"/>
        <v>240.23058460833781</v>
      </c>
      <c r="E229" s="134">
        <f t="shared" si="11"/>
        <v>240.23058460833781</v>
      </c>
      <c r="F229" s="134">
        <f t="shared" si="11"/>
        <v>240.23058460833781</v>
      </c>
      <c r="G229" s="134">
        <f t="shared" si="11"/>
        <v>240.23058460833781</v>
      </c>
      <c r="H229" s="134">
        <f t="shared" si="11"/>
        <v>240.23058460833781</v>
      </c>
      <c r="I229" s="134">
        <f t="shared" si="11"/>
        <v>240.23058460833781</v>
      </c>
      <c r="J229" s="134">
        <f t="shared" si="11"/>
        <v>240.23058460833781</v>
      </c>
      <c r="K229" s="134">
        <f t="shared" si="11"/>
        <v>240.23058460833781</v>
      </c>
      <c r="L229" s="134">
        <f t="shared" si="11"/>
        <v>222.1153531424543</v>
      </c>
      <c r="M229" s="134">
        <f t="shared" si="11"/>
        <v>184.24636867134163</v>
      </c>
      <c r="N229" s="134">
        <f t="shared" si="11"/>
        <v>143.10034112153994</v>
      </c>
      <c r="O229" s="134">
        <f t="shared" si="11"/>
        <v>98.677270493049406</v>
      </c>
      <c r="P229" s="134">
        <f t="shared" si="11"/>
        <v>50.977156785869106</v>
      </c>
      <c r="Q229" s="134">
        <f t="shared" si="11"/>
        <v>0</v>
      </c>
      <c r="R229" s="134">
        <f t="shared" si="11"/>
        <v>-54.25419986455816</v>
      </c>
      <c r="S229" s="134">
        <f t="shared" si="11"/>
        <v>-111.78544280780562</v>
      </c>
      <c r="T229" s="134">
        <f t="shared" si="11"/>
        <v>-172.5937288297431</v>
      </c>
      <c r="U229" s="134">
        <f t="shared" si="11"/>
        <v>-236.6790579303694</v>
      </c>
      <c r="V229" s="134">
        <f t="shared" si="11"/>
        <v>-304.041430109685</v>
      </c>
      <c r="W229" s="134">
        <f t="shared" si="11"/>
        <v>-374.68084536769084</v>
      </c>
      <c r="X229" s="134">
        <f t="shared" si="11"/>
        <v>-448.59730370438598</v>
      </c>
      <c r="Y229" s="134">
        <f t="shared" si="11"/>
        <v>-525.7908051197694</v>
      </c>
      <c r="Z229" s="134">
        <f t="shared" si="11"/>
        <v>-606.26134961384173</v>
      </c>
      <c r="AA229" s="134">
        <f t="shared" si="11"/>
        <v>-690.00893718660382</v>
      </c>
      <c r="AB229" s="134">
        <f t="shared" si="11"/>
        <v>-777.03356783805475</v>
      </c>
      <c r="AC229" s="134">
        <f t="shared" si="11"/>
        <v>-867.33524156819544</v>
      </c>
      <c r="AD229" s="134">
        <f t="shared" si="11"/>
        <v>-960.91395837702589</v>
      </c>
      <c r="AE229" s="134">
        <f t="shared" si="11"/>
        <v>-1057.7697182645452</v>
      </c>
      <c r="AF229" s="134">
        <f t="shared" si="11"/>
        <v>-1157.9025212307533</v>
      </c>
      <c r="AG229" s="134">
        <f t="shared" si="11"/>
        <v>-1261.3123672756517</v>
      </c>
      <c r="AH229" s="134">
        <f t="shared" si="11"/>
        <v>-1367.9992563992394</v>
      </c>
      <c r="AI229" s="134">
        <f t="shared" si="11"/>
        <v>-1476.3246670621704</v>
      </c>
      <c r="AJ229" s="134">
        <f t="shared" si="11"/>
        <v>-1584.6500777251015</v>
      </c>
      <c r="AK229" s="134">
        <f t="shared" si="11"/>
        <v>-1692.9754883880325</v>
      </c>
      <c r="AL229" s="134">
        <f t="shared" si="11"/>
        <v>-1801.3008990509636</v>
      </c>
      <c r="AM229" s="134">
        <f t="shared" si="11"/>
        <v>-1909.6263097138947</v>
      </c>
      <c r="AN229" s="134">
        <f t="shared" si="11"/>
        <v>-2017.9517203768257</v>
      </c>
      <c r="AO229" s="134">
        <f t="shared" si="11"/>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5">
      <c r="A230" s="102"/>
      <c r="B230" s="112" t="s">
        <v>109</v>
      </c>
      <c r="C230" s="135"/>
      <c r="D230" s="134">
        <f t="shared" si="11"/>
        <v>294.48478447289597</v>
      </c>
      <c r="E230" s="134">
        <f t="shared" si="11"/>
        <v>294.48478447289597</v>
      </c>
      <c r="F230" s="134">
        <f t="shared" si="11"/>
        <v>294.48478447289597</v>
      </c>
      <c r="G230" s="134">
        <f t="shared" si="11"/>
        <v>294.48478447289597</v>
      </c>
      <c r="H230" s="134">
        <f t="shared" si="11"/>
        <v>294.48478447289597</v>
      </c>
      <c r="I230" s="134">
        <f t="shared" si="11"/>
        <v>294.48478447289597</v>
      </c>
      <c r="J230" s="134">
        <f t="shared" si="11"/>
        <v>294.48478447289597</v>
      </c>
      <c r="K230" s="134">
        <f t="shared" si="11"/>
        <v>294.48478447289597</v>
      </c>
      <c r="L230" s="134">
        <f t="shared" si="11"/>
        <v>276.36955300701243</v>
      </c>
      <c r="M230" s="134">
        <f t="shared" si="11"/>
        <v>238.50056853589979</v>
      </c>
      <c r="N230" s="134">
        <f t="shared" si="11"/>
        <v>197.3545409860981</v>
      </c>
      <c r="O230" s="134">
        <f t="shared" si="11"/>
        <v>152.93147035760757</v>
      </c>
      <c r="P230" s="134">
        <f t="shared" si="11"/>
        <v>105.23135665042727</v>
      </c>
      <c r="Q230" s="134">
        <f t="shared" si="11"/>
        <v>54.25419986455816</v>
      </c>
      <c r="R230" s="134">
        <f t="shared" si="11"/>
        <v>0</v>
      </c>
      <c r="S230" s="134">
        <f t="shared" si="11"/>
        <v>-57.531242943247456</v>
      </c>
      <c r="T230" s="134">
        <f t="shared" si="11"/>
        <v>-118.33952896518494</v>
      </c>
      <c r="U230" s="134">
        <f t="shared" si="11"/>
        <v>-182.42485806581124</v>
      </c>
      <c r="V230" s="134">
        <f t="shared" si="11"/>
        <v>-249.78723024512681</v>
      </c>
      <c r="W230" s="134">
        <f t="shared" si="11"/>
        <v>-320.42664550313265</v>
      </c>
      <c r="X230" s="134">
        <f t="shared" si="11"/>
        <v>-394.34310383982779</v>
      </c>
      <c r="Y230" s="134">
        <f t="shared" si="11"/>
        <v>-471.53660525521127</v>
      </c>
      <c r="Z230" s="134">
        <f t="shared" si="11"/>
        <v>-552.0071497492836</v>
      </c>
      <c r="AA230" s="134">
        <f t="shared" si="11"/>
        <v>-635.75473732204568</v>
      </c>
      <c r="AB230" s="134">
        <f t="shared" si="11"/>
        <v>-722.77936797349662</v>
      </c>
      <c r="AC230" s="134">
        <f t="shared" si="11"/>
        <v>-813.08104170363731</v>
      </c>
      <c r="AD230" s="134">
        <f t="shared" si="11"/>
        <v>-906.65975851246776</v>
      </c>
      <c r="AE230" s="134">
        <f t="shared" ref="AE230:AO230" si="12">IF(AE$214=$B230,0,IF(AE$214&gt;$B230,-0.5*AE$212-0.5*AD$212+AD230,0.5*HLOOKUP($B230,$D$211:$AO$212,2,FALSE)+0.5*HLOOKUP($B229,$D$211:$AO$212,2,FALSE)+AE229))</f>
        <v>-1003.5155183999871</v>
      </c>
      <c r="AF230" s="134">
        <f t="shared" si="12"/>
        <v>-1103.6483213661952</v>
      </c>
      <c r="AG230" s="134">
        <f t="shared" si="12"/>
        <v>-1207.0581674110936</v>
      </c>
      <c r="AH230" s="134">
        <f t="shared" si="12"/>
        <v>-1313.7450565346812</v>
      </c>
      <c r="AI230" s="134">
        <f t="shared" si="12"/>
        <v>-1422.0704671976123</v>
      </c>
      <c r="AJ230" s="134">
        <f t="shared" si="12"/>
        <v>-1530.3958778605434</v>
      </c>
      <c r="AK230" s="134">
        <f t="shared" si="12"/>
        <v>-1638.7212885234744</v>
      </c>
      <c r="AL230" s="134">
        <f t="shared" si="12"/>
        <v>-1747.0466991864055</v>
      </c>
      <c r="AM230" s="134">
        <f t="shared" si="12"/>
        <v>-1855.3721098493365</v>
      </c>
      <c r="AN230" s="134">
        <f t="shared" si="12"/>
        <v>-1963.6975205122676</v>
      </c>
      <c r="AO230" s="134">
        <f t="shared" si="12"/>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5">
      <c r="A231" s="102"/>
      <c r="B231" s="112" t="s">
        <v>110</v>
      </c>
      <c r="C231" s="135"/>
      <c r="D231" s="134">
        <f t="shared" ref="D231:AO237" si="13">IF(D$214=$B231,0,IF(D$214&gt;$B231,-0.5*D$212-0.5*C$212+C231,0.5*HLOOKUP($B231,$D$211:$AO$212,2,FALSE)+0.5*HLOOKUP($B230,$D$211:$AO$212,2,FALSE)+D230))</f>
        <v>352.0160274161434</v>
      </c>
      <c r="E231" s="134">
        <f t="shared" si="13"/>
        <v>352.0160274161434</v>
      </c>
      <c r="F231" s="134">
        <f t="shared" si="13"/>
        <v>352.0160274161434</v>
      </c>
      <c r="G231" s="134">
        <f t="shared" si="13"/>
        <v>352.0160274161434</v>
      </c>
      <c r="H231" s="134">
        <f t="shared" si="13"/>
        <v>352.0160274161434</v>
      </c>
      <c r="I231" s="134">
        <f t="shared" si="13"/>
        <v>352.0160274161434</v>
      </c>
      <c r="J231" s="134">
        <f t="shared" si="13"/>
        <v>352.0160274161434</v>
      </c>
      <c r="K231" s="134">
        <f t="shared" si="13"/>
        <v>352.0160274161434</v>
      </c>
      <c r="L231" s="134">
        <f t="shared" si="13"/>
        <v>333.90079595025986</v>
      </c>
      <c r="M231" s="134">
        <f t="shared" si="13"/>
        <v>296.03181147914722</v>
      </c>
      <c r="N231" s="134">
        <f t="shared" si="13"/>
        <v>254.88578392934556</v>
      </c>
      <c r="O231" s="134">
        <f t="shared" si="13"/>
        <v>210.46271330085503</v>
      </c>
      <c r="P231" s="134">
        <f t="shared" si="13"/>
        <v>162.76259959367474</v>
      </c>
      <c r="Q231" s="134">
        <f t="shared" si="13"/>
        <v>111.78544280780562</v>
      </c>
      <c r="R231" s="134">
        <f t="shared" si="13"/>
        <v>57.531242943247456</v>
      </c>
      <c r="S231" s="134">
        <f t="shared" si="13"/>
        <v>0</v>
      </c>
      <c r="T231" s="134">
        <f t="shared" si="13"/>
        <v>-60.808286021937477</v>
      </c>
      <c r="U231" s="134">
        <f t="shared" si="13"/>
        <v>-124.89361512256377</v>
      </c>
      <c r="V231" s="134">
        <f t="shared" si="13"/>
        <v>-192.25598730187937</v>
      </c>
      <c r="W231" s="134">
        <f t="shared" si="13"/>
        <v>-262.89540255988521</v>
      </c>
      <c r="X231" s="134">
        <f t="shared" si="13"/>
        <v>-336.81186089658036</v>
      </c>
      <c r="Y231" s="134">
        <f t="shared" si="13"/>
        <v>-414.00536231196384</v>
      </c>
      <c r="Z231" s="134">
        <f t="shared" si="13"/>
        <v>-494.47590680603611</v>
      </c>
      <c r="AA231" s="134">
        <f t="shared" si="13"/>
        <v>-578.22349437879814</v>
      </c>
      <c r="AB231" s="134">
        <f t="shared" si="13"/>
        <v>-665.24812503024896</v>
      </c>
      <c r="AC231" s="134">
        <f t="shared" si="13"/>
        <v>-755.54979876038965</v>
      </c>
      <c r="AD231" s="134">
        <f t="shared" si="13"/>
        <v>-849.1285155692201</v>
      </c>
      <c r="AE231" s="134">
        <f t="shared" si="13"/>
        <v>-945.9842754567394</v>
      </c>
      <c r="AF231" s="134">
        <f t="shared" si="13"/>
        <v>-1046.1170784229475</v>
      </c>
      <c r="AG231" s="134">
        <f t="shared" si="13"/>
        <v>-1149.5269244678459</v>
      </c>
      <c r="AH231" s="134">
        <f t="shared" si="13"/>
        <v>-1256.2138135914336</v>
      </c>
      <c r="AI231" s="134">
        <f t="shared" si="13"/>
        <v>-1364.5392242543646</v>
      </c>
      <c r="AJ231" s="134">
        <f t="shared" si="13"/>
        <v>-1472.8646349172957</v>
      </c>
      <c r="AK231" s="134">
        <f t="shared" si="13"/>
        <v>-1581.1900455802268</v>
      </c>
      <c r="AL231" s="134">
        <f t="shared" si="13"/>
        <v>-1689.5154562431578</v>
      </c>
      <c r="AM231" s="134">
        <f t="shared" si="13"/>
        <v>-1797.8408669060889</v>
      </c>
      <c r="AN231" s="134">
        <f t="shared" si="13"/>
        <v>-1906.1662775690199</v>
      </c>
      <c r="AO231" s="134">
        <f t="shared" si="13"/>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5">
      <c r="A232" s="102"/>
      <c r="B232" s="112" t="s">
        <v>111</v>
      </c>
      <c r="C232" s="135"/>
      <c r="D232" s="134">
        <f t="shared" si="13"/>
        <v>412.82431343808088</v>
      </c>
      <c r="E232" s="134">
        <f t="shared" si="13"/>
        <v>412.82431343808088</v>
      </c>
      <c r="F232" s="134">
        <f t="shared" si="13"/>
        <v>412.82431343808088</v>
      </c>
      <c r="G232" s="134">
        <f t="shared" si="13"/>
        <v>412.82431343808088</v>
      </c>
      <c r="H232" s="134">
        <f t="shared" si="13"/>
        <v>412.82431343808088</v>
      </c>
      <c r="I232" s="134">
        <f t="shared" si="13"/>
        <v>412.82431343808088</v>
      </c>
      <c r="J232" s="134">
        <f t="shared" si="13"/>
        <v>412.82431343808088</v>
      </c>
      <c r="K232" s="134">
        <f t="shared" si="13"/>
        <v>412.82431343808088</v>
      </c>
      <c r="L232" s="134">
        <f t="shared" si="13"/>
        <v>394.70908197219734</v>
      </c>
      <c r="M232" s="134">
        <f t="shared" si="13"/>
        <v>356.8400975010847</v>
      </c>
      <c r="N232" s="134">
        <f t="shared" si="13"/>
        <v>315.69406995128304</v>
      </c>
      <c r="O232" s="134">
        <f t="shared" si="13"/>
        <v>271.27099932279248</v>
      </c>
      <c r="P232" s="134">
        <f t="shared" si="13"/>
        <v>223.57088561561221</v>
      </c>
      <c r="Q232" s="134">
        <f t="shared" si="13"/>
        <v>172.5937288297431</v>
      </c>
      <c r="R232" s="134">
        <f t="shared" si="13"/>
        <v>118.33952896518494</v>
      </c>
      <c r="S232" s="134">
        <f t="shared" si="13"/>
        <v>60.808286021937477</v>
      </c>
      <c r="T232" s="134">
        <f t="shared" si="13"/>
        <v>0</v>
      </c>
      <c r="U232" s="134">
        <f t="shared" si="13"/>
        <v>-64.085329100626296</v>
      </c>
      <c r="V232" s="134">
        <f t="shared" si="13"/>
        <v>-131.4477012799419</v>
      </c>
      <c r="W232" s="134">
        <f t="shared" si="13"/>
        <v>-202.08711653794774</v>
      </c>
      <c r="X232" s="134">
        <f t="shared" si="13"/>
        <v>-276.00357487464288</v>
      </c>
      <c r="Y232" s="134">
        <f t="shared" si="13"/>
        <v>-353.19707629002636</v>
      </c>
      <c r="Z232" s="134">
        <f t="shared" si="13"/>
        <v>-433.66762078409863</v>
      </c>
      <c r="AA232" s="134">
        <f t="shared" si="13"/>
        <v>-517.41520835686072</v>
      </c>
      <c r="AB232" s="134">
        <f t="shared" si="13"/>
        <v>-604.43983900831154</v>
      </c>
      <c r="AC232" s="134">
        <f t="shared" si="13"/>
        <v>-694.74151273845223</v>
      </c>
      <c r="AD232" s="134">
        <f t="shared" si="13"/>
        <v>-788.32022954728268</v>
      </c>
      <c r="AE232" s="134">
        <f t="shared" si="13"/>
        <v>-885.17598943480198</v>
      </c>
      <c r="AF232" s="134">
        <f t="shared" si="13"/>
        <v>-985.30879240101001</v>
      </c>
      <c r="AG232" s="134">
        <f t="shared" si="13"/>
        <v>-1088.7186384459083</v>
      </c>
      <c r="AH232" s="134">
        <f t="shared" si="13"/>
        <v>-1195.4055275694959</v>
      </c>
      <c r="AI232" s="134">
        <f t="shared" si="13"/>
        <v>-1303.730938232427</v>
      </c>
      <c r="AJ232" s="134">
        <f t="shared" si="13"/>
        <v>-1412.056348895358</v>
      </c>
      <c r="AK232" s="134">
        <f t="shared" si="13"/>
        <v>-1520.3817595582891</v>
      </c>
      <c r="AL232" s="134">
        <f t="shared" si="13"/>
        <v>-1628.7071702212202</v>
      </c>
      <c r="AM232" s="134">
        <f t="shared" si="13"/>
        <v>-1737.0325808841512</v>
      </c>
      <c r="AN232" s="134">
        <f t="shared" si="13"/>
        <v>-1845.3579915470823</v>
      </c>
      <c r="AO232" s="134">
        <f t="shared" si="13"/>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5">
      <c r="A233" s="102"/>
      <c r="B233" s="112" t="s">
        <v>112</v>
      </c>
      <c r="C233" s="135"/>
      <c r="D233" s="134">
        <f t="shared" si="13"/>
        <v>476.9096425387072</v>
      </c>
      <c r="E233" s="134">
        <f t="shared" si="13"/>
        <v>476.9096425387072</v>
      </c>
      <c r="F233" s="134">
        <f t="shared" si="13"/>
        <v>476.9096425387072</v>
      </c>
      <c r="G233" s="134">
        <f t="shared" si="13"/>
        <v>476.9096425387072</v>
      </c>
      <c r="H233" s="134">
        <f t="shared" si="13"/>
        <v>476.9096425387072</v>
      </c>
      <c r="I233" s="134">
        <f t="shared" si="13"/>
        <v>476.9096425387072</v>
      </c>
      <c r="J233" s="134">
        <f t="shared" si="13"/>
        <v>476.9096425387072</v>
      </c>
      <c r="K233" s="134">
        <f t="shared" si="13"/>
        <v>476.9096425387072</v>
      </c>
      <c r="L233" s="134">
        <f t="shared" si="13"/>
        <v>458.79441107282366</v>
      </c>
      <c r="M233" s="134">
        <f t="shared" si="13"/>
        <v>420.92542660171102</v>
      </c>
      <c r="N233" s="134">
        <f t="shared" si="13"/>
        <v>379.77939905190931</v>
      </c>
      <c r="O233" s="134">
        <f t="shared" si="13"/>
        <v>335.35632842341874</v>
      </c>
      <c r="P233" s="134">
        <f t="shared" si="13"/>
        <v>287.65621471623854</v>
      </c>
      <c r="Q233" s="134">
        <f t="shared" si="13"/>
        <v>236.6790579303694</v>
      </c>
      <c r="R233" s="134">
        <f t="shared" si="13"/>
        <v>182.42485806581124</v>
      </c>
      <c r="S233" s="134">
        <f t="shared" si="13"/>
        <v>124.89361512256377</v>
      </c>
      <c r="T233" s="134">
        <f t="shared" si="13"/>
        <v>64.085329100626296</v>
      </c>
      <c r="U233" s="134">
        <f t="shared" si="13"/>
        <v>0</v>
      </c>
      <c r="V233" s="134">
        <f t="shared" si="13"/>
        <v>-67.362372179315585</v>
      </c>
      <c r="W233" s="134">
        <f t="shared" si="13"/>
        <v>-138.00178743732141</v>
      </c>
      <c r="X233" s="134">
        <f t="shared" si="13"/>
        <v>-211.91824577401655</v>
      </c>
      <c r="Y233" s="134">
        <f t="shared" si="13"/>
        <v>-289.11174718940003</v>
      </c>
      <c r="Z233" s="134">
        <f t="shared" si="13"/>
        <v>-369.58229168347231</v>
      </c>
      <c r="AA233" s="134">
        <f t="shared" si="13"/>
        <v>-453.32987925623439</v>
      </c>
      <c r="AB233" s="134">
        <f t="shared" si="13"/>
        <v>-540.35450990768527</v>
      </c>
      <c r="AC233" s="134">
        <f t="shared" si="13"/>
        <v>-630.65618363782596</v>
      </c>
      <c r="AD233" s="134">
        <f t="shared" si="13"/>
        <v>-724.23490044665641</v>
      </c>
      <c r="AE233" s="134">
        <f t="shared" si="13"/>
        <v>-821.09066033417571</v>
      </c>
      <c r="AF233" s="134">
        <f t="shared" si="13"/>
        <v>-921.22346330038374</v>
      </c>
      <c r="AG233" s="134">
        <f t="shared" si="13"/>
        <v>-1024.633309345282</v>
      </c>
      <c r="AH233" s="134">
        <f t="shared" si="13"/>
        <v>-1131.3201984688696</v>
      </c>
      <c r="AI233" s="134">
        <f t="shared" si="13"/>
        <v>-1239.6456091318007</v>
      </c>
      <c r="AJ233" s="134">
        <f t="shared" si="13"/>
        <v>-1347.9710197947318</v>
      </c>
      <c r="AK233" s="134">
        <f t="shared" si="13"/>
        <v>-1456.2964304576628</v>
      </c>
      <c r="AL233" s="134">
        <f t="shared" si="13"/>
        <v>-1564.6218411205939</v>
      </c>
      <c r="AM233" s="134">
        <f t="shared" si="13"/>
        <v>-1672.947251783525</v>
      </c>
      <c r="AN233" s="134">
        <f t="shared" si="13"/>
        <v>-1781.272662446456</v>
      </c>
      <c r="AO233" s="134">
        <f t="shared" si="13"/>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5">
      <c r="A234" s="102"/>
      <c r="B234" s="112" t="s">
        <v>113</v>
      </c>
      <c r="C234" s="135"/>
      <c r="D234" s="134">
        <f t="shared" si="13"/>
        <v>544.27201471802277</v>
      </c>
      <c r="E234" s="134">
        <f t="shared" si="13"/>
        <v>544.27201471802277</v>
      </c>
      <c r="F234" s="134">
        <f t="shared" si="13"/>
        <v>544.27201471802277</v>
      </c>
      <c r="G234" s="134">
        <f t="shared" si="13"/>
        <v>544.27201471802277</v>
      </c>
      <c r="H234" s="134">
        <f t="shared" si="13"/>
        <v>544.27201471802277</v>
      </c>
      <c r="I234" s="134">
        <f t="shared" si="13"/>
        <v>544.27201471802277</v>
      </c>
      <c r="J234" s="134">
        <f t="shared" si="13"/>
        <v>544.27201471802277</v>
      </c>
      <c r="K234" s="134">
        <f t="shared" si="13"/>
        <v>544.27201471802277</v>
      </c>
      <c r="L234" s="134">
        <f t="shared" si="13"/>
        <v>526.15678325213923</v>
      </c>
      <c r="M234" s="134">
        <f t="shared" si="13"/>
        <v>488.28779878102659</v>
      </c>
      <c r="N234" s="134">
        <f t="shared" si="13"/>
        <v>447.14177123122488</v>
      </c>
      <c r="O234" s="134">
        <f t="shared" si="13"/>
        <v>402.71870060273432</v>
      </c>
      <c r="P234" s="134">
        <f t="shared" si="13"/>
        <v>355.01858689555411</v>
      </c>
      <c r="Q234" s="134">
        <f t="shared" si="13"/>
        <v>304.041430109685</v>
      </c>
      <c r="R234" s="134">
        <f t="shared" si="13"/>
        <v>249.78723024512681</v>
      </c>
      <c r="S234" s="134">
        <f t="shared" si="13"/>
        <v>192.25598730187937</v>
      </c>
      <c r="T234" s="134">
        <f t="shared" si="13"/>
        <v>131.4477012799419</v>
      </c>
      <c r="U234" s="134">
        <f t="shared" si="13"/>
        <v>67.362372179315585</v>
      </c>
      <c r="V234" s="134">
        <f t="shared" si="13"/>
        <v>0</v>
      </c>
      <c r="W234" s="134">
        <f t="shared" si="13"/>
        <v>-70.63941525800584</v>
      </c>
      <c r="X234" s="134">
        <f t="shared" si="13"/>
        <v>-144.55587359470098</v>
      </c>
      <c r="Y234" s="134">
        <f t="shared" si="13"/>
        <v>-221.74937501008446</v>
      </c>
      <c r="Z234" s="134">
        <f t="shared" si="13"/>
        <v>-302.21991950415674</v>
      </c>
      <c r="AA234" s="134">
        <f t="shared" si="13"/>
        <v>-385.96750707691882</v>
      </c>
      <c r="AB234" s="134">
        <f t="shared" si="13"/>
        <v>-472.9921377283697</v>
      </c>
      <c r="AC234" s="134">
        <f t="shared" si="13"/>
        <v>-563.29381145851039</v>
      </c>
      <c r="AD234" s="134">
        <f t="shared" si="13"/>
        <v>-656.87252826734084</v>
      </c>
      <c r="AE234" s="134">
        <f t="shared" si="13"/>
        <v>-753.72828815486014</v>
      </c>
      <c r="AF234" s="134">
        <f t="shared" si="13"/>
        <v>-853.86109112106817</v>
      </c>
      <c r="AG234" s="134">
        <f t="shared" si="13"/>
        <v>-957.27093716596653</v>
      </c>
      <c r="AH234" s="134">
        <f t="shared" si="13"/>
        <v>-1063.9578262895541</v>
      </c>
      <c r="AI234" s="134">
        <f t="shared" si="13"/>
        <v>-1172.2832369524851</v>
      </c>
      <c r="AJ234" s="134">
        <f t="shared" si="13"/>
        <v>-1280.6086476154162</v>
      </c>
      <c r="AK234" s="134">
        <f t="shared" si="13"/>
        <v>-1388.9340582783473</v>
      </c>
      <c r="AL234" s="134">
        <f t="shared" si="13"/>
        <v>-1497.2594689412783</v>
      </c>
      <c r="AM234" s="134">
        <f t="shared" si="13"/>
        <v>-1605.5848796042094</v>
      </c>
      <c r="AN234" s="134">
        <f t="shared" si="13"/>
        <v>-1713.9102902671405</v>
      </c>
      <c r="AO234" s="134">
        <f t="shared" si="1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5">
      <c r="A235" s="102"/>
      <c r="B235" s="112" t="s">
        <v>114</v>
      </c>
      <c r="C235" s="135"/>
      <c r="D235" s="134">
        <f t="shared" si="13"/>
        <v>614.91142997602856</v>
      </c>
      <c r="E235" s="134">
        <f t="shared" si="13"/>
        <v>614.91142997602856</v>
      </c>
      <c r="F235" s="134">
        <f t="shared" si="13"/>
        <v>614.91142997602856</v>
      </c>
      <c r="G235" s="134">
        <f t="shared" si="13"/>
        <v>614.91142997602856</v>
      </c>
      <c r="H235" s="134">
        <f t="shared" si="13"/>
        <v>614.91142997602856</v>
      </c>
      <c r="I235" s="134">
        <f t="shared" si="13"/>
        <v>614.91142997602856</v>
      </c>
      <c r="J235" s="134">
        <f t="shared" si="13"/>
        <v>614.91142997602856</v>
      </c>
      <c r="K235" s="134">
        <f t="shared" si="13"/>
        <v>614.91142997602856</v>
      </c>
      <c r="L235" s="134">
        <f t="shared" si="13"/>
        <v>596.79619851014513</v>
      </c>
      <c r="M235" s="134">
        <f t="shared" si="13"/>
        <v>558.92721403903238</v>
      </c>
      <c r="N235" s="134">
        <f t="shared" si="13"/>
        <v>517.78118648923078</v>
      </c>
      <c r="O235" s="134">
        <f t="shared" si="13"/>
        <v>473.35811586074016</v>
      </c>
      <c r="P235" s="134">
        <f t="shared" si="13"/>
        <v>425.65800215355995</v>
      </c>
      <c r="Q235" s="134">
        <f t="shared" si="13"/>
        <v>374.68084536769084</v>
      </c>
      <c r="R235" s="134">
        <f t="shared" si="13"/>
        <v>320.42664550313265</v>
      </c>
      <c r="S235" s="134">
        <f t="shared" si="13"/>
        <v>262.89540255988521</v>
      </c>
      <c r="T235" s="134">
        <f t="shared" si="13"/>
        <v>202.08711653794774</v>
      </c>
      <c r="U235" s="134">
        <f t="shared" si="13"/>
        <v>138.00178743732141</v>
      </c>
      <c r="V235" s="134">
        <f t="shared" si="13"/>
        <v>70.63941525800584</v>
      </c>
      <c r="W235" s="134">
        <f t="shared" si="13"/>
        <v>0</v>
      </c>
      <c r="X235" s="134">
        <f t="shared" si="13"/>
        <v>-73.916458336695143</v>
      </c>
      <c r="Y235" s="134">
        <f t="shared" si="13"/>
        <v>-151.10995975207862</v>
      </c>
      <c r="Z235" s="134">
        <f t="shared" si="13"/>
        <v>-231.58050424615089</v>
      </c>
      <c r="AA235" s="134">
        <f t="shared" si="13"/>
        <v>-315.32809181891298</v>
      </c>
      <c r="AB235" s="134">
        <f t="shared" si="13"/>
        <v>-402.35272247036386</v>
      </c>
      <c r="AC235" s="134">
        <f t="shared" si="13"/>
        <v>-492.65439620050449</v>
      </c>
      <c r="AD235" s="134">
        <f t="shared" si="13"/>
        <v>-586.23311300933494</v>
      </c>
      <c r="AE235" s="134">
        <f t="shared" si="13"/>
        <v>-683.08887289685413</v>
      </c>
      <c r="AF235" s="134">
        <f t="shared" si="13"/>
        <v>-783.22167586306216</v>
      </c>
      <c r="AG235" s="134">
        <f t="shared" si="13"/>
        <v>-886.63152190796052</v>
      </c>
      <c r="AH235" s="134">
        <f t="shared" si="13"/>
        <v>-993.31841103154818</v>
      </c>
      <c r="AI235" s="134">
        <f t="shared" si="13"/>
        <v>-1101.6438216944794</v>
      </c>
      <c r="AJ235" s="134">
        <f t="shared" si="13"/>
        <v>-1209.9692323574104</v>
      </c>
      <c r="AK235" s="134">
        <f t="shared" si="13"/>
        <v>-1318.2946430203415</v>
      </c>
      <c r="AL235" s="134">
        <f t="shared" si="13"/>
        <v>-1426.6200536832725</v>
      </c>
      <c r="AM235" s="134">
        <f t="shared" si="13"/>
        <v>-1534.9454643462036</v>
      </c>
      <c r="AN235" s="134">
        <f t="shared" si="13"/>
        <v>-1643.2708750091347</v>
      </c>
      <c r="AO235" s="134">
        <f t="shared" si="13"/>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5">
      <c r="A236" s="102"/>
      <c r="B236" s="112" t="s">
        <v>115</v>
      </c>
      <c r="C236" s="135"/>
      <c r="D236" s="134">
        <f t="shared" si="13"/>
        <v>688.82788831272364</v>
      </c>
      <c r="E236" s="134">
        <f t="shared" si="13"/>
        <v>688.82788831272364</v>
      </c>
      <c r="F236" s="134">
        <f t="shared" si="13"/>
        <v>688.82788831272364</v>
      </c>
      <c r="G236" s="134">
        <f t="shared" si="13"/>
        <v>688.82788831272364</v>
      </c>
      <c r="H236" s="134">
        <f t="shared" si="13"/>
        <v>688.82788831272364</v>
      </c>
      <c r="I236" s="134">
        <f t="shared" si="13"/>
        <v>688.82788831272364</v>
      </c>
      <c r="J236" s="134">
        <f t="shared" si="13"/>
        <v>688.82788831272364</v>
      </c>
      <c r="K236" s="134">
        <f t="shared" si="13"/>
        <v>688.82788831272364</v>
      </c>
      <c r="L236" s="134">
        <f t="shared" si="13"/>
        <v>670.71265684684022</v>
      </c>
      <c r="M236" s="134">
        <f t="shared" si="13"/>
        <v>632.84367237572746</v>
      </c>
      <c r="N236" s="134">
        <f t="shared" si="13"/>
        <v>591.69764482592586</v>
      </c>
      <c r="O236" s="134">
        <f t="shared" si="13"/>
        <v>547.2745741974353</v>
      </c>
      <c r="P236" s="134">
        <f t="shared" si="13"/>
        <v>499.57446049025509</v>
      </c>
      <c r="Q236" s="134">
        <f t="shared" si="13"/>
        <v>448.59730370438598</v>
      </c>
      <c r="R236" s="134">
        <f t="shared" si="13"/>
        <v>394.34310383982779</v>
      </c>
      <c r="S236" s="134">
        <f t="shared" si="13"/>
        <v>336.81186089658036</v>
      </c>
      <c r="T236" s="134">
        <f t="shared" si="13"/>
        <v>276.00357487464288</v>
      </c>
      <c r="U236" s="134">
        <f t="shared" si="13"/>
        <v>211.91824577401655</v>
      </c>
      <c r="V236" s="134">
        <f t="shared" si="13"/>
        <v>144.55587359470098</v>
      </c>
      <c r="W236" s="134">
        <f t="shared" si="13"/>
        <v>73.916458336695143</v>
      </c>
      <c r="X236" s="134">
        <f t="shared" si="13"/>
        <v>0</v>
      </c>
      <c r="Y236" s="134">
        <f t="shared" si="13"/>
        <v>-77.19350141538348</v>
      </c>
      <c r="Z236" s="134">
        <f t="shared" si="13"/>
        <v>-157.66404590945575</v>
      </c>
      <c r="AA236" s="134">
        <f t="shared" si="13"/>
        <v>-241.41163348221784</v>
      </c>
      <c r="AB236" s="134">
        <f t="shared" si="13"/>
        <v>-328.43626413366871</v>
      </c>
      <c r="AC236" s="134">
        <f t="shared" si="13"/>
        <v>-418.73793786380935</v>
      </c>
      <c r="AD236" s="134">
        <f t="shared" si="13"/>
        <v>-512.31665467263974</v>
      </c>
      <c r="AE236" s="134">
        <f t="shared" si="13"/>
        <v>-609.17241456015904</v>
      </c>
      <c r="AF236" s="134">
        <f t="shared" si="13"/>
        <v>-709.30521752636707</v>
      </c>
      <c r="AG236" s="134">
        <f t="shared" si="13"/>
        <v>-812.71506357126543</v>
      </c>
      <c r="AH236" s="134">
        <f t="shared" si="13"/>
        <v>-919.40195269485309</v>
      </c>
      <c r="AI236" s="134">
        <f t="shared" si="13"/>
        <v>-1027.7273633577843</v>
      </c>
      <c r="AJ236" s="134">
        <f t="shared" si="13"/>
        <v>-1136.0527740207153</v>
      </c>
      <c r="AK236" s="134">
        <f t="shared" si="13"/>
        <v>-1244.3781846836464</v>
      </c>
      <c r="AL236" s="134">
        <f t="shared" si="13"/>
        <v>-1352.7035953465775</v>
      </c>
      <c r="AM236" s="134">
        <f t="shared" si="13"/>
        <v>-1461.0290060095085</v>
      </c>
      <c r="AN236" s="134">
        <f t="shared" si="13"/>
        <v>-1569.3544166724396</v>
      </c>
      <c r="AO236" s="134">
        <f t="shared" si="13"/>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5">
      <c r="A237" s="102"/>
      <c r="B237" s="112" t="s">
        <v>116</v>
      </c>
      <c r="C237" s="135"/>
      <c r="D237" s="134">
        <f t="shared" si="13"/>
        <v>766.02138972810712</v>
      </c>
      <c r="E237" s="134">
        <f t="shared" si="13"/>
        <v>766.02138972810712</v>
      </c>
      <c r="F237" s="134">
        <f t="shared" si="13"/>
        <v>766.02138972810712</v>
      </c>
      <c r="G237" s="134">
        <f t="shared" si="13"/>
        <v>766.02138972810712</v>
      </c>
      <c r="H237" s="134">
        <f t="shared" si="13"/>
        <v>766.02138972810712</v>
      </c>
      <c r="I237" s="134">
        <f t="shared" si="13"/>
        <v>766.02138972810712</v>
      </c>
      <c r="J237" s="134">
        <f t="shared" si="13"/>
        <v>766.02138972810712</v>
      </c>
      <c r="K237" s="134">
        <f t="shared" si="13"/>
        <v>766.02138972810712</v>
      </c>
      <c r="L237" s="134">
        <f t="shared" si="13"/>
        <v>747.9061582622237</v>
      </c>
      <c r="M237" s="134">
        <f t="shared" si="13"/>
        <v>710.03717379111094</v>
      </c>
      <c r="N237" s="134">
        <f t="shared" si="13"/>
        <v>668.89114624130934</v>
      </c>
      <c r="O237" s="134">
        <f t="shared" si="13"/>
        <v>624.46807561281878</v>
      </c>
      <c r="P237" s="134">
        <f t="shared" si="13"/>
        <v>576.76796190563857</v>
      </c>
      <c r="Q237" s="134">
        <f t="shared" si="13"/>
        <v>525.7908051197694</v>
      </c>
      <c r="R237" s="134">
        <f t="shared" si="13"/>
        <v>471.53660525521127</v>
      </c>
      <c r="S237" s="134">
        <f t="shared" si="13"/>
        <v>414.00536231196384</v>
      </c>
      <c r="T237" s="134">
        <f t="shared" si="13"/>
        <v>353.19707629002636</v>
      </c>
      <c r="U237" s="134">
        <f t="shared" si="13"/>
        <v>289.11174718940003</v>
      </c>
      <c r="V237" s="134">
        <f t="shared" si="13"/>
        <v>221.74937501008446</v>
      </c>
      <c r="W237" s="134">
        <f t="shared" si="13"/>
        <v>151.10995975207862</v>
      </c>
      <c r="X237" s="134">
        <f t="shared" si="13"/>
        <v>77.19350141538348</v>
      </c>
      <c r="Y237" s="134">
        <f t="shared" si="13"/>
        <v>0</v>
      </c>
      <c r="Z237" s="134">
        <f t="shared" si="13"/>
        <v>-80.470544494072286</v>
      </c>
      <c r="AA237" s="134">
        <f t="shared" si="13"/>
        <v>-164.21813206683436</v>
      </c>
      <c r="AB237" s="134">
        <f t="shared" si="13"/>
        <v>-251.24276271828523</v>
      </c>
      <c r="AC237" s="134">
        <f t="shared" si="13"/>
        <v>-341.54443644842587</v>
      </c>
      <c r="AD237" s="134">
        <f t="shared" si="13"/>
        <v>-435.12315325725632</v>
      </c>
      <c r="AE237" s="134">
        <f t="shared" ref="AE237:AO237" si="14">IF(AE$214=$B237,0,IF(AE$214&gt;$B237,-0.5*AE$212-0.5*AD$212+AD237,0.5*HLOOKUP($B237,$D$211:$AO$212,2,FALSE)+0.5*HLOOKUP($B236,$D$211:$AO$212,2,FALSE)+AE236))</f>
        <v>-531.97891314477556</v>
      </c>
      <c r="AF237" s="134">
        <f t="shared" si="14"/>
        <v>-632.11171611098359</v>
      </c>
      <c r="AG237" s="134">
        <f t="shared" si="14"/>
        <v>-735.52156215588195</v>
      </c>
      <c r="AH237" s="134">
        <f t="shared" si="14"/>
        <v>-842.20845127946961</v>
      </c>
      <c r="AI237" s="134">
        <f t="shared" si="14"/>
        <v>-950.53386194240068</v>
      </c>
      <c r="AJ237" s="134">
        <f t="shared" si="14"/>
        <v>-1058.8592726053319</v>
      </c>
      <c r="AK237" s="134">
        <f t="shared" si="14"/>
        <v>-1167.1846832682629</v>
      </c>
      <c r="AL237" s="134">
        <f t="shared" si="14"/>
        <v>-1275.510093931194</v>
      </c>
      <c r="AM237" s="134">
        <f t="shared" si="14"/>
        <v>-1383.835504594125</v>
      </c>
      <c r="AN237" s="134">
        <f t="shared" si="14"/>
        <v>-1492.1609152570561</v>
      </c>
      <c r="AO237" s="134">
        <f t="shared" si="14"/>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5">
      <c r="A238" s="102"/>
      <c r="B238" s="112" t="s">
        <v>117</v>
      </c>
      <c r="C238" s="135"/>
      <c r="D238" s="134">
        <f t="shared" ref="D238:AO244" si="15">IF(D$214=$B238,0,IF(D$214&gt;$B238,-0.5*D$212-0.5*C$212+C238,0.5*HLOOKUP($B238,$D$211:$AO$212,2,FALSE)+0.5*HLOOKUP($B237,$D$211:$AO$212,2,FALSE)+D237))</f>
        <v>846.49193422217945</v>
      </c>
      <c r="E238" s="134">
        <f t="shared" si="15"/>
        <v>846.49193422217945</v>
      </c>
      <c r="F238" s="134">
        <f t="shared" si="15"/>
        <v>846.49193422217945</v>
      </c>
      <c r="G238" s="134">
        <f t="shared" si="15"/>
        <v>846.49193422217945</v>
      </c>
      <c r="H238" s="134">
        <f t="shared" si="15"/>
        <v>846.49193422217945</v>
      </c>
      <c r="I238" s="134">
        <f t="shared" si="15"/>
        <v>846.49193422217945</v>
      </c>
      <c r="J238" s="134">
        <f t="shared" si="15"/>
        <v>846.49193422217945</v>
      </c>
      <c r="K238" s="134">
        <f t="shared" si="15"/>
        <v>846.49193422217945</v>
      </c>
      <c r="L238" s="134">
        <f t="shared" si="15"/>
        <v>828.37670275629603</v>
      </c>
      <c r="M238" s="134">
        <f t="shared" si="15"/>
        <v>790.50771828518327</v>
      </c>
      <c r="N238" s="134">
        <f t="shared" si="15"/>
        <v>749.36169073538167</v>
      </c>
      <c r="O238" s="134">
        <f t="shared" si="15"/>
        <v>704.93862010689111</v>
      </c>
      <c r="P238" s="134">
        <f t="shared" si="15"/>
        <v>657.2385063997109</v>
      </c>
      <c r="Q238" s="134">
        <f t="shared" si="15"/>
        <v>606.26134961384173</v>
      </c>
      <c r="R238" s="134">
        <f t="shared" si="15"/>
        <v>552.0071497492836</v>
      </c>
      <c r="S238" s="134">
        <f t="shared" si="15"/>
        <v>494.47590680603611</v>
      </c>
      <c r="T238" s="134">
        <f t="shared" si="15"/>
        <v>433.66762078409863</v>
      </c>
      <c r="U238" s="134">
        <f t="shared" si="15"/>
        <v>369.58229168347231</v>
      </c>
      <c r="V238" s="134">
        <f t="shared" si="15"/>
        <v>302.21991950415674</v>
      </c>
      <c r="W238" s="134">
        <f t="shared" si="15"/>
        <v>231.58050424615089</v>
      </c>
      <c r="X238" s="134">
        <f t="shared" si="15"/>
        <v>157.66404590945575</v>
      </c>
      <c r="Y238" s="134">
        <f t="shared" si="15"/>
        <v>80.470544494072286</v>
      </c>
      <c r="Z238" s="134">
        <f t="shared" si="15"/>
        <v>0</v>
      </c>
      <c r="AA238" s="134">
        <f t="shared" si="15"/>
        <v>-83.747587572762072</v>
      </c>
      <c r="AB238" s="134">
        <f t="shared" si="15"/>
        <v>-170.77221822421296</v>
      </c>
      <c r="AC238" s="134">
        <f t="shared" si="15"/>
        <v>-261.0738919543536</v>
      </c>
      <c r="AD238" s="134">
        <f t="shared" si="15"/>
        <v>-354.65260876318405</v>
      </c>
      <c r="AE238" s="134">
        <f t="shared" si="15"/>
        <v>-451.50836865070329</v>
      </c>
      <c r="AF238" s="134">
        <f t="shared" si="15"/>
        <v>-551.64117161691138</v>
      </c>
      <c r="AG238" s="134">
        <f t="shared" si="15"/>
        <v>-655.05101766180974</v>
      </c>
      <c r="AH238" s="134">
        <f t="shared" si="15"/>
        <v>-761.7379067853974</v>
      </c>
      <c r="AI238" s="134">
        <f t="shared" si="15"/>
        <v>-870.06331744832846</v>
      </c>
      <c r="AJ238" s="134">
        <f t="shared" si="15"/>
        <v>-978.38872811125952</v>
      </c>
      <c r="AK238" s="134">
        <f t="shared" si="15"/>
        <v>-1086.7141387741906</v>
      </c>
      <c r="AL238" s="134">
        <f t="shared" si="15"/>
        <v>-1195.0395494371217</v>
      </c>
      <c r="AM238" s="134">
        <f t="shared" si="15"/>
        <v>-1303.3649601000527</v>
      </c>
      <c r="AN238" s="134">
        <f t="shared" si="15"/>
        <v>-1411.6903707629838</v>
      </c>
      <c r="AO238" s="134">
        <f t="shared" si="15"/>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5">
      <c r="A239" s="102"/>
      <c r="B239" s="112" t="s">
        <v>118</v>
      </c>
      <c r="C239" s="135"/>
      <c r="D239" s="134">
        <f t="shared" si="15"/>
        <v>930.23952179494154</v>
      </c>
      <c r="E239" s="134">
        <f t="shared" si="15"/>
        <v>930.23952179494154</v>
      </c>
      <c r="F239" s="134">
        <f t="shared" si="15"/>
        <v>930.23952179494154</v>
      </c>
      <c r="G239" s="134">
        <f t="shared" si="15"/>
        <v>930.23952179494154</v>
      </c>
      <c r="H239" s="134">
        <f t="shared" si="15"/>
        <v>930.23952179494154</v>
      </c>
      <c r="I239" s="134">
        <f t="shared" si="15"/>
        <v>930.23952179494154</v>
      </c>
      <c r="J239" s="134">
        <f t="shared" si="15"/>
        <v>930.23952179494154</v>
      </c>
      <c r="K239" s="134">
        <f t="shared" si="15"/>
        <v>930.23952179494154</v>
      </c>
      <c r="L239" s="134">
        <f t="shared" si="15"/>
        <v>912.12429032905811</v>
      </c>
      <c r="M239" s="134">
        <f t="shared" si="15"/>
        <v>874.25530585794536</v>
      </c>
      <c r="N239" s="134">
        <f t="shared" si="15"/>
        <v>833.10927830814376</v>
      </c>
      <c r="O239" s="134">
        <f t="shared" si="15"/>
        <v>788.68620767965319</v>
      </c>
      <c r="P239" s="134">
        <f t="shared" si="15"/>
        <v>740.98609397247299</v>
      </c>
      <c r="Q239" s="134">
        <f t="shared" si="15"/>
        <v>690.00893718660382</v>
      </c>
      <c r="R239" s="134">
        <f t="shared" si="15"/>
        <v>635.75473732204568</v>
      </c>
      <c r="S239" s="134">
        <f t="shared" si="15"/>
        <v>578.22349437879814</v>
      </c>
      <c r="T239" s="134">
        <f t="shared" si="15"/>
        <v>517.41520835686072</v>
      </c>
      <c r="U239" s="134">
        <f t="shared" si="15"/>
        <v>453.32987925623439</v>
      </c>
      <c r="V239" s="134">
        <f t="shared" si="15"/>
        <v>385.96750707691882</v>
      </c>
      <c r="W239" s="134">
        <f t="shared" si="15"/>
        <v>315.32809181891298</v>
      </c>
      <c r="X239" s="134">
        <f t="shared" si="15"/>
        <v>241.41163348221784</v>
      </c>
      <c r="Y239" s="134">
        <f t="shared" si="15"/>
        <v>164.21813206683436</v>
      </c>
      <c r="Z239" s="134">
        <f t="shared" si="15"/>
        <v>83.747587572762072</v>
      </c>
      <c r="AA239" s="134">
        <f t="shared" si="15"/>
        <v>0</v>
      </c>
      <c r="AB239" s="134">
        <f t="shared" si="15"/>
        <v>-87.024630651450877</v>
      </c>
      <c r="AC239" s="134">
        <f t="shared" si="15"/>
        <v>-177.32630438159151</v>
      </c>
      <c r="AD239" s="134">
        <f t="shared" si="15"/>
        <v>-270.90502119042196</v>
      </c>
      <c r="AE239" s="134">
        <f t="shared" si="15"/>
        <v>-367.7607810779412</v>
      </c>
      <c r="AF239" s="134">
        <f t="shared" si="15"/>
        <v>-467.89358404414929</v>
      </c>
      <c r="AG239" s="134">
        <f t="shared" si="15"/>
        <v>-571.30343008904765</v>
      </c>
      <c r="AH239" s="134">
        <f t="shared" si="15"/>
        <v>-677.99031921263531</v>
      </c>
      <c r="AI239" s="134">
        <f t="shared" si="15"/>
        <v>-786.31572987556638</v>
      </c>
      <c r="AJ239" s="134">
        <f t="shared" si="15"/>
        <v>-894.64114053849744</v>
      </c>
      <c r="AK239" s="134">
        <f t="shared" si="15"/>
        <v>-1002.9665512014285</v>
      </c>
      <c r="AL239" s="134">
        <f t="shared" si="15"/>
        <v>-1111.2919618643596</v>
      </c>
      <c r="AM239" s="134">
        <f t="shared" si="15"/>
        <v>-1219.6173725272906</v>
      </c>
      <c r="AN239" s="134">
        <f t="shared" si="15"/>
        <v>-1327.9427831902217</v>
      </c>
      <c r="AO239" s="134">
        <f t="shared" si="15"/>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5">
      <c r="A240" s="102"/>
      <c r="B240" s="112" t="s">
        <v>119</v>
      </c>
      <c r="C240" s="135"/>
      <c r="D240" s="134">
        <f t="shared" si="15"/>
        <v>1017.2641524463925</v>
      </c>
      <c r="E240" s="134">
        <f t="shared" si="15"/>
        <v>1017.2641524463925</v>
      </c>
      <c r="F240" s="134">
        <f t="shared" si="15"/>
        <v>1017.2641524463925</v>
      </c>
      <c r="G240" s="134">
        <f t="shared" si="15"/>
        <v>1017.2641524463925</v>
      </c>
      <c r="H240" s="134">
        <f t="shared" si="15"/>
        <v>1017.2641524463925</v>
      </c>
      <c r="I240" s="134">
        <f t="shared" si="15"/>
        <v>1017.2641524463925</v>
      </c>
      <c r="J240" s="134">
        <f t="shared" si="15"/>
        <v>1017.2641524463925</v>
      </c>
      <c r="K240" s="134">
        <f t="shared" si="15"/>
        <v>1017.2641524463925</v>
      </c>
      <c r="L240" s="134">
        <f t="shared" si="15"/>
        <v>999.14892098050905</v>
      </c>
      <c r="M240" s="134">
        <f t="shared" si="15"/>
        <v>961.27993650939629</v>
      </c>
      <c r="N240" s="134">
        <f t="shared" si="15"/>
        <v>920.13390895959469</v>
      </c>
      <c r="O240" s="134">
        <f t="shared" si="15"/>
        <v>875.71083833110401</v>
      </c>
      <c r="P240" s="134">
        <f t="shared" si="15"/>
        <v>828.01072462392381</v>
      </c>
      <c r="Q240" s="134">
        <f t="shared" si="15"/>
        <v>777.03356783805475</v>
      </c>
      <c r="R240" s="134">
        <f t="shared" si="15"/>
        <v>722.77936797349662</v>
      </c>
      <c r="S240" s="134">
        <f t="shared" si="15"/>
        <v>665.24812503024896</v>
      </c>
      <c r="T240" s="134">
        <f t="shared" si="15"/>
        <v>604.43983900831154</v>
      </c>
      <c r="U240" s="134">
        <f t="shared" si="15"/>
        <v>540.35450990768527</v>
      </c>
      <c r="V240" s="134">
        <f t="shared" si="15"/>
        <v>472.9921377283697</v>
      </c>
      <c r="W240" s="134">
        <f t="shared" si="15"/>
        <v>402.35272247036386</v>
      </c>
      <c r="X240" s="134">
        <f t="shared" si="15"/>
        <v>328.43626413366871</v>
      </c>
      <c r="Y240" s="134">
        <f t="shared" si="15"/>
        <v>251.24276271828523</v>
      </c>
      <c r="Z240" s="134">
        <f t="shared" si="15"/>
        <v>170.77221822421296</v>
      </c>
      <c r="AA240" s="134">
        <f t="shared" si="15"/>
        <v>87.024630651450877</v>
      </c>
      <c r="AB240" s="134">
        <f t="shared" si="15"/>
        <v>0</v>
      </c>
      <c r="AC240" s="134">
        <f t="shared" si="15"/>
        <v>-90.301673730140649</v>
      </c>
      <c r="AD240" s="134">
        <f t="shared" si="15"/>
        <v>-183.88039053897108</v>
      </c>
      <c r="AE240" s="134">
        <f t="shared" si="15"/>
        <v>-280.73615042649033</v>
      </c>
      <c r="AF240" s="134">
        <f t="shared" si="15"/>
        <v>-380.86895339269836</v>
      </c>
      <c r="AG240" s="134">
        <f t="shared" si="15"/>
        <v>-484.27879943759666</v>
      </c>
      <c r="AH240" s="134">
        <f t="shared" si="15"/>
        <v>-590.96568856118427</v>
      </c>
      <c r="AI240" s="134">
        <f t="shared" si="15"/>
        <v>-699.29109922411533</v>
      </c>
      <c r="AJ240" s="134">
        <f t="shared" si="15"/>
        <v>-807.61650988704639</v>
      </c>
      <c r="AK240" s="134">
        <f t="shared" si="15"/>
        <v>-915.94192054997745</v>
      </c>
      <c r="AL240" s="134">
        <f t="shared" si="15"/>
        <v>-1024.2673312129086</v>
      </c>
      <c r="AM240" s="134">
        <f t="shared" si="15"/>
        <v>-1132.5927418758397</v>
      </c>
      <c r="AN240" s="134">
        <f t="shared" si="15"/>
        <v>-1240.9181525387708</v>
      </c>
      <c r="AO240" s="134">
        <f t="shared" si="15"/>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5">
      <c r="A241" s="102"/>
      <c r="B241" s="112" t="s">
        <v>120</v>
      </c>
      <c r="C241" s="135"/>
      <c r="D241" s="134">
        <f t="shared" si="15"/>
        <v>1107.5658261765332</v>
      </c>
      <c r="E241" s="134">
        <f t="shared" si="15"/>
        <v>1107.5658261765332</v>
      </c>
      <c r="F241" s="134">
        <f t="shared" si="15"/>
        <v>1107.5658261765332</v>
      </c>
      <c r="G241" s="134">
        <f t="shared" si="15"/>
        <v>1107.5658261765332</v>
      </c>
      <c r="H241" s="134">
        <f t="shared" si="15"/>
        <v>1107.5658261765332</v>
      </c>
      <c r="I241" s="134">
        <f t="shared" si="15"/>
        <v>1107.5658261765332</v>
      </c>
      <c r="J241" s="134">
        <f t="shared" si="15"/>
        <v>1107.5658261765332</v>
      </c>
      <c r="K241" s="134">
        <f t="shared" si="15"/>
        <v>1107.5658261765332</v>
      </c>
      <c r="L241" s="134">
        <f t="shared" si="15"/>
        <v>1089.4505947106497</v>
      </c>
      <c r="M241" s="134">
        <f t="shared" si="15"/>
        <v>1051.581610239537</v>
      </c>
      <c r="N241" s="134">
        <f t="shared" si="15"/>
        <v>1010.4355826897354</v>
      </c>
      <c r="O241" s="134">
        <f t="shared" si="15"/>
        <v>966.01251206124471</v>
      </c>
      <c r="P241" s="134">
        <f t="shared" si="15"/>
        <v>918.3123983540645</v>
      </c>
      <c r="Q241" s="134">
        <f t="shared" si="15"/>
        <v>867.33524156819544</v>
      </c>
      <c r="R241" s="134">
        <f t="shared" si="15"/>
        <v>813.08104170363731</v>
      </c>
      <c r="S241" s="134">
        <f t="shared" si="15"/>
        <v>755.54979876038965</v>
      </c>
      <c r="T241" s="134">
        <f t="shared" si="15"/>
        <v>694.74151273845223</v>
      </c>
      <c r="U241" s="134">
        <f t="shared" si="15"/>
        <v>630.65618363782596</v>
      </c>
      <c r="V241" s="134">
        <f t="shared" si="15"/>
        <v>563.29381145851039</v>
      </c>
      <c r="W241" s="134">
        <f t="shared" si="15"/>
        <v>492.65439620050449</v>
      </c>
      <c r="X241" s="134">
        <f t="shared" si="15"/>
        <v>418.73793786380935</v>
      </c>
      <c r="Y241" s="134">
        <f t="shared" si="15"/>
        <v>341.54443644842587</v>
      </c>
      <c r="Z241" s="134">
        <f t="shared" si="15"/>
        <v>261.0738919543536</v>
      </c>
      <c r="AA241" s="134">
        <f t="shared" si="15"/>
        <v>177.32630438159151</v>
      </c>
      <c r="AB241" s="134">
        <f t="shared" si="15"/>
        <v>90.301673730140649</v>
      </c>
      <c r="AC241" s="134">
        <f t="shared" si="15"/>
        <v>0</v>
      </c>
      <c r="AD241" s="134">
        <f t="shared" si="15"/>
        <v>-93.578716808830436</v>
      </c>
      <c r="AE241" s="134">
        <f t="shared" si="15"/>
        <v>-190.43447669634969</v>
      </c>
      <c r="AF241" s="134">
        <f t="shared" si="15"/>
        <v>-290.56727966255778</v>
      </c>
      <c r="AG241" s="134">
        <f t="shared" si="15"/>
        <v>-393.97712570745608</v>
      </c>
      <c r="AH241" s="134">
        <f t="shared" si="15"/>
        <v>-500.66401483104369</v>
      </c>
      <c r="AI241" s="134">
        <f t="shared" si="15"/>
        <v>-608.98942549397475</v>
      </c>
      <c r="AJ241" s="134">
        <f t="shared" si="15"/>
        <v>-717.31483615690581</v>
      </c>
      <c r="AK241" s="134">
        <f t="shared" si="15"/>
        <v>-825.64024681983688</v>
      </c>
      <c r="AL241" s="134">
        <f t="shared" si="15"/>
        <v>-933.96565748276794</v>
      </c>
      <c r="AM241" s="134">
        <f t="shared" si="15"/>
        <v>-1042.291068145699</v>
      </c>
      <c r="AN241" s="134">
        <f t="shared" si="15"/>
        <v>-1150.6164788086301</v>
      </c>
      <c r="AO241" s="134">
        <f t="shared" si="15"/>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5">
      <c r="A242" s="102"/>
      <c r="B242" s="112" t="s">
        <v>121</v>
      </c>
      <c r="C242" s="135"/>
      <c r="D242" s="134">
        <f t="shared" si="15"/>
        <v>1201.1445429853636</v>
      </c>
      <c r="E242" s="134">
        <f t="shared" si="15"/>
        <v>1201.1445429853636</v>
      </c>
      <c r="F242" s="134">
        <f t="shared" si="15"/>
        <v>1201.1445429853636</v>
      </c>
      <c r="G242" s="134">
        <f t="shared" si="15"/>
        <v>1201.1445429853636</v>
      </c>
      <c r="H242" s="134">
        <f t="shared" si="15"/>
        <v>1201.1445429853636</v>
      </c>
      <c r="I242" s="134">
        <f t="shared" si="15"/>
        <v>1201.1445429853636</v>
      </c>
      <c r="J242" s="134">
        <f t="shared" si="15"/>
        <v>1201.1445429853636</v>
      </c>
      <c r="K242" s="134">
        <f t="shared" si="15"/>
        <v>1201.1445429853636</v>
      </c>
      <c r="L242" s="134">
        <f t="shared" si="15"/>
        <v>1183.0293115194802</v>
      </c>
      <c r="M242" s="134">
        <f t="shared" si="15"/>
        <v>1145.1603270483674</v>
      </c>
      <c r="N242" s="134">
        <f t="shared" si="15"/>
        <v>1104.0142994985658</v>
      </c>
      <c r="O242" s="134">
        <f t="shared" si="15"/>
        <v>1059.5912288700752</v>
      </c>
      <c r="P242" s="134">
        <f t="shared" si="15"/>
        <v>1011.8911151628949</v>
      </c>
      <c r="Q242" s="134">
        <f t="shared" si="15"/>
        <v>960.91395837702589</v>
      </c>
      <c r="R242" s="134">
        <f t="shared" si="15"/>
        <v>906.65975851246776</v>
      </c>
      <c r="S242" s="134">
        <f t="shared" si="15"/>
        <v>849.1285155692201</v>
      </c>
      <c r="T242" s="134">
        <f t="shared" si="15"/>
        <v>788.32022954728268</v>
      </c>
      <c r="U242" s="134">
        <f t="shared" si="15"/>
        <v>724.23490044665641</v>
      </c>
      <c r="V242" s="134">
        <f t="shared" si="15"/>
        <v>656.87252826734084</v>
      </c>
      <c r="W242" s="134">
        <f t="shared" si="15"/>
        <v>586.23311300933494</v>
      </c>
      <c r="X242" s="134">
        <f t="shared" si="15"/>
        <v>512.31665467263974</v>
      </c>
      <c r="Y242" s="134">
        <f t="shared" si="15"/>
        <v>435.12315325725632</v>
      </c>
      <c r="Z242" s="134">
        <f t="shared" si="15"/>
        <v>354.65260876318405</v>
      </c>
      <c r="AA242" s="134">
        <f t="shared" si="15"/>
        <v>270.90502119042196</v>
      </c>
      <c r="AB242" s="134">
        <f t="shared" si="15"/>
        <v>183.88039053897108</v>
      </c>
      <c r="AC242" s="134">
        <f t="shared" si="15"/>
        <v>93.578716808830436</v>
      </c>
      <c r="AD242" s="134">
        <f t="shared" si="15"/>
        <v>0</v>
      </c>
      <c r="AE242" s="134">
        <f t="shared" si="15"/>
        <v>-96.855759887519241</v>
      </c>
      <c r="AF242" s="134">
        <f t="shared" si="15"/>
        <v>-196.9885628537273</v>
      </c>
      <c r="AG242" s="134">
        <f t="shared" si="15"/>
        <v>-300.39840889862563</v>
      </c>
      <c r="AH242" s="134">
        <f t="shared" si="15"/>
        <v>-407.08529802221324</v>
      </c>
      <c r="AI242" s="134">
        <f t="shared" si="15"/>
        <v>-515.4107086851443</v>
      </c>
      <c r="AJ242" s="134">
        <f t="shared" si="15"/>
        <v>-623.73611934807536</v>
      </c>
      <c r="AK242" s="134">
        <f t="shared" si="15"/>
        <v>-732.06153001100643</v>
      </c>
      <c r="AL242" s="134">
        <f t="shared" si="15"/>
        <v>-840.38694067393749</v>
      </c>
      <c r="AM242" s="134">
        <f t="shared" si="15"/>
        <v>-948.71235133686855</v>
      </c>
      <c r="AN242" s="134">
        <f t="shared" si="15"/>
        <v>-1057.0377619997996</v>
      </c>
      <c r="AO242" s="134">
        <f t="shared" si="15"/>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5">
      <c r="A243" s="102"/>
      <c r="B243" s="112" t="s">
        <v>122</v>
      </c>
      <c r="C243" s="135"/>
      <c r="D243" s="134">
        <f t="shared" si="15"/>
        <v>1298.0003028728829</v>
      </c>
      <c r="E243" s="134">
        <f t="shared" si="15"/>
        <v>1298.0003028728829</v>
      </c>
      <c r="F243" s="134">
        <f t="shared" si="15"/>
        <v>1298.0003028728829</v>
      </c>
      <c r="G243" s="134">
        <f t="shared" si="15"/>
        <v>1298.0003028728829</v>
      </c>
      <c r="H243" s="134">
        <f t="shared" si="15"/>
        <v>1298.0003028728829</v>
      </c>
      <c r="I243" s="134">
        <f t="shared" si="15"/>
        <v>1298.0003028728829</v>
      </c>
      <c r="J243" s="134">
        <f t="shared" si="15"/>
        <v>1298.0003028728829</v>
      </c>
      <c r="K243" s="134">
        <f t="shared" si="15"/>
        <v>1298.0003028728829</v>
      </c>
      <c r="L243" s="134">
        <f t="shared" si="15"/>
        <v>1279.8850714069995</v>
      </c>
      <c r="M243" s="134">
        <f t="shared" si="15"/>
        <v>1242.0160869358867</v>
      </c>
      <c r="N243" s="134">
        <f t="shared" si="15"/>
        <v>1200.8700593860851</v>
      </c>
      <c r="O243" s="134">
        <f t="shared" si="15"/>
        <v>1156.4469887575945</v>
      </c>
      <c r="P243" s="134">
        <f t="shared" si="15"/>
        <v>1108.7468750504142</v>
      </c>
      <c r="Q243" s="134">
        <f t="shared" si="15"/>
        <v>1057.7697182645452</v>
      </c>
      <c r="R243" s="134">
        <f t="shared" si="15"/>
        <v>1003.5155183999871</v>
      </c>
      <c r="S243" s="134">
        <f t="shared" si="15"/>
        <v>945.9842754567394</v>
      </c>
      <c r="T243" s="134">
        <f t="shared" si="15"/>
        <v>885.17598943480198</v>
      </c>
      <c r="U243" s="134">
        <f t="shared" si="15"/>
        <v>821.09066033417571</v>
      </c>
      <c r="V243" s="134">
        <f t="shared" si="15"/>
        <v>753.72828815486014</v>
      </c>
      <c r="W243" s="134">
        <f t="shared" si="15"/>
        <v>683.08887289685413</v>
      </c>
      <c r="X243" s="134">
        <f t="shared" si="15"/>
        <v>609.17241456015904</v>
      </c>
      <c r="Y243" s="134">
        <f t="shared" si="15"/>
        <v>531.97891314477556</v>
      </c>
      <c r="Z243" s="134">
        <f t="shared" si="15"/>
        <v>451.50836865070329</v>
      </c>
      <c r="AA243" s="134">
        <f t="shared" si="15"/>
        <v>367.7607810779412</v>
      </c>
      <c r="AB243" s="134">
        <f t="shared" si="15"/>
        <v>280.73615042649033</v>
      </c>
      <c r="AC243" s="134">
        <f t="shared" si="15"/>
        <v>190.43447669634969</v>
      </c>
      <c r="AD243" s="134">
        <f t="shared" si="15"/>
        <v>96.855759887519241</v>
      </c>
      <c r="AE243" s="134">
        <f t="shared" si="15"/>
        <v>0</v>
      </c>
      <c r="AF243" s="134">
        <f t="shared" si="15"/>
        <v>-100.13280296620806</v>
      </c>
      <c r="AG243" s="134">
        <f t="shared" si="15"/>
        <v>-203.54264901110639</v>
      </c>
      <c r="AH243" s="134">
        <f t="shared" si="15"/>
        <v>-310.229538134694</v>
      </c>
      <c r="AI243" s="134">
        <f t="shared" si="15"/>
        <v>-418.55494879762506</v>
      </c>
      <c r="AJ243" s="134">
        <f t="shared" si="15"/>
        <v>-526.88035946055618</v>
      </c>
      <c r="AK243" s="134">
        <f t="shared" si="15"/>
        <v>-635.20577012348724</v>
      </c>
      <c r="AL243" s="134">
        <f t="shared" si="15"/>
        <v>-743.5311807864183</v>
      </c>
      <c r="AM243" s="134">
        <f t="shared" si="15"/>
        <v>-851.85659144934937</v>
      </c>
      <c r="AN243" s="134">
        <f t="shared" si="15"/>
        <v>-960.18200211228043</v>
      </c>
      <c r="AO243" s="134">
        <f t="shared" si="15"/>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5">
      <c r="A244" s="102"/>
      <c r="B244" s="112" t="s">
        <v>123</v>
      </c>
      <c r="C244" s="135"/>
      <c r="D244" s="134">
        <f t="shared" si="15"/>
        <v>1398.1331058390911</v>
      </c>
      <c r="E244" s="134">
        <f t="shared" si="15"/>
        <v>1398.1331058390911</v>
      </c>
      <c r="F244" s="134">
        <f t="shared" si="15"/>
        <v>1398.1331058390911</v>
      </c>
      <c r="G244" s="134">
        <f t="shared" si="15"/>
        <v>1398.1331058390911</v>
      </c>
      <c r="H244" s="134">
        <f t="shared" si="15"/>
        <v>1398.1331058390911</v>
      </c>
      <c r="I244" s="134">
        <f t="shared" si="15"/>
        <v>1398.1331058390911</v>
      </c>
      <c r="J244" s="134">
        <f t="shared" si="15"/>
        <v>1398.1331058390911</v>
      </c>
      <c r="K244" s="134">
        <f t="shared" si="15"/>
        <v>1398.1331058390911</v>
      </c>
      <c r="L244" s="134">
        <f t="shared" si="15"/>
        <v>1380.0178743732076</v>
      </c>
      <c r="M244" s="134">
        <f t="shared" si="15"/>
        <v>1342.1488899020949</v>
      </c>
      <c r="N244" s="134">
        <f t="shared" si="15"/>
        <v>1301.0028623522933</v>
      </c>
      <c r="O244" s="134">
        <f t="shared" si="15"/>
        <v>1256.5797917238026</v>
      </c>
      <c r="P244" s="134">
        <f t="shared" si="15"/>
        <v>1208.8796780166224</v>
      </c>
      <c r="Q244" s="134">
        <f t="shared" si="15"/>
        <v>1157.9025212307533</v>
      </c>
      <c r="R244" s="134">
        <f t="shared" si="15"/>
        <v>1103.6483213661952</v>
      </c>
      <c r="S244" s="134">
        <f t="shared" si="15"/>
        <v>1046.1170784229475</v>
      </c>
      <c r="T244" s="134">
        <f t="shared" si="15"/>
        <v>985.30879240101001</v>
      </c>
      <c r="U244" s="134">
        <f t="shared" si="15"/>
        <v>921.22346330038374</v>
      </c>
      <c r="V244" s="134">
        <f t="shared" si="15"/>
        <v>853.86109112106817</v>
      </c>
      <c r="W244" s="134">
        <f t="shared" si="15"/>
        <v>783.22167586306216</v>
      </c>
      <c r="X244" s="134">
        <f t="shared" si="15"/>
        <v>709.30521752636707</v>
      </c>
      <c r="Y244" s="134">
        <f t="shared" si="15"/>
        <v>632.11171611098359</v>
      </c>
      <c r="Z244" s="134">
        <f t="shared" si="15"/>
        <v>551.64117161691138</v>
      </c>
      <c r="AA244" s="134">
        <f t="shared" si="15"/>
        <v>467.89358404414929</v>
      </c>
      <c r="AB244" s="134">
        <f t="shared" si="15"/>
        <v>380.86895339269836</v>
      </c>
      <c r="AC244" s="134">
        <f t="shared" si="15"/>
        <v>290.56727966255778</v>
      </c>
      <c r="AD244" s="134">
        <f t="shared" si="15"/>
        <v>196.9885628537273</v>
      </c>
      <c r="AE244" s="134">
        <f t="shared" ref="AE244:AO244" si="16">IF(AE$214=$B244,0,IF(AE$214&gt;$B244,-0.5*AE$212-0.5*AD$212+AD244,0.5*HLOOKUP($B244,$D$211:$AO$212,2,FALSE)+0.5*HLOOKUP($B243,$D$211:$AO$212,2,FALSE)+AE243))</f>
        <v>100.13280296620806</v>
      </c>
      <c r="AF244" s="134">
        <f t="shared" si="16"/>
        <v>0</v>
      </c>
      <c r="AG244" s="134">
        <f t="shared" si="16"/>
        <v>-103.40984604489832</v>
      </c>
      <c r="AH244" s="134">
        <f t="shared" si="16"/>
        <v>-210.09673516848594</v>
      </c>
      <c r="AI244" s="134">
        <f t="shared" si="16"/>
        <v>-318.42214583141703</v>
      </c>
      <c r="AJ244" s="134">
        <f t="shared" si="16"/>
        <v>-426.74755649434809</v>
      </c>
      <c r="AK244" s="134">
        <f t="shared" si="16"/>
        <v>-535.07296715727921</v>
      </c>
      <c r="AL244" s="134">
        <f t="shared" si="16"/>
        <v>-643.39837782021027</v>
      </c>
      <c r="AM244" s="134">
        <f t="shared" si="16"/>
        <v>-751.72378848314133</v>
      </c>
      <c r="AN244" s="134">
        <f t="shared" si="16"/>
        <v>-860.0491991460724</v>
      </c>
      <c r="AO244" s="134">
        <f t="shared" si="16"/>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5">
      <c r="A245" s="102"/>
      <c r="B245" s="112" t="s">
        <v>124</v>
      </c>
      <c r="C245" s="135"/>
      <c r="D245" s="134">
        <f t="shared" ref="D245:AO251" si="17">IF(D$214=$B245,0,IF(D$214&gt;$B245,-0.5*D$212-0.5*C$212+C245,0.5*HLOOKUP($B245,$D$211:$AO$212,2,FALSE)+0.5*HLOOKUP($B244,$D$211:$AO$212,2,FALSE)+D244))</f>
        <v>1501.5429518839894</v>
      </c>
      <c r="E245" s="134">
        <f t="shared" si="17"/>
        <v>1501.5429518839894</v>
      </c>
      <c r="F245" s="134">
        <f t="shared" si="17"/>
        <v>1501.5429518839894</v>
      </c>
      <c r="G245" s="134">
        <f t="shared" si="17"/>
        <v>1501.5429518839894</v>
      </c>
      <c r="H245" s="134">
        <f t="shared" si="17"/>
        <v>1501.5429518839894</v>
      </c>
      <c r="I245" s="134">
        <f t="shared" si="17"/>
        <v>1501.5429518839894</v>
      </c>
      <c r="J245" s="134">
        <f t="shared" si="17"/>
        <v>1501.5429518839894</v>
      </c>
      <c r="K245" s="134">
        <f t="shared" si="17"/>
        <v>1501.5429518839894</v>
      </c>
      <c r="L245" s="134">
        <f t="shared" si="17"/>
        <v>1483.427720418106</v>
      </c>
      <c r="M245" s="134">
        <f t="shared" si="17"/>
        <v>1445.5587359469932</v>
      </c>
      <c r="N245" s="134">
        <f t="shared" si="17"/>
        <v>1404.4127083971916</v>
      </c>
      <c r="O245" s="134">
        <f t="shared" si="17"/>
        <v>1359.989637768701</v>
      </c>
      <c r="P245" s="134">
        <f t="shared" si="17"/>
        <v>1312.2895240615208</v>
      </c>
      <c r="Q245" s="134">
        <f t="shared" si="17"/>
        <v>1261.3123672756517</v>
      </c>
      <c r="R245" s="134">
        <f t="shared" si="17"/>
        <v>1207.0581674110936</v>
      </c>
      <c r="S245" s="134">
        <f t="shared" si="17"/>
        <v>1149.5269244678459</v>
      </c>
      <c r="T245" s="134">
        <f t="shared" si="17"/>
        <v>1088.7186384459083</v>
      </c>
      <c r="U245" s="134">
        <f t="shared" si="17"/>
        <v>1024.633309345282</v>
      </c>
      <c r="V245" s="134">
        <f t="shared" si="17"/>
        <v>957.27093716596653</v>
      </c>
      <c r="W245" s="134">
        <f t="shared" si="17"/>
        <v>886.63152190796052</v>
      </c>
      <c r="X245" s="134">
        <f t="shared" si="17"/>
        <v>812.71506357126543</v>
      </c>
      <c r="Y245" s="134">
        <f t="shared" si="17"/>
        <v>735.52156215588195</v>
      </c>
      <c r="Z245" s="134">
        <f t="shared" si="17"/>
        <v>655.05101766180974</v>
      </c>
      <c r="AA245" s="134">
        <f t="shared" si="17"/>
        <v>571.30343008904765</v>
      </c>
      <c r="AB245" s="134">
        <f t="shared" si="17"/>
        <v>484.27879943759666</v>
      </c>
      <c r="AC245" s="134">
        <f t="shared" si="17"/>
        <v>393.97712570745608</v>
      </c>
      <c r="AD245" s="134">
        <f t="shared" si="17"/>
        <v>300.39840889862563</v>
      </c>
      <c r="AE245" s="134">
        <f t="shared" si="17"/>
        <v>203.54264901110639</v>
      </c>
      <c r="AF245" s="134">
        <f t="shared" si="17"/>
        <v>103.40984604489832</v>
      </c>
      <c r="AG245" s="134">
        <f t="shared" si="17"/>
        <v>0</v>
      </c>
      <c r="AH245" s="134">
        <f t="shared" si="17"/>
        <v>-106.68688912358762</v>
      </c>
      <c r="AI245" s="134">
        <f t="shared" si="17"/>
        <v>-215.0122997865187</v>
      </c>
      <c r="AJ245" s="134">
        <f t="shared" si="17"/>
        <v>-323.33771044944979</v>
      </c>
      <c r="AK245" s="134">
        <f t="shared" si="17"/>
        <v>-431.66312111238085</v>
      </c>
      <c r="AL245" s="134">
        <f t="shared" si="17"/>
        <v>-539.98853177531191</v>
      </c>
      <c r="AM245" s="134">
        <f t="shared" si="17"/>
        <v>-648.31394243824298</v>
      </c>
      <c r="AN245" s="134">
        <f t="shared" si="17"/>
        <v>-756.63935310117404</v>
      </c>
      <c r="AO245" s="134">
        <f t="shared" si="17"/>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5">
      <c r="A246" s="102"/>
      <c r="B246" s="112" t="s">
        <v>125</v>
      </c>
      <c r="C246" s="135"/>
      <c r="D246" s="134">
        <f t="shared" si="17"/>
        <v>1608.2298410075771</v>
      </c>
      <c r="E246" s="134">
        <f t="shared" si="17"/>
        <v>1608.2298410075771</v>
      </c>
      <c r="F246" s="134">
        <f t="shared" si="17"/>
        <v>1608.2298410075771</v>
      </c>
      <c r="G246" s="134">
        <f t="shared" si="17"/>
        <v>1608.2298410075771</v>
      </c>
      <c r="H246" s="134">
        <f t="shared" si="17"/>
        <v>1608.2298410075771</v>
      </c>
      <c r="I246" s="134">
        <f t="shared" si="17"/>
        <v>1608.2298410075771</v>
      </c>
      <c r="J246" s="134">
        <f t="shared" si="17"/>
        <v>1608.2298410075771</v>
      </c>
      <c r="K246" s="134">
        <f t="shared" si="17"/>
        <v>1608.2298410075771</v>
      </c>
      <c r="L246" s="134">
        <f t="shared" si="17"/>
        <v>1590.1146095416937</v>
      </c>
      <c r="M246" s="134">
        <f t="shared" si="17"/>
        <v>1552.2456250705809</v>
      </c>
      <c r="N246" s="134">
        <f t="shared" si="17"/>
        <v>1511.0995975207793</v>
      </c>
      <c r="O246" s="134">
        <f t="shared" si="17"/>
        <v>1466.6765268922886</v>
      </c>
      <c r="P246" s="134">
        <f t="shared" si="17"/>
        <v>1418.9764131851084</v>
      </c>
      <c r="Q246" s="134">
        <f t="shared" si="17"/>
        <v>1367.9992563992394</v>
      </c>
      <c r="R246" s="134">
        <f t="shared" si="17"/>
        <v>1313.7450565346812</v>
      </c>
      <c r="S246" s="134">
        <f t="shared" si="17"/>
        <v>1256.2138135914336</v>
      </c>
      <c r="T246" s="134">
        <f t="shared" si="17"/>
        <v>1195.4055275694959</v>
      </c>
      <c r="U246" s="134">
        <f t="shared" si="17"/>
        <v>1131.3201984688696</v>
      </c>
      <c r="V246" s="134">
        <f t="shared" si="17"/>
        <v>1063.9578262895541</v>
      </c>
      <c r="W246" s="134">
        <f t="shared" si="17"/>
        <v>993.31841103154818</v>
      </c>
      <c r="X246" s="134">
        <f t="shared" si="17"/>
        <v>919.40195269485309</v>
      </c>
      <c r="Y246" s="134">
        <f t="shared" si="17"/>
        <v>842.20845127946961</v>
      </c>
      <c r="Z246" s="134">
        <f t="shared" si="17"/>
        <v>761.7379067853974</v>
      </c>
      <c r="AA246" s="134">
        <f t="shared" si="17"/>
        <v>677.99031921263531</v>
      </c>
      <c r="AB246" s="134">
        <f t="shared" si="17"/>
        <v>590.96568856118427</v>
      </c>
      <c r="AC246" s="134">
        <f t="shared" si="17"/>
        <v>500.66401483104369</v>
      </c>
      <c r="AD246" s="134">
        <f t="shared" si="17"/>
        <v>407.08529802221324</v>
      </c>
      <c r="AE246" s="134">
        <f t="shared" si="17"/>
        <v>310.229538134694</v>
      </c>
      <c r="AF246" s="134">
        <f t="shared" si="17"/>
        <v>210.09673516848594</v>
      </c>
      <c r="AG246" s="134">
        <f t="shared" si="17"/>
        <v>106.68688912358762</v>
      </c>
      <c r="AH246" s="134">
        <f t="shared" si="17"/>
        <v>0</v>
      </c>
      <c r="AI246" s="134">
        <f t="shared" si="17"/>
        <v>-108.32541066293108</v>
      </c>
      <c r="AJ246" s="134">
        <f t="shared" si="17"/>
        <v>-216.65082132586215</v>
      </c>
      <c r="AK246" s="134">
        <f t="shared" si="17"/>
        <v>-324.97623198879324</v>
      </c>
      <c r="AL246" s="134">
        <f t="shared" si="17"/>
        <v>-433.30164265172431</v>
      </c>
      <c r="AM246" s="134">
        <f t="shared" si="17"/>
        <v>-541.62705331465543</v>
      </c>
      <c r="AN246" s="134">
        <f t="shared" si="17"/>
        <v>-649.95246397758649</v>
      </c>
      <c r="AO246" s="134">
        <f t="shared" si="17"/>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5">
      <c r="A247" s="102"/>
      <c r="B247" s="112" t="s">
        <v>126</v>
      </c>
      <c r="C247" s="135"/>
      <c r="D247" s="134">
        <f t="shared" si="17"/>
        <v>1716.5552516705081</v>
      </c>
      <c r="E247" s="134">
        <f t="shared" si="17"/>
        <v>1716.5552516705081</v>
      </c>
      <c r="F247" s="134">
        <f t="shared" si="17"/>
        <v>1716.5552516705081</v>
      </c>
      <c r="G247" s="134">
        <f t="shared" si="17"/>
        <v>1716.5552516705081</v>
      </c>
      <c r="H247" s="134">
        <f t="shared" si="17"/>
        <v>1716.5552516705081</v>
      </c>
      <c r="I247" s="134">
        <f t="shared" si="17"/>
        <v>1716.5552516705081</v>
      </c>
      <c r="J247" s="134">
        <f t="shared" si="17"/>
        <v>1716.5552516705081</v>
      </c>
      <c r="K247" s="134">
        <f t="shared" si="17"/>
        <v>1716.5552516705081</v>
      </c>
      <c r="L247" s="134">
        <f t="shared" si="17"/>
        <v>1698.4400202046247</v>
      </c>
      <c r="M247" s="134">
        <f t="shared" si="17"/>
        <v>1660.571035733512</v>
      </c>
      <c r="N247" s="134">
        <f t="shared" si="17"/>
        <v>1619.4250081837104</v>
      </c>
      <c r="O247" s="134">
        <f t="shared" si="17"/>
        <v>1575.0019375552197</v>
      </c>
      <c r="P247" s="134">
        <f t="shared" si="17"/>
        <v>1527.3018238480395</v>
      </c>
      <c r="Q247" s="134">
        <f t="shared" si="17"/>
        <v>1476.3246670621704</v>
      </c>
      <c r="R247" s="134">
        <f t="shared" si="17"/>
        <v>1422.0704671976123</v>
      </c>
      <c r="S247" s="134">
        <f t="shared" si="17"/>
        <v>1364.5392242543646</v>
      </c>
      <c r="T247" s="134">
        <f t="shared" si="17"/>
        <v>1303.730938232427</v>
      </c>
      <c r="U247" s="134">
        <f t="shared" si="17"/>
        <v>1239.6456091318007</v>
      </c>
      <c r="V247" s="134">
        <f t="shared" si="17"/>
        <v>1172.2832369524851</v>
      </c>
      <c r="W247" s="134">
        <f t="shared" si="17"/>
        <v>1101.6438216944794</v>
      </c>
      <c r="X247" s="134">
        <f t="shared" si="17"/>
        <v>1027.7273633577843</v>
      </c>
      <c r="Y247" s="134">
        <f t="shared" si="17"/>
        <v>950.53386194240068</v>
      </c>
      <c r="Z247" s="134">
        <f t="shared" si="17"/>
        <v>870.06331744832846</v>
      </c>
      <c r="AA247" s="134">
        <f t="shared" si="17"/>
        <v>786.31572987556638</v>
      </c>
      <c r="AB247" s="134">
        <f t="shared" si="17"/>
        <v>699.29109922411533</v>
      </c>
      <c r="AC247" s="134">
        <f t="shared" si="17"/>
        <v>608.98942549397475</v>
      </c>
      <c r="AD247" s="134">
        <f t="shared" si="17"/>
        <v>515.4107086851443</v>
      </c>
      <c r="AE247" s="134">
        <f t="shared" si="17"/>
        <v>418.55494879762506</v>
      </c>
      <c r="AF247" s="134">
        <f t="shared" si="17"/>
        <v>318.42214583141703</v>
      </c>
      <c r="AG247" s="134">
        <f t="shared" si="17"/>
        <v>215.0122997865187</v>
      </c>
      <c r="AH247" s="134">
        <f t="shared" si="17"/>
        <v>108.32541066293108</v>
      </c>
      <c r="AI247" s="134">
        <f t="shared" si="17"/>
        <v>0</v>
      </c>
      <c r="AJ247" s="134">
        <f t="shared" si="17"/>
        <v>-108.32541066293108</v>
      </c>
      <c r="AK247" s="134">
        <f t="shared" si="17"/>
        <v>-216.65082132586215</v>
      </c>
      <c r="AL247" s="134">
        <f t="shared" si="17"/>
        <v>-324.97623198879324</v>
      </c>
      <c r="AM247" s="134">
        <f t="shared" si="17"/>
        <v>-433.30164265172431</v>
      </c>
      <c r="AN247" s="134">
        <f t="shared" si="17"/>
        <v>-541.62705331465543</v>
      </c>
      <c r="AO247" s="134">
        <f t="shared" si="17"/>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5">
      <c r="A248" s="102"/>
      <c r="B248" s="112" t="s">
        <v>127</v>
      </c>
      <c r="C248" s="135"/>
      <c r="D248" s="134">
        <f t="shared" si="17"/>
        <v>1824.8806623334392</v>
      </c>
      <c r="E248" s="134">
        <f t="shared" si="17"/>
        <v>1824.8806623334392</v>
      </c>
      <c r="F248" s="134">
        <f t="shared" si="17"/>
        <v>1824.8806623334392</v>
      </c>
      <c r="G248" s="134">
        <f t="shared" si="17"/>
        <v>1824.8806623334392</v>
      </c>
      <c r="H248" s="134">
        <f t="shared" si="17"/>
        <v>1824.8806623334392</v>
      </c>
      <c r="I248" s="134">
        <f t="shared" si="17"/>
        <v>1824.8806623334392</v>
      </c>
      <c r="J248" s="134">
        <f t="shared" si="17"/>
        <v>1824.8806623334392</v>
      </c>
      <c r="K248" s="134">
        <f t="shared" si="17"/>
        <v>1824.8806623334392</v>
      </c>
      <c r="L248" s="134">
        <f t="shared" si="17"/>
        <v>1806.7654308675558</v>
      </c>
      <c r="M248" s="134">
        <f t="shared" si="17"/>
        <v>1768.896446396443</v>
      </c>
      <c r="N248" s="134">
        <f t="shared" si="17"/>
        <v>1727.7504188466414</v>
      </c>
      <c r="O248" s="134">
        <f t="shared" si="17"/>
        <v>1683.3273482181507</v>
      </c>
      <c r="P248" s="134">
        <f t="shared" si="17"/>
        <v>1635.6272345109705</v>
      </c>
      <c r="Q248" s="134">
        <f t="shared" si="17"/>
        <v>1584.6500777251015</v>
      </c>
      <c r="R248" s="134">
        <f t="shared" si="17"/>
        <v>1530.3958778605434</v>
      </c>
      <c r="S248" s="134">
        <f t="shared" si="17"/>
        <v>1472.8646349172957</v>
      </c>
      <c r="T248" s="134">
        <f t="shared" si="17"/>
        <v>1412.056348895358</v>
      </c>
      <c r="U248" s="134">
        <f t="shared" si="17"/>
        <v>1347.9710197947318</v>
      </c>
      <c r="V248" s="134">
        <f t="shared" si="17"/>
        <v>1280.6086476154162</v>
      </c>
      <c r="W248" s="134">
        <f t="shared" si="17"/>
        <v>1209.9692323574104</v>
      </c>
      <c r="X248" s="134">
        <f t="shared" si="17"/>
        <v>1136.0527740207153</v>
      </c>
      <c r="Y248" s="134">
        <f t="shared" si="17"/>
        <v>1058.8592726053319</v>
      </c>
      <c r="Z248" s="134">
        <f t="shared" si="17"/>
        <v>978.38872811125952</v>
      </c>
      <c r="AA248" s="134">
        <f t="shared" si="17"/>
        <v>894.64114053849744</v>
      </c>
      <c r="AB248" s="134">
        <f t="shared" si="17"/>
        <v>807.61650988704639</v>
      </c>
      <c r="AC248" s="134">
        <f t="shared" si="17"/>
        <v>717.31483615690581</v>
      </c>
      <c r="AD248" s="134">
        <f t="shared" si="17"/>
        <v>623.73611934807536</v>
      </c>
      <c r="AE248" s="134">
        <f t="shared" si="17"/>
        <v>526.88035946055618</v>
      </c>
      <c r="AF248" s="134">
        <f t="shared" si="17"/>
        <v>426.74755649434809</v>
      </c>
      <c r="AG248" s="134">
        <f t="shared" si="17"/>
        <v>323.33771044944979</v>
      </c>
      <c r="AH248" s="134">
        <f t="shared" si="17"/>
        <v>216.65082132586215</v>
      </c>
      <c r="AI248" s="134">
        <f t="shared" si="17"/>
        <v>108.32541066293108</v>
      </c>
      <c r="AJ248" s="134">
        <f t="shared" si="17"/>
        <v>0</v>
      </c>
      <c r="AK248" s="134">
        <f t="shared" si="17"/>
        <v>-108.32541066293108</v>
      </c>
      <c r="AL248" s="134">
        <f t="shared" si="17"/>
        <v>-216.65082132586215</v>
      </c>
      <c r="AM248" s="134">
        <f t="shared" si="17"/>
        <v>-324.97623198879324</v>
      </c>
      <c r="AN248" s="134">
        <f t="shared" si="17"/>
        <v>-433.30164265172431</v>
      </c>
      <c r="AO248" s="134">
        <f t="shared" si="1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5">
      <c r="A249" s="102"/>
      <c r="B249" s="112" t="s">
        <v>128</v>
      </c>
      <c r="C249" s="135"/>
      <c r="D249" s="134">
        <f t="shared" si="17"/>
        <v>1933.2060729963703</v>
      </c>
      <c r="E249" s="134">
        <f t="shared" si="17"/>
        <v>1933.2060729963703</v>
      </c>
      <c r="F249" s="134">
        <f t="shared" si="17"/>
        <v>1933.2060729963703</v>
      </c>
      <c r="G249" s="134">
        <f t="shared" si="17"/>
        <v>1933.2060729963703</v>
      </c>
      <c r="H249" s="134">
        <f t="shared" si="17"/>
        <v>1933.2060729963703</v>
      </c>
      <c r="I249" s="134">
        <f t="shared" si="17"/>
        <v>1933.2060729963703</v>
      </c>
      <c r="J249" s="134">
        <f t="shared" si="17"/>
        <v>1933.2060729963703</v>
      </c>
      <c r="K249" s="134">
        <f t="shared" si="17"/>
        <v>1933.2060729963703</v>
      </c>
      <c r="L249" s="134">
        <f t="shared" si="17"/>
        <v>1915.0908415304868</v>
      </c>
      <c r="M249" s="134">
        <f t="shared" si="17"/>
        <v>1877.2218570593741</v>
      </c>
      <c r="N249" s="134">
        <f t="shared" si="17"/>
        <v>1836.0758295095725</v>
      </c>
      <c r="O249" s="134">
        <f t="shared" si="17"/>
        <v>1791.6527588810818</v>
      </c>
      <c r="P249" s="134">
        <f t="shared" si="17"/>
        <v>1743.9526451739016</v>
      </c>
      <c r="Q249" s="134">
        <f t="shared" si="17"/>
        <v>1692.9754883880325</v>
      </c>
      <c r="R249" s="134">
        <f t="shared" si="17"/>
        <v>1638.7212885234744</v>
      </c>
      <c r="S249" s="134">
        <f t="shared" si="17"/>
        <v>1581.1900455802268</v>
      </c>
      <c r="T249" s="134">
        <f t="shared" si="17"/>
        <v>1520.3817595582891</v>
      </c>
      <c r="U249" s="134">
        <f t="shared" si="17"/>
        <v>1456.2964304576628</v>
      </c>
      <c r="V249" s="134">
        <f t="shared" si="17"/>
        <v>1388.9340582783473</v>
      </c>
      <c r="W249" s="134">
        <f t="shared" si="17"/>
        <v>1318.2946430203415</v>
      </c>
      <c r="X249" s="134">
        <f t="shared" si="17"/>
        <v>1244.3781846836464</v>
      </c>
      <c r="Y249" s="134">
        <f t="shared" si="17"/>
        <v>1167.1846832682629</v>
      </c>
      <c r="Z249" s="134">
        <f t="shared" si="17"/>
        <v>1086.7141387741906</v>
      </c>
      <c r="AA249" s="134">
        <f t="shared" si="17"/>
        <v>1002.9665512014285</v>
      </c>
      <c r="AB249" s="134">
        <f t="shared" si="17"/>
        <v>915.94192054997745</v>
      </c>
      <c r="AC249" s="134">
        <f t="shared" si="17"/>
        <v>825.64024681983688</v>
      </c>
      <c r="AD249" s="134">
        <f t="shared" si="17"/>
        <v>732.06153001100643</v>
      </c>
      <c r="AE249" s="134">
        <f t="shared" si="17"/>
        <v>635.20577012348724</v>
      </c>
      <c r="AF249" s="134">
        <f t="shared" si="17"/>
        <v>535.07296715727921</v>
      </c>
      <c r="AG249" s="134">
        <f t="shared" si="17"/>
        <v>431.66312111238085</v>
      </c>
      <c r="AH249" s="134">
        <f t="shared" si="17"/>
        <v>324.97623198879324</v>
      </c>
      <c r="AI249" s="134">
        <f t="shared" si="17"/>
        <v>216.65082132586215</v>
      </c>
      <c r="AJ249" s="134">
        <f t="shared" si="17"/>
        <v>108.32541066293108</v>
      </c>
      <c r="AK249" s="134">
        <f t="shared" si="17"/>
        <v>0</v>
      </c>
      <c r="AL249" s="134">
        <f t="shared" si="17"/>
        <v>-108.32541066293108</v>
      </c>
      <c r="AM249" s="134">
        <f t="shared" si="17"/>
        <v>-216.65082132586215</v>
      </c>
      <c r="AN249" s="134">
        <f t="shared" si="17"/>
        <v>-324.97623198879324</v>
      </c>
      <c r="AO249" s="134">
        <f t="shared" si="17"/>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5">
      <c r="A250" s="102"/>
      <c r="B250" s="112" t="s">
        <v>129</v>
      </c>
      <c r="C250" s="135"/>
      <c r="D250" s="134">
        <f t="shared" si="17"/>
        <v>2041.5314836593013</v>
      </c>
      <c r="E250" s="134">
        <f t="shared" si="17"/>
        <v>2041.5314836593013</v>
      </c>
      <c r="F250" s="134">
        <f t="shared" si="17"/>
        <v>2041.5314836593013</v>
      </c>
      <c r="G250" s="134">
        <f t="shared" si="17"/>
        <v>2041.5314836593013</v>
      </c>
      <c r="H250" s="134">
        <f t="shared" si="17"/>
        <v>2041.5314836593013</v>
      </c>
      <c r="I250" s="134">
        <f t="shared" si="17"/>
        <v>2041.5314836593013</v>
      </c>
      <c r="J250" s="134">
        <f t="shared" si="17"/>
        <v>2041.5314836593013</v>
      </c>
      <c r="K250" s="134">
        <f t="shared" si="17"/>
        <v>2041.5314836593013</v>
      </c>
      <c r="L250" s="134">
        <f t="shared" si="17"/>
        <v>2023.4162521934179</v>
      </c>
      <c r="M250" s="134">
        <f t="shared" si="17"/>
        <v>1985.5472677223052</v>
      </c>
      <c r="N250" s="134">
        <f t="shared" si="17"/>
        <v>1944.4012401725035</v>
      </c>
      <c r="O250" s="134">
        <f t="shared" si="17"/>
        <v>1899.9781695440129</v>
      </c>
      <c r="P250" s="134">
        <f t="shared" si="17"/>
        <v>1852.2780558368327</v>
      </c>
      <c r="Q250" s="134">
        <f t="shared" si="17"/>
        <v>1801.3008990509636</v>
      </c>
      <c r="R250" s="134">
        <f t="shared" si="17"/>
        <v>1747.0466991864055</v>
      </c>
      <c r="S250" s="134">
        <f t="shared" si="17"/>
        <v>1689.5154562431578</v>
      </c>
      <c r="T250" s="134">
        <f t="shared" si="17"/>
        <v>1628.7071702212202</v>
      </c>
      <c r="U250" s="134">
        <f t="shared" si="17"/>
        <v>1564.6218411205939</v>
      </c>
      <c r="V250" s="134">
        <f t="shared" si="17"/>
        <v>1497.2594689412783</v>
      </c>
      <c r="W250" s="134">
        <f t="shared" si="17"/>
        <v>1426.6200536832725</v>
      </c>
      <c r="X250" s="134">
        <f t="shared" si="17"/>
        <v>1352.7035953465775</v>
      </c>
      <c r="Y250" s="134">
        <f t="shared" si="17"/>
        <v>1275.510093931194</v>
      </c>
      <c r="Z250" s="134">
        <f t="shared" si="17"/>
        <v>1195.0395494371217</v>
      </c>
      <c r="AA250" s="134">
        <f t="shared" si="17"/>
        <v>1111.2919618643596</v>
      </c>
      <c r="AB250" s="134">
        <f t="shared" si="17"/>
        <v>1024.2673312129086</v>
      </c>
      <c r="AC250" s="134">
        <f t="shared" si="17"/>
        <v>933.96565748276794</v>
      </c>
      <c r="AD250" s="134">
        <f t="shared" si="17"/>
        <v>840.38694067393749</v>
      </c>
      <c r="AE250" s="134">
        <f t="shared" si="17"/>
        <v>743.5311807864183</v>
      </c>
      <c r="AF250" s="134">
        <f t="shared" si="17"/>
        <v>643.39837782021027</v>
      </c>
      <c r="AG250" s="134">
        <f t="shared" si="17"/>
        <v>539.98853177531191</v>
      </c>
      <c r="AH250" s="134">
        <f t="shared" si="17"/>
        <v>433.30164265172431</v>
      </c>
      <c r="AI250" s="134">
        <f t="shared" si="17"/>
        <v>324.97623198879324</v>
      </c>
      <c r="AJ250" s="134">
        <f t="shared" si="17"/>
        <v>216.65082132586215</v>
      </c>
      <c r="AK250" s="134">
        <f t="shared" si="17"/>
        <v>108.32541066293108</v>
      </c>
      <c r="AL250" s="134">
        <f t="shared" si="17"/>
        <v>0</v>
      </c>
      <c r="AM250" s="134">
        <f t="shared" si="17"/>
        <v>-108.32541066293108</v>
      </c>
      <c r="AN250" s="134">
        <f t="shared" si="17"/>
        <v>-216.65082132586215</v>
      </c>
      <c r="AO250" s="134">
        <f t="shared" si="17"/>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5">
      <c r="A251" s="102"/>
      <c r="B251" s="112" t="s">
        <v>130</v>
      </c>
      <c r="C251" s="135"/>
      <c r="D251" s="134">
        <f t="shared" si="17"/>
        <v>2149.8568943222326</v>
      </c>
      <c r="E251" s="134">
        <f t="shared" si="17"/>
        <v>2149.8568943222326</v>
      </c>
      <c r="F251" s="134">
        <f t="shared" si="17"/>
        <v>2149.8568943222326</v>
      </c>
      <c r="G251" s="134">
        <f t="shared" si="17"/>
        <v>2149.8568943222326</v>
      </c>
      <c r="H251" s="134">
        <f t="shared" si="17"/>
        <v>2149.8568943222326</v>
      </c>
      <c r="I251" s="134">
        <f t="shared" si="17"/>
        <v>2149.8568943222326</v>
      </c>
      <c r="J251" s="134">
        <f t="shared" si="17"/>
        <v>2149.8568943222326</v>
      </c>
      <c r="K251" s="134">
        <f t="shared" si="17"/>
        <v>2149.8568943222326</v>
      </c>
      <c r="L251" s="134">
        <f t="shared" si="17"/>
        <v>2131.7416628563492</v>
      </c>
      <c r="M251" s="134">
        <f t="shared" si="17"/>
        <v>2093.8726783852362</v>
      </c>
      <c r="N251" s="134">
        <f t="shared" si="17"/>
        <v>2052.7266508354346</v>
      </c>
      <c r="O251" s="134">
        <f t="shared" si="17"/>
        <v>2008.3035802069439</v>
      </c>
      <c r="P251" s="134">
        <f t="shared" si="17"/>
        <v>1960.6034664997637</v>
      </c>
      <c r="Q251" s="134">
        <f t="shared" si="17"/>
        <v>1909.6263097138947</v>
      </c>
      <c r="R251" s="134">
        <f t="shared" si="17"/>
        <v>1855.3721098493365</v>
      </c>
      <c r="S251" s="134">
        <f t="shared" si="17"/>
        <v>1797.8408669060889</v>
      </c>
      <c r="T251" s="134">
        <f t="shared" si="17"/>
        <v>1737.0325808841512</v>
      </c>
      <c r="U251" s="134">
        <f t="shared" si="17"/>
        <v>1672.947251783525</v>
      </c>
      <c r="V251" s="134">
        <f t="shared" si="17"/>
        <v>1605.5848796042094</v>
      </c>
      <c r="W251" s="134">
        <f t="shared" si="17"/>
        <v>1534.9454643462036</v>
      </c>
      <c r="X251" s="134">
        <f t="shared" si="17"/>
        <v>1461.0290060095085</v>
      </c>
      <c r="Y251" s="134">
        <f t="shared" si="17"/>
        <v>1383.835504594125</v>
      </c>
      <c r="Z251" s="134">
        <f t="shared" si="17"/>
        <v>1303.3649601000527</v>
      </c>
      <c r="AA251" s="134">
        <f t="shared" si="17"/>
        <v>1219.6173725272906</v>
      </c>
      <c r="AB251" s="134">
        <f t="shared" si="17"/>
        <v>1132.5927418758397</v>
      </c>
      <c r="AC251" s="134">
        <f t="shared" si="17"/>
        <v>1042.291068145699</v>
      </c>
      <c r="AD251" s="134">
        <f t="shared" si="17"/>
        <v>948.71235133686855</v>
      </c>
      <c r="AE251" s="134">
        <f t="shared" ref="AE251:AO251" si="18">IF(AE$214=$B251,0,IF(AE$214&gt;$B251,-0.5*AE$212-0.5*AD$212+AD251,0.5*HLOOKUP($B251,$D$211:$AO$212,2,FALSE)+0.5*HLOOKUP($B250,$D$211:$AO$212,2,FALSE)+AE250))</f>
        <v>851.85659144934937</v>
      </c>
      <c r="AF251" s="134">
        <f t="shared" si="18"/>
        <v>751.72378848314133</v>
      </c>
      <c r="AG251" s="134">
        <f t="shared" si="18"/>
        <v>648.31394243824298</v>
      </c>
      <c r="AH251" s="134">
        <f t="shared" si="18"/>
        <v>541.62705331465543</v>
      </c>
      <c r="AI251" s="134">
        <f t="shared" si="18"/>
        <v>433.30164265172431</v>
      </c>
      <c r="AJ251" s="134">
        <f t="shared" si="18"/>
        <v>324.97623198879324</v>
      </c>
      <c r="AK251" s="134">
        <f t="shared" si="18"/>
        <v>216.65082132586215</v>
      </c>
      <c r="AL251" s="134">
        <f t="shared" si="18"/>
        <v>108.32541066293108</v>
      </c>
      <c r="AM251" s="134">
        <f t="shared" si="18"/>
        <v>0</v>
      </c>
      <c r="AN251" s="134">
        <f t="shared" si="18"/>
        <v>-108.32541066293108</v>
      </c>
      <c r="AO251" s="134">
        <f t="shared" si="18"/>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5">
      <c r="A252" s="102"/>
      <c r="B252" s="112" t="s">
        <v>131</v>
      </c>
      <c r="C252" s="135"/>
      <c r="D252" s="134">
        <f t="shared" ref="D252:AO252" si="19">IF(D$214=$B252,0,IF(D$214&gt;$B252,-0.5*D$212-0.5*C$212+C252,0.5*HLOOKUP($B252,$D$211:$AO$212,2,FALSE)+0.5*HLOOKUP($B251,$D$211:$AO$212,2,FALSE)+D251))</f>
        <v>2258.1823049851637</v>
      </c>
      <c r="E252" s="134">
        <f t="shared" si="19"/>
        <v>2258.1823049851637</v>
      </c>
      <c r="F252" s="134">
        <f t="shared" si="19"/>
        <v>2258.1823049851637</v>
      </c>
      <c r="G252" s="134">
        <f t="shared" si="19"/>
        <v>2258.1823049851637</v>
      </c>
      <c r="H252" s="134">
        <f t="shared" si="19"/>
        <v>2258.1823049851637</v>
      </c>
      <c r="I252" s="134">
        <f t="shared" si="19"/>
        <v>2258.1823049851637</v>
      </c>
      <c r="J252" s="134">
        <f t="shared" si="19"/>
        <v>2258.1823049851637</v>
      </c>
      <c r="K252" s="134">
        <f t="shared" si="19"/>
        <v>2258.1823049851637</v>
      </c>
      <c r="L252" s="134">
        <f t="shared" si="19"/>
        <v>2240.0670735192803</v>
      </c>
      <c r="M252" s="134">
        <f t="shared" si="19"/>
        <v>2202.1980890481673</v>
      </c>
      <c r="N252" s="134">
        <f t="shared" si="19"/>
        <v>2161.0520614983657</v>
      </c>
      <c r="O252" s="134">
        <f t="shared" si="19"/>
        <v>2116.628990869875</v>
      </c>
      <c r="P252" s="134">
        <f t="shared" si="19"/>
        <v>2068.9288771626948</v>
      </c>
      <c r="Q252" s="134">
        <f t="shared" si="19"/>
        <v>2017.9517203768257</v>
      </c>
      <c r="R252" s="134">
        <f t="shared" si="19"/>
        <v>1963.6975205122676</v>
      </c>
      <c r="S252" s="134">
        <f t="shared" si="19"/>
        <v>1906.1662775690199</v>
      </c>
      <c r="T252" s="134">
        <f t="shared" si="19"/>
        <v>1845.3579915470823</v>
      </c>
      <c r="U252" s="134">
        <f t="shared" si="19"/>
        <v>1781.272662446456</v>
      </c>
      <c r="V252" s="134">
        <f t="shared" si="19"/>
        <v>1713.9102902671405</v>
      </c>
      <c r="W252" s="134">
        <f t="shared" si="19"/>
        <v>1643.2708750091347</v>
      </c>
      <c r="X252" s="134">
        <f t="shared" si="19"/>
        <v>1569.3544166724396</v>
      </c>
      <c r="Y252" s="134">
        <f t="shared" si="19"/>
        <v>1492.1609152570561</v>
      </c>
      <c r="Z252" s="134">
        <f t="shared" si="19"/>
        <v>1411.6903707629838</v>
      </c>
      <c r="AA252" s="134">
        <f t="shared" si="19"/>
        <v>1327.9427831902217</v>
      </c>
      <c r="AB252" s="134">
        <f t="shared" si="19"/>
        <v>1240.9181525387708</v>
      </c>
      <c r="AC252" s="134">
        <f t="shared" si="19"/>
        <v>1150.6164788086301</v>
      </c>
      <c r="AD252" s="134">
        <f t="shared" si="19"/>
        <v>1057.0377619997996</v>
      </c>
      <c r="AE252" s="134">
        <f t="shared" si="19"/>
        <v>960.18200211228043</v>
      </c>
      <c r="AF252" s="134">
        <f t="shared" si="19"/>
        <v>860.0491991460724</v>
      </c>
      <c r="AG252" s="134">
        <f t="shared" si="19"/>
        <v>756.63935310117404</v>
      </c>
      <c r="AH252" s="134">
        <f t="shared" si="19"/>
        <v>649.95246397758649</v>
      </c>
      <c r="AI252" s="134">
        <f t="shared" si="19"/>
        <v>541.62705331465543</v>
      </c>
      <c r="AJ252" s="134">
        <f t="shared" si="19"/>
        <v>433.30164265172431</v>
      </c>
      <c r="AK252" s="134">
        <f t="shared" si="19"/>
        <v>324.97623198879324</v>
      </c>
      <c r="AL252" s="134">
        <f t="shared" si="19"/>
        <v>216.65082132586215</v>
      </c>
      <c r="AM252" s="134">
        <f t="shared" si="19"/>
        <v>108.32541066293108</v>
      </c>
      <c r="AN252" s="134">
        <f t="shared" si="19"/>
        <v>0</v>
      </c>
      <c r="AO252" s="134">
        <f t="shared" si="19"/>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5">
      <c r="A253" s="102"/>
      <c r="B253" s="112" t="s">
        <v>132</v>
      </c>
      <c r="C253" s="135"/>
      <c r="D253" s="134">
        <f t="shared" ref="D253:AO253" si="20">IF(D$214=$B253,0,IF(D$214&gt;$B253,-0.5*D$212-0.5*C$212+C253,0.5*HLOOKUP($B253,$D$211:$AO$212,2,FALSE)+0.5*HLOOKUP($B252,$D$211:$AO$212,2,FALSE)+D252))</f>
        <v>2366.5077156480947</v>
      </c>
      <c r="E253" s="134">
        <f t="shared" si="20"/>
        <v>2366.5077156480947</v>
      </c>
      <c r="F253" s="134">
        <f t="shared" si="20"/>
        <v>2366.5077156480947</v>
      </c>
      <c r="G253" s="134">
        <f t="shared" si="20"/>
        <v>2366.5077156480947</v>
      </c>
      <c r="H253" s="134">
        <f t="shared" si="20"/>
        <v>2366.5077156480947</v>
      </c>
      <c r="I253" s="134">
        <f t="shared" si="20"/>
        <v>2366.5077156480947</v>
      </c>
      <c r="J253" s="134">
        <f t="shared" si="20"/>
        <v>2366.5077156480947</v>
      </c>
      <c r="K253" s="134">
        <f t="shared" si="20"/>
        <v>2366.5077156480947</v>
      </c>
      <c r="L253" s="134">
        <f t="shared" si="20"/>
        <v>2348.3924841822113</v>
      </c>
      <c r="M253" s="134">
        <f t="shared" si="20"/>
        <v>2310.5234997110983</v>
      </c>
      <c r="N253" s="134">
        <f t="shared" si="20"/>
        <v>2269.3774721612967</v>
      </c>
      <c r="O253" s="134">
        <f t="shared" si="20"/>
        <v>2224.9544015328061</v>
      </c>
      <c r="P253" s="134">
        <f t="shared" si="20"/>
        <v>2177.2542878256259</v>
      </c>
      <c r="Q253" s="134">
        <f t="shared" si="20"/>
        <v>2126.277131039757</v>
      </c>
      <c r="R253" s="134">
        <f t="shared" si="20"/>
        <v>2072.0229311751987</v>
      </c>
      <c r="S253" s="134">
        <f t="shared" si="20"/>
        <v>2014.491688231951</v>
      </c>
      <c r="T253" s="134">
        <f t="shared" si="20"/>
        <v>1953.6834022100134</v>
      </c>
      <c r="U253" s="134">
        <f t="shared" si="20"/>
        <v>1889.5980731093871</v>
      </c>
      <c r="V253" s="134">
        <f t="shared" si="20"/>
        <v>1822.2357009300715</v>
      </c>
      <c r="W253" s="134">
        <f t="shared" si="20"/>
        <v>1751.5962856720657</v>
      </c>
      <c r="X253" s="134">
        <f t="shared" si="20"/>
        <v>1677.6798273353706</v>
      </c>
      <c r="Y253" s="134">
        <f t="shared" si="20"/>
        <v>1600.4863259199872</v>
      </c>
      <c r="Z253" s="134">
        <f t="shared" si="20"/>
        <v>1520.0157814259148</v>
      </c>
      <c r="AA253" s="134">
        <f t="shared" si="20"/>
        <v>1436.2681938531528</v>
      </c>
      <c r="AB253" s="134">
        <f t="shared" si="20"/>
        <v>1349.2435632017018</v>
      </c>
      <c r="AC253" s="134">
        <f t="shared" si="20"/>
        <v>1258.9418894715611</v>
      </c>
      <c r="AD253" s="134">
        <f t="shared" si="20"/>
        <v>1165.3631726627307</v>
      </c>
      <c r="AE253" s="134">
        <f t="shared" si="20"/>
        <v>1068.5074127752116</v>
      </c>
      <c r="AF253" s="134">
        <f t="shared" si="20"/>
        <v>968.37460980900346</v>
      </c>
      <c r="AG253" s="134">
        <f t="shared" si="20"/>
        <v>864.9647637641051</v>
      </c>
      <c r="AH253" s="134">
        <f t="shared" si="20"/>
        <v>758.27787464051755</v>
      </c>
      <c r="AI253" s="134">
        <f t="shared" si="20"/>
        <v>649.95246397758649</v>
      </c>
      <c r="AJ253" s="134">
        <f t="shared" si="20"/>
        <v>541.62705331465543</v>
      </c>
      <c r="AK253" s="134">
        <f t="shared" si="20"/>
        <v>433.30164265172431</v>
      </c>
      <c r="AL253" s="134">
        <f t="shared" si="20"/>
        <v>324.97623198879324</v>
      </c>
      <c r="AM253" s="134">
        <f t="shared" si="20"/>
        <v>216.65082132586215</v>
      </c>
      <c r="AN253" s="134">
        <f t="shared" si="20"/>
        <v>108.32541066293108</v>
      </c>
      <c r="AO253" s="134">
        <f t="shared" si="20"/>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5" x14ac:dyDescent="0.35">
      <c r="B255" s="8" t="s">
        <v>145</v>
      </c>
      <c r="C255" s="9"/>
      <c r="D255" s="10"/>
      <c r="E255" s="10"/>
    </row>
    <row r="256" spans="1:96" ht="15" customHeight="1" x14ac:dyDescent="0.35">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5">
      <c r="A257" s="102"/>
      <c r="B257" s="151" t="s">
        <v>141</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5">
      <c r="A258" s="102"/>
      <c r="B258" s="151"/>
      <c r="C258" s="64" t="s">
        <v>223</v>
      </c>
      <c r="D258" s="12" t="s">
        <v>95</v>
      </c>
      <c r="E258" s="13" t="s">
        <v>96</v>
      </c>
      <c r="F258" s="97" t="s">
        <v>97</v>
      </c>
      <c r="G258" s="97" t="s">
        <v>98</v>
      </c>
      <c r="H258" s="97" t="s">
        <v>99</v>
      </c>
      <c r="I258" s="97" t="s">
        <v>100</v>
      </c>
      <c r="J258" s="97" t="s">
        <v>101</v>
      </c>
      <c r="K258" s="97" t="s">
        <v>102</v>
      </c>
      <c r="L258" s="97" t="s">
        <v>103</v>
      </c>
      <c r="M258" s="97" t="s">
        <v>104</v>
      </c>
      <c r="N258" s="97" t="s">
        <v>105</v>
      </c>
      <c r="O258" s="97" t="s">
        <v>106</v>
      </c>
      <c r="P258" s="97" t="s">
        <v>107</v>
      </c>
      <c r="Q258" s="97" t="s">
        <v>108</v>
      </c>
      <c r="R258" s="97" t="s">
        <v>109</v>
      </c>
      <c r="S258" s="97" t="s">
        <v>110</v>
      </c>
      <c r="T258" s="97" t="s">
        <v>111</v>
      </c>
      <c r="U258" s="97" t="s">
        <v>112</v>
      </c>
      <c r="V258" s="97" t="s">
        <v>113</v>
      </c>
      <c r="W258" s="97" t="s">
        <v>114</v>
      </c>
      <c r="X258" s="97" t="s">
        <v>115</v>
      </c>
      <c r="Y258" s="97" t="s">
        <v>116</v>
      </c>
      <c r="Z258" s="97" t="s">
        <v>117</v>
      </c>
      <c r="AA258" s="97" t="s">
        <v>118</v>
      </c>
      <c r="AB258" s="97" t="s">
        <v>119</v>
      </c>
      <c r="AC258" s="97" t="s">
        <v>120</v>
      </c>
      <c r="AD258" s="97" t="s">
        <v>121</v>
      </c>
      <c r="AE258" s="97" t="s">
        <v>122</v>
      </c>
      <c r="AF258" s="97" t="s">
        <v>123</v>
      </c>
      <c r="AG258" s="97" t="s">
        <v>124</v>
      </c>
      <c r="AH258" s="97" t="s">
        <v>125</v>
      </c>
      <c r="AI258" s="97" t="s">
        <v>126</v>
      </c>
      <c r="AJ258" s="97" t="s">
        <v>127</v>
      </c>
      <c r="AK258" s="97" t="s">
        <v>128</v>
      </c>
      <c r="AL258" s="97" t="s">
        <v>129</v>
      </c>
      <c r="AM258" s="97" t="s">
        <v>130</v>
      </c>
      <c r="AN258" s="97" t="s">
        <v>131</v>
      </c>
      <c r="AO258" s="97" t="s">
        <v>132</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5">
      <c r="A259" s="102"/>
      <c r="B259" s="102" t="s">
        <v>229</v>
      </c>
      <c r="C259" s="102">
        <f>Road_mask</f>
        <v>1</v>
      </c>
      <c r="D259" s="118">
        <v>0</v>
      </c>
      <c r="E259" s="118">
        <v>0</v>
      </c>
      <c r="F259" s="118">
        <v>0</v>
      </c>
      <c r="G259" s="118">
        <v>0</v>
      </c>
      <c r="H259" s="118">
        <v>0</v>
      </c>
      <c r="I259" s="118">
        <v>0</v>
      </c>
      <c r="J259" s="118">
        <f t="shared" ref="J259:AO259" si="21">Amenity_values_road_1dB_in</f>
        <v>19.209109797871871</v>
      </c>
      <c r="K259" s="118">
        <f t="shared" si="21"/>
        <v>20.399880319446062</v>
      </c>
      <c r="L259" s="118">
        <f t="shared" si="21"/>
        <v>21.769968952100445</v>
      </c>
      <c r="M259" s="118">
        <f t="shared" si="21"/>
        <v>23.31937569583474</v>
      </c>
      <c r="N259" s="118">
        <f t="shared" si="21"/>
        <v>25.048100550649085</v>
      </c>
      <c r="O259" s="118">
        <f t="shared" si="21"/>
        <v>26.956143516543037</v>
      </c>
      <c r="P259" s="118">
        <f t="shared" si="21"/>
        <v>29.043504593517564</v>
      </c>
      <c r="Q259" s="118">
        <f t="shared" si="21"/>
        <v>31.31018378157189</v>
      </c>
      <c r="R259" s="118">
        <f t="shared" si="21"/>
        <v>33.756181080706106</v>
      </c>
      <c r="S259" s="118">
        <f t="shared" si="21"/>
        <v>36.381496490920128</v>
      </c>
      <c r="T259" s="118">
        <f t="shared" si="21"/>
        <v>39.186130012214583</v>
      </c>
      <c r="U259" s="118">
        <f t="shared" si="21"/>
        <v>42.170081644588983</v>
      </c>
      <c r="V259" s="118">
        <f t="shared" si="21"/>
        <v>45.333351388042779</v>
      </c>
      <c r="W259" s="118">
        <f t="shared" si="21"/>
        <v>48.675939242577492</v>
      </c>
      <c r="X259" s="118">
        <f t="shared" si="21"/>
        <v>52.197845208191616</v>
      </c>
      <c r="Y259" s="118">
        <f t="shared" si="21"/>
        <v>55.899069284885812</v>
      </c>
      <c r="Z259" s="118">
        <f t="shared" si="21"/>
        <v>59.779611472660079</v>
      </c>
      <c r="AA259" s="118">
        <f t="shared" si="21"/>
        <v>63.839471771514461</v>
      </c>
      <c r="AB259" s="118">
        <f t="shared" si="21"/>
        <v>68.078650181448637</v>
      </c>
      <c r="AC259" s="118">
        <f t="shared" si="21"/>
        <v>72.497146702462899</v>
      </c>
      <c r="AD259" s="118">
        <f t="shared" si="21"/>
        <v>77.094961334555734</v>
      </c>
      <c r="AE259" s="118">
        <f t="shared" si="21"/>
        <v>81.87209407773129</v>
      </c>
      <c r="AF259" s="118">
        <f t="shared" si="21"/>
        <v>86.828544931985689</v>
      </c>
      <c r="AG259" s="118">
        <f t="shared" si="21"/>
        <v>91.964313897319329</v>
      </c>
      <c r="AH259" s="118">
        <f t="shared" si="21"/>
        <v>97.27940097373444</v>
      </c>
      <c r="AI259" s="118">
        <f t="shared" si="21"/>
        <v>102.77380616122798</v>
      </c>
      <c r="AJ259" s="118">
        <f t="shared" si="21"/>
        <v>102.77380616122798</v>
      </c>
      <c r="AK259" s="118">
        <f t="shared" si="21"/>
        <v>102.77380616122798</v>
      </c>
      <c r="AL259" s="118">
        <f t="shared" si="21"/>
        <v>102.77380616122798</v>
      </c>
      <c r="AM259" s="118">
        <f t="shared" si="21"/>
        <v>102.77380616122798</v>
      </c>
      <c r="AN259" s="118">
        <f t="shared" si="21"/>
        <v>102.77380616122798</v>
      </c>
      <c r="AO259" s="118">
        <f t="shared" si="21"/>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5">
      <c r="A260" s="102"/>
      <c r="B260" s="102" t="s">
        <v>230</v>
      </c>
      <c r="C260" s="101">
        <f>Rail_mask</f>
        <v>0</v>
      </c>
      <c r="D260" s="118">
        <v>0</v>
      </c>
      <c r="E260" s="118">
        <v>0</v>
      </c>
      <c r="F260" s="118">
        <v>0</v>
      </c>
      <c r="G260" s="118">
        <v>0</v>
      </c>
      <c r="H260" s="118">
        <v>0</v>
      </c>
      <c r="I260" s="118">
        <v>0</v>
      </c>
      <c r="J260" s="118">
        <f t="shared" ref="J260:AO260" si="22">Amenity_values_rail_1dB_in</f>
        <v>7.5111417964057035</v>
      </c>
      <c r="K260" s="118">
        <f t="shared" si="22"/>
        <v>8.4208131292005799</v>
      </c>
      <c r="L260" s="118">
        <f t="shared" si="22"/>
        <v>9.4994157561670463</v>
      </c>
      <c r="M260" s="118">
        <f t="shared" si="22"/>
        <v>10.74694967730508</v>
      </c>
      <c r="N260" s="118">
        <f t="shared" si="22"/>
        <v>12.163414892614664</v>
      </c>
      <c r="O260" s="118">
        <f t="shared" si="22"/>
        <v>13.748811402095862</v>
      </c>
      <c r="P260" s="118">
        <f t="shared" si="22"/>
        <v>15.50313920574861</v>
      </c>
      <c r="Q260" s="118">
        <f t="shared" si="22"/>
        <v>17.426398303572924</v>
      </c>
      <c r="R260" s="118">
        <f t="shared" si="22"/>
        <v>19.518588695568852</v>
      </c>
      <c r="S260" s="118">
        <f t="shared" si="22"/>
        <v>21.779710381736301</v>
      </c>
      <c r="T260" s="118">
        <f t="shared" si="22"/>
        <v>24.209763362075329</v>
      </c>
      <c r="U260" s="118">
        <f t="shared" si="22"/>
        <v>26.80874763658602</v>
      </c>
      <c r="V260" s="118">
        <f t="shared" si="22"/>
        <v>29.576663205268183</v>
      </c>
      <c r="W260" s="118">
        <f t="shared" si="22"/>
        <v>32.513510068121974</v>
      </c>
      <c r="X260" s="118">
        <f t="shared" si="22"/>
        <v>35.619288225147272</v>
      </c>
      <c r="Y260" s="118">
        <f t="shared" si="22"/>
        <v>38.893997676344291</v>
      </c>
      <c r="Z260" s="118">
        <f t="shared" si="22"/>
        <v>42.337638421712683</v>
      </c>
      <c r="AA260" s="118">
        <f t="shared" si="22"/>
        <v>45.950210461252837</v>
      </c>
      <c r="AB260" s="118">
        <f t="shared" si="22"/>
        <v>49.731713794964357</v>
      </c>
      <c r="AC260" s="118">
        <f t="shared" si="22"/>
        <v>53.682148422847717</v>
      </c>
      <c r="AD260" s="118">
        <f t="shared" si="22"/>
        <v>57.801514344902508</v>
      </c>
      <c r="AE260" s="118">
        <f t="shared" si="22"/>
        <v>62.08981156112894</v>
      </c>
      <c r="AF260" s="118">
        <f t="shared" si="22"/>
        <v>66.547040071526723</v>
      </c>
      <c r="AG260" s="118">
        <f t="shared" si="22"/>
        <v>71.173199876096191</v>
      </c>
      <c r="AH260" s="118">
        <f t="shared" si="22"/>
        <v>75.968290974837259</v>
      </c>
      <c r="AI260" s="118">
        <f t="shared" si="22"/>
        <v>80.932313367750425</v>
      </c>
      <c r="AJ260" s="118">
        <f t="shared" si="22"/>
        <v>80.932313367750425</v>
      </c>
      <c r="AK260" s="118">
        <f t="shared" si="22"/>
        <v>80.932313367750425</v>
      </c>
      <c r="AL260" s="118">
        <f t="shared" si="22"/>
        <v>80.932313367750425</v>
      </c>
      <c r="AM260" s="118">
        <f t="shared" si="22"/>
        <v>80.932313367750425</v>
      </c>
      <c r="AN260" s="118">
        <f t="shared" si="22"/>
        <v>80.932313367750425</v>
      </c>
      <c r="AO260" s="118">
        <f t="shared" si="22"/>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5">
      <c r="A261" s="102"/>
      <c r="B261" s="102" t="s">
        <v>231</v>
      </c>
      <c r="C261" s="101">
        <f>Aviation_mask</f>
        <v>0</v>
      </c>
      <c r="D261" s="118">
        <v>0</v>
      </c>
      <c r="E261" s="118">
        <v>0</v>
      </c>
      <c r="F261" s="118">
        <v>0</v>
      </c>
      <c r="G261" s="118">
        <v>0</v>
      </c>
      <c r="H261" s="118">
        <v>0</v>
      </c>
      <c r="I261" s="118">
        <v>0</v>
      </c>
      <c r="J261" s="118">
        <f t="shared" ref="J261:AO261" si="23">Amenity_values_aviation_1dB_in</f>
        <v>36.65266009511901</v>
      </c>
      <c r="K261" s="118">
        <f t="shared" si="23"/>
        <v>39.518064508046024</v>
      </c>
      <c r="L261" s="118">
        <f t="shared" si="23"/>
        <v>42.362001881670842</v>
      </c>
      <c r="M261" s="118">
        <f t="shared" si="23"/>
        <v>45.184472215993473</v>
      </c>
      <c r="N261" s="118">
        <f>Amenity_values_aviation_1dB_in</f>
        <v>47.985475511013945</v>
      </c>
      <c r="O261" s="118">
        <f t="shared" si="23"/>
        <v>50.765011766732215</v>
      </c>
      <c r="P261" s="118">
        <f t="shared" si="23"/>
        <v>53.523080983148425</v>
      </c>
      <c r="Q261" s="118">
        <f t="shared" si="23"/>
        <v>56.259683160262263</v>
      </c>
      <c r="R261" s="118">
        <f t="shared" si="23"/>
        <v>58.974818298074148</v>
      </c>
      <c r="S261" s="118">
        <f t="shared" si="23"/>
        <v>61.668486396583702</v>
      </c>
      <c r="T261" s="118">
        <f t="shared" si="23"/>
        <v>64.340687455791155</v>
      </c>
      <c r="U261" s="118">
        <f t="shared" si="23"/>
        <v>66.991421475696413</v>
      </c>
      <c r="V261" s="118">
        <f t="shared" si="23"/>
        <v>69.620688456299433</v>
      </c>
      <c r="W261" s="118">
        <f t="shared" si="23"/>
        <v>72.228488397600231</v>
      </c>
      <c r="X261" s="118">
        <f t="shared" si="23"/>
        <v>74.814821299599259</v>
      </c>
      <c r="Y261" s="118">
        <f t="shared" si="23"/>
        <v>77.379687162295795</v>
      </c>
      <c r="Z261" s="118">
        <f t="shared" si="23"/>
        <v>79.923085985689937</v>
      </c>
      <c r="AA261" s="118">
        <f t="shared" si="23"/>
        <v>82.445017769782297</v>
      </c>
      <c r="AB261" s="118">
        <f t="shared" si="23"/>
        <v>84.945482514572419</v>
      </c>
      <c r="AC261" s="118">
        <f t="shared" si="23"/>
        <v>87.424480220060218</v>
      </c>
      <c r="AD261" s="118">
        <f t="shared" si="23"/>
        <v>89.882010886245794</v>
      </c>
      <c r="AE261" s="118">
        <f t="shared" si="23"/>
        <v>92.318074513129417</v>
      </c>
      <c r="AF261" s="118">
        <f t="shared" si="23"/>
        <v>94.732671100711102</v>
      </c>
      <c r="AG261" s="118">
        <f t="shared" si="23"/>
        <v>97.125800648989994</v>
      </c>
      <c r="AH261" s="118">
        <f t="shared" si="23"/>
        <v>99.497463157966706</v>
      </c>
      <c r="AI261" s="118">
        <f t="shared" si="23"/>
        <v>101.84765862764202</v>
      </c>
      <c r="AJ261" s="118">
        <f t="shared" si="23"/>
        <v>101.84765862764202</v>
      </c>
      <c r="AK261" s="118">
        <f t="shared" si="23"/>
        <v>101.84765862764202</v>
      </c>
      <c r="AL261" s="118">
        <f t="shared" si="23"/>
        <v>101.84765862764202</v>
      </c>
      <c r="AM261" s="118">
        <f t="shared" si="23"/>
        <v>101.84765862764202</v>
      </c>
      <c r="AN261" s="118">
        <f t="shared" si="23"/>
        <v>101.84765862764202</v>
      </c>
      <c r="AO261" s="118">
        <f t="shared" si="23"/>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5">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5">
      <c r="A263" s="102"/>
      <c r="B263" s="151" t="s">
        <v>141</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5">
      <c r="A264" s="102"/>
      <c r="B264" s="151"/>
      <c r="C264" s="102"/>
      <c r="D264" s="12" t="s">
        <v>95</v>
      </c>
      <c r="E264" s="13" t="s">
        <v>96</v>
      </c>
      <c r="F264" s="97" t="s">
        <v>97</v>
      </c>
      <c r="G264" s="97" t="s">
        <v>98</v>
      </c>
      <c r="H264" s="97" t="s">
        <v>99</v>
      </c>
      <c r="I264" s="97" t="s">
        <v>100</v>
      </c>
      <c r="J264" s="97" t="s">
        <v>101</v>
      </c>
      <c r="K264" s="97" t="s">
        <v>102</v>
      </c>
      <c r="L264" s="97" t="s">
        <v>103</v>
      </c>
      <c r="M264" s="97" t="s">
        <v>104</v>
      </c>
      <c r="N264" s="97" t="s">
        <v>105</v>
      </c>
      <c r="O264" s="97" t="s">
        <v>106</v>
      </c>
      <c r="P264" s="97" t="s">
        <v>107</v>
      </c>
      <c r="Q264" s="97" t="s">
        <v>108</v>
      </c>
      <c r="R264" s="97" t="s">
        <v>109</v>
      </c>
      <c r="S264" s="97" t="s">
        <v>110</v>
      </c>
      <c r="T264" s="97" t="s">
        <v>111</v>
      </c>
      <c r="U264" s="97" t="s">
        <v>112</v>
      </c>
      <c r="V264" s="97" t="s">
        <v>113</v>
      </c>
      <c r="W264" s="97" t="s">
        <v>114</v>
      </c>
      <c r="X264" s="97" t="s">
        <v>115</v>
      </c>
      <c r="Y264" s="97" t="s">
        <v>116</v>
      </c>
      <c r="Z264" s="97" t="s">
        <v>117</v>
      </c>
      <c r="AA264" s="97" t="s">
        <v>118</v>
      </c>
      <c r="AB264" s="97" t="s">
        <v>119</v>
      </c>
      <c r="AC264" s="97" t="s">
        <v>120</v>
      </c>
      <c r="AD264" s="97" t="s">
        <v>121</v>
      </c>
      <c r="AE264" s="97" t="s">
        <v>122</v>
      </c>
      <c r="AF264" s="97" t="s">
        <v>123</v>
      </c>
      <c r="AG264" s="97" t="s">
        <v>124</v>
      </c>
      <c r="AH264" s="97" t="s">
        <v>125</v>
      </c>
      <c r="AI264" s="97" t="s">
        <v>126</v>
      </c>
      <c r="AJ264" s="97" t="s">
        <v>127</v>
      </c>
      <c r="AK264" s="97" t="s">
        <v>128</v>
      </c>
      <c r="AL264" s="97" t="s">
        <v>129</v>
      </c>
      <c r="AM264" s="97" t="s">
        <v>130</v>
      </c>
      <c r="AN264" s="97" t="s">
        <v>131</v>
      </c>
      <c r="AO264" s="97" t="s">
        <v>132</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5">
      <c r="A265" s="102"/>
      <c r="B265" s="102" t="s">
        <v>228</v>
      </c>
      <c r="C265" s="102"/>
      <c r="D265" s="118">
        <v>0</v>
      </c>
      <c r="E265" s="118">
        <v>0</v>
      </c>
      <c r="F265" s="118">
        <v>0</v>
      </c>
      <c r="G265" s="118">
        <v>0</v>
      </c>
      <c r="H265" s="118">
        <v>0</v>
      </c>
      <c r="I265" s="118">
        <v>0</v>
      </c>
      <c r="J265" s="118">
        <f t="shared" ref="J265:AO265" si="24">Amenity_values_road_1dB*Road_mask +Amenity_values_rail_1dB*Rail_mask +Amenity_values_aviation_1dB*Aviation_mask</f>
        <v>19.209109797871871</v>
      </c>
      <c r="K265" s="118">
        <f t="shared" si="24"/>
        <v>20.399880319446062</v>
      </c>
      <c r="L265" s="118">
        <f t="shared" si="24"/>
        <v>21.769968952100445</v>
      </c>
      <c r="M265" s="118">
        <f t="shared" si="24"/>
        <v>23.31937569583474</v>
      </c>
      <c r="N265" s="118">
        <f t="shared" si="24"/>
        <v>25.048100550649085</v>
      </c>
      <c r="O265" s="118">
        <f t="shared" si="24"/>
        <v>26.956143516543037</v>
      </c>
      <c r="P265" s="118">
        <f t="shared" si="24"/>
        <v>29.043504593517564</v>
      </c>
      <c r="Q265" s="118">
        <f t="shared" si="24"/>
        <v>31.31018378157189</v>
      </c>
      <c r="R265" s="118">
        <f t="shared" si="24"/>
        <v>33.756181080706106</v>
      </c>
      <c r="S265" s="118">
        <f t="shared" si="24"/>
        <v>36.381496490920128</v>
      </c>
      <c r="T265" s="118">
        <f t="shared" si="24"/>
        <v>39.186130012214583</v>
      </c>
      <c r="U265" s="118">
        <f t="shared" si="24"/>
        <v>42.170081644588983</v>
      </c>
      <c r="V265" s="118">
        <f t="shared" si="24"/>
        <v>45.333351388042779</v>
      </c>
      <c r="W265" s="118">
        <f t="shared" si="24"/>
        <v>48.675939242577492</v>
      </c>
      <c r="X265" s="118">
        <f t="shared" si="24"/>
        <v>52.197845208191616</v>
      </c>
      <c r="Y265" s="118">
        <f t="shared" si="24"/>
        <v>55.899069284885812</v>
      </c>
      <c r="Z265" s="118">
        <f t="shared" si="24"/>
        <v>59.779611472660079</v>
      </c>
      <c r="AA265" s="118">
        <f t="shared" si="24"/>
        <v>63.839471771514461</v>
      </c>
      <c r="AB265" s="118">
        <f t="shared" si="24"/>
        <v>68.078650181448637</v>
      </c>
      <c r="AC265" s="118">
        <f t="shared" si="24"/>
        <v>72.497146702462899</v>
      </c>
      <c r="AD265" s="118">
        <f t="shared" si="24"/>
        <v>77.094961334555734</v>
      </c>
      <c r="AE265" s="118">
        <f t="shared" si="24"/>
        <v>81.87209407773129</v>
      </c>
      <c r="AF265" s="118">
        <f t="shared" si="24"/>
        <v>86.828544931985689</v>
      </c>
      <c r="AG265" s="118">
        <f t="shared" si="24"/>
        <v>91.964313897319329</v>
      </c>
      <c r="AH265" s="118">
        <f t="shared" si="24"/>
        <v>97.27940097373444</v>
      </c>
      <c r="AI265" s="118">
        <f t="shared" si="24"/>
        <v>102.77380616122798</v>
      </c>
      <c r="AJ265" s="118">
        <f t="shared" si="24"/>
        <v>102.77380616122798</v>
      </c>
      <c r="AK265" s="118">
        <f t="shared" si="24"/>
        <v>102.77380616122798</v>
      </c>
      <c r="AL265" s="118">
        <f t="shared" si="24"/>
        <v>102.77380616122798</v>
      </c>
      <c r="AM265" s="118">
        <f t="shared" si="24"/>
        <v>102.77380616122798</v>
      </c>
      <c r="AN265" s="118">
        <f t="shared" si="24"/>
        <v>102.77380616122798</v>
      </c>
      <c r="AO265" s="118">
        <f t="shared" si="24"/>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5">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5">
      <c r="A267" s="17"/>
      <c r="B267" s="114"/>
      <c r="C267" s="49" t="s">
        <v>94</v>
      </c>
      <c r="D267" s="70" t="s">
        <v>95</v>
      </c>
      <c r="E267" s="108" t="s">
        <v>96</v>
      </c>
      <c r="F267" s="108" t="s">
        <v>97</v>
      </c>
      <c r="G267" s="108" t="s">
        <v>98</v>
      </c>
      <c r="H267" s="108" t="s">
        <v>99</v>
      </c>
      <c r="I267" s="108" t="s">
        <v>100</v>
      </c>
      <c r="J267" s="108" t="s">
        <v>101</v>
      </c>
      <c r="K267" s="108" t="s">
        <v>102</v>
      </c>
      <c r="L267" s="108" t="s">
        <v>103</v>
      </c>
      <c r="M267" s="108" t="s">
        <v>104</v>
      </c>
      <c r="N267" s="108" t="s">
        <v>105</v>
      </c>
      <c r="O267" s="108" t="s">
        <v>106</v>
      </c>
      <c r="P267" s="108" t="s">
        <v>107</v>
      </c>
      <c r="Q267" s="108" t="s">
        <v>108</v>
      </c>
      <c r="R267" s="108" t="s">
        <v>109</v>
      </c>
      <c r="S267" s="108" t="s">
        <v>110</v>
      </c>
      <c r="T267" s="108" t="s">
        <v>111</v>
      </c>
      <c r="U267" s="108" t="s">
        <v>112</v>
      </c>
      <c r="V267" s="108" t="s">
        <v>113</v>
      </c>
      <c r="W267" s="108" t="s">
        <v>114</v>
      </c>
      <c r="X267" s="108" t="s">
        <v>115</v>
      </c>
      <c r="Y267" s="108" t="s">
        <v>116</v>
      </c>
      <c r="Z267" s="108" t="s">
        <v>117</v>
      </c>
      <c r="AA267" s="108" t="s">
        <v>118</v>
      </c>
      <c r="AB267" s="108" t="s">
        <v>119</v>
      </c>
      <c r="AC267" s="108" t="s">
        <v>120</v>
      </c>
      <c r="AD267" s="108" t="s">
        <v>121</v>
      </c>
      <c r="AE267" s="108" t="s">
        <v>122</v>
      </c>
      <c r="AF267" s="108" t="s">
        <v>123</v>
      </c>
      <c r="AG267" s="108" t="s">
        <v>124</v>
      </c>
      <c r="AH267" s="108" t="s">
        <v>125</v>
      </c>
      <c r="AI267" s="108" t="s">
        <v>126</v>
      </c>
      <c r="AJ267" s="108" t="s">
        <v>127</v>
      </c>
      <c r="AK267" s="108" t="s">
        <v>128</v>
      </c>
      <c r="AL267" s="108" t="s">
        <v>129</v>
      </c>
      <c r="AM267" s="108" t="s">
        <v>130</v>
      </c>
      <c r="AN267" s="108" t="s">
        <v>131</v>
      </c>
      <c r="AO267" s="108"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133</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f>0.5*C265+0.5*D265</f>
        <v>0</v>
      </c>
      <c r="AR268" s="17">
        <f>0.5*D265+0.5*E265</f>
        <v>0</v>
      </c>
      <c r="AS268" s="17">
        <f t="shared" ref="AS268:CB268" si="25">0.5*E265+0.5*F265</f>
        <v>0</v>
      </c>
      <c r="AT268" s="17">
        <f t="shared" si="25"/>
        <v>0</v>
      </c>
      <c r="AU268" s="17">
        <f t="shared" si="25"/>
        <v>0</v>
      </c>
      <c r="AV268" s="17">
        <f t="shared" si="25"/>
        <v>0</v>
      </c>
      <c r="AW268" s="17">
        <f t="shared" si="25"/>
        <v>9.6045548989359357</v>
      </c>
      <c r="AX268" s="17">
        <f t="shared" si="25"/>
        <v>19.804495058658965</v>
      </c>
      <c r="AY268" s="17">
        <f t="shared" si="25"/>
        <v>21.084924635773255</v>
      </c>
      <c r="AZ268" s="17">
        <f t="shared" si="25"/>
        <v>22.544672323967593</v>
      </c>
      <c r="BA268" s="17">
        <f t="shared" si="25"/>
        <v>24.183738123241913</v>
      </c>
      <c r="BB268" s="17">
        <f t="shared" si="25"/>
        <v>26.002122033596059</v>
      </c>
      <c r="BC268" s="17">
        <f t="shared" si="25"/>
        <v>27.999824055030302</v>
      </c>
      <c r="BD268" s="17">
        <f t="shared" si="25"/>
        <v>30.176844187544727</v>
      </c>
      <c r="BE268" s="17">
        <f t="shared" si="25"/>
        <v>32.533182431138997</v>
      </c>
      <c r="BF268" s="17">
        <f t="shared" si="25"/>
        <v>35.068838785813114</v>
      </c>
      <c r="BG268" s="17">
        <f t="shared" si="25"/>
        <v>37.783813251567352</v>
      </c>
      <c r="BH268" s="17">
        <f t="shared" si="25"/>
        <v>40.678105828401783</v>
      </c>
      <c r="BI268" s="17">
        <f t="shared" si="25"/>
        <v>43.751716516315881</v>
      </c>
      <c r="BJ268" s="17">
        <f t="shared" si="25"/>
        <v>47.004645315310135</v>
      </c>
      <c r="BK268" s="17">
        <f t="shared" si="25"/>
        <v>50.436892225384554</v>
      </c>
      <c r="BL268" s="17">
        <f t="shared" si="25"/>
        <v>54.048457246538717</v>
      </c>
      <c r="BM268" s="17">
        <f t="shared" si="25"/>
        <v>57.839340378772945</v>
      </c>
      <c r="BN268" s="17">
        <f t="shared" si="25"/>
        <v>61.809541622087266</v>
      </c>
      <c r="BO268" s="17">
        <f t="shared" si="25"/>
        <v>65.959060976481553</v>
      </c>
      <c r="BP268" s="17">
        <f t="shared" si="25"/>
        <v>70.287898441955775</v>
      </c>
      <c r="BQ268" s="17">
        <f t="shared" si="25"/>
        <v>74.796054018509324</v>
      </c>
      <c r="BR268" s="17">
        <f t="shared" si="25"/>
        <v>79.483527706143519</v>
      </c>
      <c r="BS268" s="17">
        <f t="shared" si="25"/>
        <v>84.35031950485849</v>
      </c>
      <c r="BT268" s="17">
        <f t="shared" si="25"/>
        <v>89.396429414652516</v>
      </c>
      <c r="BU268" s="17">
        <f t="shared" si="25"/>
        <v>94.621857435526891</v>
      </c>
      <c r="BV268" s="17">
        <f t="shared" si="25"/>
        <v>100.0266035674812</v>
      </c>
      <c r="BW268" s="17">
        <f t="shared" si="25"/>
        <v>102.77380616122798</v>
      </c>
      <c r="BX268" s="17">
        <f t="shared" si="25"/>
        <v>102.77380616122798</v>
      </c>
      <c r="BY268" s="17">
        <f t="shared" si="25"/>
        <v>102.77380616122798</v>
      </c>
      <c r="BZ268" s="17">
        <f t="shared" si="25"/>
        <v>102.77380616122798</v>
      </c>
      <c r="CA268" s="17">
        <f t="shared" si="25"/>
        <v>102.77380616122798</v>
      </c>
      <c r="CB268" s="17">
        <f t="shared" si="25"/>
        <v>102.77380616122798</v>
      </c>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8" t="s">
        <v>95</v>
      </c>
      <c r="C269" s="125"/>
      <c r="D269" s="134">
        <f>IF(D$267=$B269,0,IF(D$267&gt;$B269,-0.5*D$265-0.5*C$265+C269,0.5*HLOOKUP($B269,$D$264:$AO$265,2,FALSE)+0.5*HLOOKUP($B268,$D$264:$AO$265,2,FALSE)+D268))</f>
        <v>0</v>
      </c>
      <c r="E269" s="134">
        <f t="shared" ref="E269:AO269" si="26">IF(E$267=$B269,0,IF(E$267&gt;$B269,-0.5*E$265-0.5*D$265+D269,0.5*HLOOKUP($B269,$D$264:$AO$265,2,FALSE)+0.5*HLOOKUP($B268,$D$264:$AO$265,2,FALSE)+E268))</f>
        <v>0</v>
      </c>
      <c r="F269" s="134">
        <f t="shared" si="26"/>
        <v>0</v>
      </c>
      <c r="G269" s="134">
        <f t="shared" si="26"/>
        <v>0</v>
      </c>
      <c r="H269" s="134">
        <f t="shared" si="26"/>
        <v>0</v>
      </c>
      <c r="I269" s="134">
        <f t="shared" si="26"/>
        <v>0</v>
      </c>
      <c r="J269" s="134">
        <f t="shared" si="26"/>
        <v>-9.6045548989359357</v>
      </c>
      <c r="K269" s="134">
        <f t="shared" si="26"/>
        <v>-29.409049957594902</v>
      </c>
      <c r="L269" s="134">
        <f t="shared" si="26"/>
        <v>-50.493974593368158</v>
      </c>
      <c r="M269" s="134">
        <f t="shared" si="26"/>
        <v>-73.038646917335754</v>
      </c>
      <c r="N269" s="134">
        <f t="shared" si="26"/>
        <v>-97.222385040577663</v>
      </c>
      <c r="O269" s="134">
        <f t="shared" si="26"/>
        <v>-123.22450707417372</v>
      </c>
      <c r="P269" s="134">
        <f t="shared" si="26"/>
        <v>-151.22433112920402</v>
      </c>
      <c r="Q269" s="134">
        <f t="shared" si="26"/>
        <v>-181.40117531674875</v>
      </c>
      <c r="R269" s="134">
        <f t="shared" si="26"/>
        <v>-213.93435774788776</v>
      </c>
      <c r="S269" s="134">
        <f t="shared" si="26"/>
        <v>-249.00319653370087</v>
      </c>
      <c r="T269" s="134">
        <f t="shared" si="26"/>
        <v>-286.7870097852682</v>
      </c>
      <c r="U269" s="134">
        <f t="shared" si="26"/>
        <v>-327.46511561366998</v>
      </c>
      <c r="V269" s="134">
        <f t="shared" si="26"/>
        <v>-371.21683212998585</v>
      </c>
      <c r="W269" s="134">
        <f t="shared" si="26"/>
        <v>-418.22147744529599</v>
      </c>
      <c r="X269" s="134">
        <f t="shared" si="26"/>
        <v>-468.65836967068054</v>
      </c>
      <c r="Y269" s="134">
        <f t="shared" si="26"/>
        <v>-522.70682691721925</v>
      </c>
      <c r="Z269" s="134">
        <f t="shared" si="26"/>
        <v>-580.54616729599218</v>
      </c>
      <c r="AA269" s="134">
        <f t="shared" si="26"/>
        <v>-642.35570891807947</v>
      </c>
      <c r="AB269" s="134">
        <f t="shared" si="26"/>
        <v>-708.31476989456098</v>
      </c>
      <c r="AC269" s="134">
        <f t="shared" si="26"/>
        <v>-778.60266833651679</v>
      </c>
      <c r="AD269" s="134">
        <f t="shared" si="26"/>
        <v>-853.39872235502617</v>
      </c>
      <c r="AE269" s="134">
        <f t="shared" si="26"/>
        <v>-932.88225006116966</v>
      </c>
      <c r="AF269" s="134">
        <f t="shared" si="26"/>
        <v>-1017.2325695660281</v>
      </c>
      <c r="AG269" s="134">
        <f t="shared" si="26"/>
        <v>-1106.6289989806805</v>
      </c>
      <c r="AH269" s="134">
        <f t="shared" si="26"/>
        <v>-1201.2508564162074</v>
      </c>
      <c r="AI269" s="134">
        <f t="shared" si="26"/>
        <v>-1301.2774599836887</v>
      </c>
      <c r="AJ269" s="134">
        <f t="shared" si="26"/>
        <v>-1404.0512661449166</v>
      </c>
      <c r="AK269" s="134">
        <f t="shared" si="26"/>
        <v>-1506.8250723061446</v>
      </c>
      <c r="AL269" s="134">
        <f t="shared" si="26"/>
        <v>-1609.5988784673727</v>
      </c>
      <c r="AM269" s="134">
        <f t="shared" si="26"/>
        <v>-1712.3726846286008</v>
      </c>
      <c r="AN269" s="134">
        <f t="shared" si="26"/>
        <v>-1815.1464907898289</v>
      </c>
      <c r="AO269" s="134">
        <f t="shared" si="26"/>
        <v>-1917.920296951057</v>
      </c>
      <c r="AQ269" s="17">
        <f>SUM($AQ268:AQ268)</f>
        <v>0</v>
      </c>
      <c r="AR269" s="17">
        <f>SUM($AQ268:AR268)</f>
        <v>0</v>
      </c>
      <c r="AS269" s="17">
        <f>SUM($AQ268:AS268)</f>
        <v>0</v>
      </c>
      <c r="AT269" s="17">
        <f>SUM($AQ268:AT268)</f>
        <v>0</v>
      </c>
      <c r="AU269" s="17">
        <f>SUM($AQ268:AU268)</f>
        <v>0</v>
      </c>
      <c r="AV269" s="17">
        <f>SUM($AQ268:AV268)</f>
        <v>0</v>
      </c>
      <c r="AW269" s="17">
        <f>SUM($AQ268:AW268)</f>
        <v>9.6045548989359357</v>
      </c>
      <c r="AX269" s="17">
        <f>SUM($AQ268:AX268)</f>
        <v>29.409049957594902</v>
      </c>
      <c r="AY269" s="17">
        <f>SUM($AQ268:AY268)</f>
        <v>50.493974593368158</v>
      </c>
      <c r="AZ269" s="17">
        <f>SUM($AQ268:AZ268)</f>
        <v>73.038646917335754</v>
      </c>
      <c r="BA269" s="17">
        <f>SUM($AQ268:BA268)</f>
        <v>97.222385040577663</v>
      </c>
      <c r="BB269" s="17">
        <f>SUM($AQ268:BB268)</f>
        <v>123.22450707417372</v>
      </c>
      <c r="BC269" s="17">
        <f>SUM($AQ268:BC268)</f>
        <v>151.22433112920402</v>
      </c>
      <c r="BD269" s="17">
        <f>SUM($AQ268:BD268)</f>
        <v>181.40117531674875</v>
      </c>
      <c r="BE269" s="17">
        <f>SUM($AQ268:BE268)</f>
        <v>213.93435774788776</v>
      </c>
      <c r="BF269" s="17">
        <f>SUM($AQ268:BF268)</f>
        <v>249.00319653370087</v>
      </c>
      <c r="BG269" s="17">
        <f>SUM($AQ268:BG268)</f>
        <v>286.7870097852682</v>
      </c>
      <c r="BH269" s="17">
        <f>SUM($AQ268:BH268)</f>
        <v>327.46511561366998</v>
      </c>
      <c r="BI269" s="17">
        <f>SUM($AQ268:BI268)</f>
        <v>371.21683212998585</v>
      </c>
      <c r="BJ269" s="17">
        <f>SUM($AQ268:BJ268)</f>
        <v>418.22147744529599</v>
      </c>
      <c r="BK269" s="17">
        <f>SUM($AQ268:BK268)</f>
        <v>468.65836967068054</v>
      </c>
      <c r="BL269" s="17">
        <f>SUM($AQ268:BL268)</f>
        <v>522.70682691721925</v>
      </c>
      <c r="BM269" s="17">
        <f>SUM($AQ268:BM268)</f>
        <v>580.54616729599218</v>
      </c>
      <c r="BN269" s="17">
        <f>SUM($AQ268:BN268)</f>
        <v>642.35570891807947</v>
      </c>
      <c r="BO269" s="17">
        <f>SUM($AQ268:BO268)</f>
        <v>708.31476989456098</v>
      </c>
      <c r="BP269" s="17">
        <f>SUM($AQ268:BP268)</f>
        <v>778.60266833651679</v>
      </c>
      <c r="BQ269" s="17">
        <f>SUM($AQ268:BQ268)</f>
        <v>853.39872235502617</v>
      </c>
      <c r="BR269" s="17">
        <f>SUM($AQ268:BR268)</f>
        <v>932.88225006116966</v>
      </c>
      <c r="BS269" s="17">
        <f>SUM($AQ268:BS268)</f>
        <v>1017.2325695660281</v>
      </c>
      <c r="BT269" s="17">
        <f>SUM($AQ268:BT268)</f>
        <v>1106.6289989806805</v>
      </c>
      <c r="BU269" s="17">
        <f>SUM($AQ268:BU268)</f>
        <v>1201.2508564162074</v>
      </c>
      <c r="BV269" s="17">
        <f>SUM($AQ268:BV268)</f>
        <v>1301.2774599836887</v>
      </c>
      <c r="BW269" s="17">
        <f>SUM($AQ268:BW268)</f>
        <v>1404.0512661449166</v>
      </c>
      <c r="BX269" s="17">
        <f>SUM($AQ268:BX268)</f>
        <v>1506.8250723061446</v>
      </c>
      <c r="BY269" s="17">
        <f>SUM($AQ268:BY268)</f>
        <v>1609.5988784673727</v>
      </c>
      <c r="BZ269" s="17">
        <f>SUM($AQ268:BZ268)</f>
        <v>1712.3726846286008</v>
      </c>
      <c r="CA269" s="17">
        <f>SUM($AQ268:CA268)</f>
        <v>1815.1464907898289</v>
      </c>
      <c r="CB269" s="17">
        <f>SUM($AQ268:CB268)</f>
        <v>1917.920296951057</v>
      </c>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2" t="s">
        <v>96</v>
      </c>
      <c r="C270" s="135"/>
      <c r="D270" s="134">
        <f t="shared" ref="D270:AO276" si="27">IF(D$267=$B270,0,IF(D$267&gt;$B270,-0.5*D$265-0.5*C$265+C270,0.5*HLOOKUP($B270,$D$264:$AO$265,2,FALSE)+0.5*HLOOKUP($B269,$D$264:$AO$265,2,FALSE)+D269))</f>
        <v>0</v>
      </c>
      <c r="E270" s="134">
        <f t="shared" si="27"/>
        <v>0</v>
      </c>
      <c r="F270" s="134">
        <f t="shared" si="27"/>
        <v>0</v>
      </c>
      <c r="G270" s="134">
        <f t="shared" si="27"/>
        <v>0</v>
      </c>
      <c r="H270" s="134">
        <f t="shared" si="27"/>
        <v>0</v>
      </c>
      <c r="I270" s="134">
        <f t="shared" si="27"/>
        <v>0</v>
      </c>
      <c r="J270" s="134">
        <f t="shared" si="27"/>
        <v>-9.6045548989359357</v>
      </c>
      <c r="K270" s="134">
        <f t="shared" si="27"/>
        <v>-29.409049957594902</v>
      </c>
      <c r="L270" s="134">
        <f t="shared" si="27"/>
        <v>-50.493974593368158</v>
      </c>
      <c r="M270" s="134">
        <f t="shared" si="27"/>
        <v>-73.038646917335754</v>
      </c>
      <c r="N270" s="134">
        <f t="shared" si="27"/>
        <v>-97.222385040577663</v>
      </c>
      <c r="O270" s="134">
        <f t="shared" si="27"/>
        <v>-123.22450707417372</v>
      </c>
      <c r="P270" s="134">
        <f t="shared" si="27"/>
        <v>-151.22433112920402</v>
      </c>
      <c r="Q270" s="134">
        <f t="shared" si="27"/>
        <v>-181.40117531674875</v>
      </c>
      <c r="R270" s="134">
        <f t="shared" si="27"/>
        <v>-213.93435774788776</v>
      </c>
      <c r="S270" s="134">
        <f t="shared" si="27"/>
        <v>-249.00319653370087</v>
      </c>
      <c r="T270" s="134">
        <f t="shared" si="27"/>
        <v>-286.7870097852682</v>
      </c>
      <c r="U270" s="134">
        <f t="shared" si="27"/>
        <v>-327.46511561366998</v>
      </c>
      <c r="V270" s="134">
        <f t="shared" si="27"/>
        <v>-371.21683212998585</v>
      </c>
      <c r="W270" s="134">
        <f t="shared" si="27"/>
        <v>-418.22147744529599</v>
      </c>
      <c r="X270" s="134">
        <f t="shared" si="27"/>
        <v>-468.65836967068054</v>
      </c>
      <c r="Y270" s="134">
        <f t="shared" si="27"/>
        <v>-522.70682691721925</v>
      </c>
      <c r="Z270" s="134">
        <f t="shared" si="27"/>
        <v>-580.54616729599218</v>
      </c>
      <c r="AA270" s="134">
        <f t="shared" si="27"/>
        <v>-642.35570891807947</v>
      </c>
      <c r="AB270" s="134">
        <f t="shared" si="27"/>
        <v>-708.31476989456098</v>
      </c>
      <c r="AC270" s="134">
        <f t="shared" si="27"/>
        <v>-778.60266833651679</v>
      </c>
      <c r="AD270" s="134">
        <f t="shared" si="27"/>
        <v>-853.39872235502617</v>
      </c>
      <c r="AE270" s="134">
        <f t="shared" si="27"/>
        <v>-932.88225006116966</v>
      </c>
      <c r="AF270" s="134">
        <f t="shared" si="27"/>
        <v>-1017.2325695660281</v>
      </c>
      <c r="AG270" s="134">
        <f t="shared" si="27"/>
        <v>-1106.6289989806805</v>
      </c>
      <c r="AH270" s="134">
        <f t="shared" si="27"/>
        <v>-1201.2508564162074</v>
      </c>
      <c r="AI270" s="134">
        <f t="shared" si="27"/>
        <v>-1301.2774599836887</v>
      </c>
      <c r="AJ270" s="134">
        <f t="shared" si="27"/>
        <v>-1404.0512661449166</v>
      </c>
      <c r="AK270" s="134">
        <f t="shared" si="27"/>
        <v>-1506.8250723061446</v>
      </c>
      <c r="AL270" s="134">
        <f t="shared" si="27"/>
        <v>-1609.5988784673727</v>
      </c>
      <c r="AM270" s="134">
        <f t="shared" si="27"/>
        <v>-1712.3726846286008</v>
      </c>
      <c r="AN270" s="134">
        <f t="shared" si="27"/>
        <v>-1815.1464907898289</v>
      </c>
      <c r="AO270" s="134">
        <f t="shared" si="27"/>
        <v>-1917.920296951057</v>
      </c>
      <c r="AP270" s="99">
        <f>COUNTIF(AQ270:CB270,TRUE)</f>
        <v>38</v>
      </c>
      <c r="AQ270" s="98" t="b">
        <f>AQ269=-D269</f>
        <v>1</v>
      </c>
      <c r="AR270" s="98" t="b">
        <f t="shared" ref="AR270:CB270" si="28">AR269=-E269</f>
        <v>1</v>
      </c>
      <c r="AS270" s="98" t="b">
        <f t="shared" si="28"/>
        <v>1</v>
      </c>
      <c r="AT270" s="98" t="b">
        <f t="shared" si="28"/>
        <v>1</v>
      </c>
      <c r="AU270" s="98" t="b">
        <f t="shared" si="28"/>
        <v>1</v>
      </c>
      <c r="AV270" s="98" t="b">
        <f t="shared" si="28"/>
        <v>1</v>
      </c>
      <c r="AW270" s="98" t="b">
        <f t="shared" si="28"/>
        <v>1</v>
      </c>
      <c r="AX270" s="98" t="b">
        <f t="shared" si="28"/>
        <v>1</v>
      </c>
      <c r="AY270" s="98" t="b">
        <f t="shared" si="28"/>
        <v>1</v>
      </c>
      <c r="AZ270" s="98" t="b">
        <f t="shared" si="28"/>
        <v>1</v>
      </c>
      <c r="BA270" s="98" t="b">
        <f t="shared" si="28"/>
        <v>1</v>
      </c>
      <c r="BB270" s="98" t="b">
        <f t="shared" si="28"/>
        <v>1</v>
      </c>
      <c r="BC270" s="98" t="b">
        <f t="shared" si="28"/>
        <v>1</v>
      </c>
      <c r="BD270" s="98" t="b">
        <f t="shared" si="28"/>
        <v>1</v>
      </c>
      <c r="BE270" s="98" t="b">
        <f t="shared" si="28"/>
        <v>1</v>
      </c>
      <c r="BF270" s="98" t="b">
        <f t="shared" si="28"/>
        <v>1</v>
      </c>
      <c r="BG270" s="98" t="b">
        <f t="shared" si="28"/>
        <v>1</v>
      </c>
      <c r="BH270" s="98" t="b">
        <f t="shared" si="28"/>
        <v>1</v>
      </c>
      <c r="BI270" s="98" t="b">
        <f t="shared" si="28"/>
        <v>1</v>
      </c>
      <c r="BJ270" s="98" t="b">
        <f t="shared" si="28"/>
        <v>1</v>
      </c>
      <c r="BK270" s="98" t="b">
        <f t="shared" si="28"/>
        <v>1</v>
      </c>
      <c r="BL270" s="98" t="b">
        <f t="shared" si="28"/>
        <v>1</v>
      </c>
      <c r="BM270" s="98" t="b">
        <f t="shared" si="28"/>
        <v>1</v>
      </c>
      <c r="BN270" s="98" t="b">
        <f t="shared" si="28"/>
        <v>1</v>
      </c>
      <c r="BO270" s="98" t="b">
        <f t="shared" si="28"/>
        <v>1</v>
      </c>
      <c r="BP270" s="98" t="b">
        <f t="shared" si="28"/>
        <v>1</v>
      </c>
      <c r="BQ270" s="98" t="b">
        <f t="shared" si="28"/>
        <v>1</v>
      </c>
      <c r="BR270" s="98" t="b">
        <f t="shared" si="28"/>
        <v>1</v>
      </c>
      <c r="BS270" s="98" t="b">
        <f t="shared" si="28"/>
        <v>1</v>
      </c>
      <c r="BT270" s="98" t="b">
        <f t="shared" si="28"/>
        <v>1</v>
      </c>
      <c r="BU270" s="98" t="b">
        <f t="shared" si="28"/>
        <v>1</v>
      </c>
      <c r="BV270" s="98" t="b">
        <f t="shared" si="28"/>
        <v>1</v>
      </c>
      <c r="BW270" s="98" t="b">
        <f t="shared" si="28"/>
        <v>1</v>
      </c>
      <c r="BX270" s="98" t="b">
        <f t="shared" si="28"/>
        <v>1</v>
      </c>
      <c r="BY270" s="98" t="b">
        <f t="shared" si="28"/>
        <v>1</v>
      </c>
      <c r="BZ270" s="98" t="b">
        <f t="shared" si="28"/>
        <v>1</v>
      </c>
      <c r="CA270" s="98" t="b">
        <f t="shared" si="28"/>
        <v>1</v>
      </c>
      <c r="CB270" s="98"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2" t="s">
        <v>97</v>
      </c>
      <c r="C271" s="135"/>
      <c r="D271" s="134">
        <f t="shared" si="27"/>
        <v>0</v>
      </c>
      <c r="E271" s="134">
        <f t="shared" si="27"/>
        <v>0</v>
      </c>
      <c r="F271" s="134">
        <f t="shared" si="27"/>
        <v>0</v>
      </c>
      <c r="G271" s="134">
        <f t="shared" si="27"/>
        <v>0</v>
      </c>
      <c r="H271" s="134">
        <f t="shared" si="27"/>
        <v>0</v>
      </c>
      <c r="I271" s="134">
        <f t="shared" si="27"/>
        <v>0</v>
      </c>
      <c r="J271" s="134">
        <f t="shared" si="27"/>
        <v>-9.6045548989359357</v>
      </c>
      <c r="K271" s="134">
        <f t="shared" si="27"/>
        <v>-29.409049957594902</v>
      </c>
      <c r="L271" s="134">
        <f t="shared" si="27"/>
        <v>-50.493974593368158</v>
      </c>
      <c r="M271" s="134">
        <f t="shared" si="27"/>
        <v>-73.038646917335754</v>
      </c>
      <c r="N271" s="134">
        <f t="shared" si="27"/>
        <v>-97.222385040577663</v>
      </c>
      <c r="O271" s="134">
        <f t="shared" si="27"/>
        <v>-123.22450707417372</v>
      </c>
      <c r="P271" s="134">
        <f t="shared" si="27"/>
        <v>-151.22433112920402</v>
      </c>
      <c r="Q271" s="134">
        <f t="shared" si="27"/>
        <v>-181.40117531674875</v>
      </c>
      <c r="R271" s="134">
        <f t="shared" si="27"/>
        <v>-213.93435774788776</v>
      </c>
      <c r="S271" s="134">
        <f t="shared" si="27"/>
        <v>-249.00319653370087</v>
      </c>
      <c r="T271" s="134">
        <f t="shared" si="27"/>
        <v>-286.7870097852682</v>
      </c>
      <c r="U271" s="134">
        <f t="shared" si="27"/>
        <v>-327.46511561366998</v>
      </c>
      <c r="V271" s="134">
        <f t="shared" si="27"/>
        <v>-371.21683212998585</v>
      </c>
      <c r="W271" s="134">
        <f t="shared" si="27"/>
        <v>-418.22147744529599</v>
      </c>
      <c r="X271" s="134">
        <f t="shared" si="27"/>
        <v>-468.65836967068054</v>
      </c>
      <c r="Y271" s="134">
        <f t="shared" si="27"/>
        <v>-522.70682691721925</v>
      </c>
      <c r="Z271" s="134">
        <f t="shared" si="27"/>
        <v>-580.54616729599218</v>
      </c>
      <c r="AA271" s="134">
        <f t="shared" si="27"/>
        <v>-642.35570891807947</v>
      </c>
      <c r="AB271" s="134">
        <f t="shared" si="27"/>
        <v>-708.31476989456098</v>
      </c>
      <c r="AC271" s="134">
        <f t="shared" si="27"/>
        <v>-778.60266833651679</v>
      </c>
      <c r="AD271" s="134">
        <f t="shared" si="27"/>
        <v>-853.39872235502617</v>
      </c>
      <c r="AE271" s="134">
        <f t="shared" si="27"/>
        <v>-932.88225006116966</v>
      </c>
      <c r="AF271" s="134">
        <f t="shared" si="27"/>
        <v>-1017.2325695660281</v>
      </c>
      <c r="AG271" s="134">
        <f t="shared" si="27"/>
        <v>-1106.6289989806805</v>
      </c>
      <c r="AH271" s="134">
        <f t="shared" si="27"/>
        <v>-1201.2508564162074</v>
      </c>
      <c r="AI271" s="134">
        <f t="shared" si="27"/>
        <v>-1301.2774599836887</v>
      </c>
      <c r="AJ271" s="134">
        <f t="shared" si="27"/>
        <v>-1404.0512661449166</v>
      </c>
      <c r="AK271" s="134">
        <f t="shared" si="27"/>
        <v>-1506.8250723061446</v>
      </c>
      <c r="AL271" s="134">
        <f t="shared" si="27"/>
        <v>-1609.5988784673727</v>
      </c>
      <c r="AM271" s="134">
        <f t="shared" si="27"/>
        <v>-1712.3726846286008</v>
      </c>
      <c r="AN271" s="134">
        <f t="shared" si="27"/>
        <v>-1815.1464907898289</v>
      </c>
      <c r="AO271" s="134">
        <f t="shared" si="27"/>
        <v>-1917.920296951057</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2" t="s">
        <v>98</v>
      </c>
      <c r="C272" s="135"/>
      <c r="D272" s="134">
        <f t="shared" si="27"/>
        <v>0</v>
      </c>
      <c r="E272" s="134">
        <f t="shared" si="27"/>
        <v>0</v>
      </c>
      <c r="F272" s="134">
        <f t="shared" si="27"/>
        <v>0</v>
      </c>
      <c r="G272" s="134">
        <f t="shared" si="27"/>
        <v>0</v>
      </c>
      <c r="H272" s="134">
        <f t="shared" si="27"/>
        <v>0</v>
      </c>
      <c r="I272" s="134">
        <f t="shared" si="27"/>
        <v>0</v>
      </c>
      <c r="J272" s="134">
        <f t="shared" si="27"/>
        <v>-9.6045548989359357</v>
      </c>
      <c r="K272" s="134">
        <f t="shared" si="27"/>
        <v>-29.409049957594902</v>
      </c>
      <c r="L272" s="134">
        <f t="shared" si="27"/>
        <v>-50.493974593368158</v>
      </c>
      <c r="M272" s="134">
        <f t="shared" si="27"/>
        <v>-73.038646917335754</v>
      </c>
      <c r="N272" s="134">
        <f t="shared" si="27"/>
        <v>-97.222385040577663</v>
      </c>
      <c r="O272" s="134">
        <f t="shared" si="27"/>
        <v>-123.22450707417372</v>
      </c>
      <c r="P272" s="134">
        <f t="shared" si="27"/>
        <v>-151.22433112920402</v>
      </c>
      <c r="Q272" s="134">
        <f t="shared" si="27"/>
        <v>-181.40117531674875</v>
      </c>
      <c r="R272" s="134">
        <f t="shared" si="27"/>
        <v>-213.93435774788776</v>
      </c>
      <c r="S272" s="134">
        <f t="shared" si="27"/>
        <v>-249.00319653370087</v>
      </c>
      <c r="T272" s="134">
        <f t="shared" si="27"/>
        <v>-286.7870097852682</v>
      </c>
      <c r="U272" s="134">
        <f t="shared" si="27"/>
        <v>-327.46511561366998</v>
      </c>
      <c r="V272" s="134">
        <f t="shared" si="27"/>
        <v>-371.21683212998585</v>
      </c>
      <c r="W272" s="134">
        <f t="shared" si="27"/>
        <v>-418.22147744529599</v>
      </c>
      <c r="X272" s="134">
        <f t="shared" si="27"/>
        <v>-468.65836967068054</v>
      </c>
      <c r="Y272" s="134">
        <f t="shared" si="27"/>
        <v>-522.70682691721925</v>
      </c>
      <c r="Z272" s="134">
        <f t="shared" si="27"/>
        <v>-580.54616729599218</v>
      </c>
      <c r="AA272" s="134">
        <f t="shared" si="27"/>
        <v>-642.35570891807947</v>
      </c>
      <c r="AB272" s="134">
        <f t="shared" si="27"/>
        <v>-708.31476989456098</v>
      </c>
      <c r="AC272" s="134">
        <f t="shared" si="27"/>
        <v>-778.60266833651679</v>
      </c>
      <c r="AD272" s="134">
        <f t="shared" si="27"/>
        <v>-853.39872235502617</v>
      </c>
      <c r="AE272" s="134">
        <f t="shared" si="27"/>
        <v>-932.88225006116966</v>
      </c>
      <c r="AF272" s="134">
        <f t="shared" si="27"/>
        <v>-1017.2325695660281</v>
      </c>
      <c r="AG272" s="134">
        <f t="shared" si="27"/>
        <v>-1106.6289989806805</v>
      </c>
      <c r="AH272" s="134">
        <f t="shared" si="27"/>
        <v>-1201.2508564162074</v>
      </c>
      <c r="AI272" s="134">
        <f t="shared" si="27"/>
        <v>-1301.2774599836887</v>
      </c>
      <c r="AJ272" s="134">
        <f t="shared" si="27"/>
        <v>-1404.0512661449166</v>
      </c>
      <c r="AK272" s="134">
        <f t="shared" si="27"/>
        <v>-1506.8250723061446</v>
      </c>
      <c r="AL272" s="134">
        <f t="shared" si="27"/>
        <v>-1609.5988784673727</v>
      </c>
      <c r="AM272" s="134">
        <f t="shared" si="27"/>
        <v>-1712.3726846286008</v>
      </c>
      <c r="AN272" s="134">
        <f t="shared" si="27"/>
        <v>-1815.1464907898289</v>
      </c>
      <c r="AO272" s="134">
        <f t="shared" si="27"/>
        <v>-1917.920296951057</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2" t="s">
        <v>99</v>
      </c>
      <c r="C273" s="135"/>
      <c r="D273" s="134">
        <f t="shared" si="27"/>
        <v>0</v>
      </c>
      <c r="E273" s="134">
        <f t="shared" si="27"/>
        <v>0</v>
      </c>
      <c r="F273" s="134">
        <f t="shared" si="27"/>
        <v>0</v>
      </c>
      <c r="G273" s="134">
        <f t="shared" si="27"/>
        <v>0</v>
      </c>
      <c r="H273" s="134">
        <f t="shared" si="27"/>
        <v>0</v>
      </c>
      <c r="I273" s="134">
        <f t="shared" si="27"/>
        <v>0</v>
      </c>
      <c r="J273" s="134">
        <f t="shared" si="27"/>
        <v>-9.6045548989359357</v>
      </c>
      <c r="K273" s="134">
        <f t="shared" si="27"/>
        <v>-29.409049957594902</v>
      </c>
      <c r="L273" s="134">
        <f t="shared" si="27"/>
        <v>-50.493974593368158</v>
      </c>
      <c r="M273" s="134">
        <f t="shared" si="27"/>
        <v>-73.038646917335754</v>
      </c>
      <c r="N273" s="134">
        <f t="shared" si="27"/>
        <v>-97.222385040577663</v>
      </c>
      <c r="O273" s="134">
        <f t="shared" si="27"/>
        <v>-123.22450707417372</v>
      </c>
      <c r="P273" s="134">
        <f t="shared" si="27"/>
        <v>-151.22433112920402</v>
      </c>
      <c r="Q273" s="134">
        <f t="shared" si="27"/>
        <v>-181.40117531674875</v>
      </c>
      <c r="R273" s="134">
        <f t="shared" si="27"/>
        <v>-213.93435774788776</v>
      </c>
      <c r="S273" s="134">
        <f t="shared" si="27"/>
        <v>-249.00319653370087</v>
      </c>
      <c r="T273" s="134">
        <f t="shared" si="27"/>
        <v>-286.7870097852682</v>
      </c>
      <c r="U273" s="134">
        <f t="shared" si="27"/>
        <v>-327.46511561366998</v>
      </c>
      <c r="V273" s="134">
        <f t="shared" si="27"/>
        <v>-371.21683212998585</v>
      </c>
      <c r="W273" s="134">
        <f t="shared" si="27"/>
        <v>-418.22147744529599</v>
      </c>
      <c r="X273" s="134">
        <f t="shared" si="27"/>
        <v>-468.65836967068054</v>
      </c>
      <c r="Y273" s="134">
        <f t="shared" si="27"/>
        <v>-522.70682691721925</v>
      </c>
      <c r="Z273" s="134">
        <f t="shared" si="27"/>
        <v>-580.54616729599218</v>
      </c>
      <c r="AA273" s="134">
        <f t="shared" si="27"/>
        <v>-642.35570891807947</v>
      </c>
      <c r="AB273" s="134">
        <f t="shared" si="27"/>
        <v>-708.31476989456098</v>
      </c>
      <c r="AC273" s="134">
        <f t="shared" si="27"/>
        <v>-778.60266833651679</v>
      </c>
      <c r="AD273" s="134">
        <f t="shared" si="27"/>
        <v>-853.39872235502617</v>
      </c>
      <c r="AE273" s="134">
        <f t="shared" si="27"/>
        <v>-932.88225006116966</v>
      </c>
      <c r="AF273" s="134">
        <f t="shared" si="27"/>
        <v>-1017.2325695660281</v>
      </c>
      <c r="AG273" s="134">
        <f t="shared" si="27"/>
        <v>-1106.6289989806805</v>
      </c>
      <c r="AH273" s="134">
        <f t="shared" si="27"/>
        <v>-1201.2508564162074</v>
      </c>
      <c r="AI273" s="134">
        <f t="shared" si="27"/>
        <v>-1301.2774599836887</v>
      </c>
      <c r="AJ273" s="134">
        <f t="shared" si="27"/>
        <v>-1404.0512661449166</v>
      </c>
      <c r="AK273" s="134">
        <f t="shared" si="27"/>
        <v>-1506.8250723061446</v>
      </c>
      <c r="AL273" s="134">
        <f t="shared" si="27"/>
        <v>-1609.5988784673727</v>
      </c>
      <c r="AM273" s="134">
        <f t="shared" si="27"/>
        <v>-1712.3726846286008</v>
      </c>
      <c r="AN273" s="134">
        <f t="shared" si="27"/>
        <v>-1815.1464907898289</v>
      </c>
      <c r="AO273" s="134">
        <f t="shared" si="27"/>
        <v>-1917.920296951057</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2" t="s">
        <v>100</v>
      </c>
      <c r="C274" s="135"/>
      <c r="D274" s="134">
        <f t="shared" si="27"/>
        <v>0</v>
      </c>
      <c r="E274" s="134">
        <f t="shared" si="27"/>
        <v>0</v>
      </c>
      <c r="F274" s="134">
        <f t="shared" si="27"/>
        <v>0</v>
      </c>
      <c r="G274" s="134">
        <f t="shared" si="27"/>
        <v>0</v>
      </c>
      <c r="H274" s="134">
        <f t="shared" si="27"/>
        <v>0</v>
      </c>
      <c r="I274" s="134">
        <f t="shared" si="27"/>
        <v>0</v>
      </c>
      <c r="J274" s="134">
        <f t="shared" si="27"/>
        <v>-9.6045548989359357</v>
      </c>
      <c r="K274" s="134">
        <f t="shared" si="27"/>
        <v>-29.409049957594902</v>
      </c>
      <c r="L274" s="134">
        <f t="shared" si="27"/>
        <v>-50.493974593368158</v>
      </c>
      <c r="M274" s="134">
        <f t="shared" si="27"/>
        <v>-73.038646917335754</v>
      </c>
      <c r="N274" s="134">
        <f t="shared" si="27"/>
        <v>-97.222385040577663</v>
      </c>
      <c r="O274" s="134">
        <f t="shared" si="27"/>
        <v>-123.22450707417372</v>
      </c>
      <c r="P274" s="134">
        <f t="shared" si="27"/>
        <v>-151.22433112920402</v>
      </c>
      <c r="Q274" s="134">
        <f t="shared" si="27"/>
        <v>-181.40117531674875</v>
      </c>
      <c r="R274" s="134">
        <f t="shared" si="27"/>
        <v>-213.93435774788776</v>
      </c>
      <c r="S274" s="134">
        <f t="shared" si="27"/>
        <v>-249.00319653370087</v>
      </c>
      <c r="T274" s="134">
        <f t="shared" si="27"/>
        <v>-286.7870097852682</v>
      </c>
      <c r="U274" s="134">
        <f t="shared" si="27"/>
        <v>-327.46511561366998</v>
      </c>
      <c r="V274" s="134">
        <f t="shared" si="27"/>
        <v>-371.21683212998585</v>
      </c>
      <c r="W274" s="134">
        <f t="shared" si="27"/>
        <v>-418.22147744529599</v>
      </c>
      <c r="X274" s="134">
        <f t="shared" si="27"/>
        <v>-468.65836967068054</v>
      </c>
      <c r="Y274" s="134">
        <f t="shared" si="27"/>
        <v>-522.70682691721925</v>
      </c>
      <c r="Z274" s="134">
        <f t="shared" si="27"/>
        <v>-580.54616729599218</v>
      </c>
      <c r="AA274" s="134">
        <f t="shared" si="27"/>
        <v>-642.35570891807947</v>
      </c>
      <c r="AB274" s="134">
        <f t="shared" si="27"/>
        <v>-708.31476989456098</v>
      </c>
      <c r="AC274" s="134">
        <f t="shared" si="27"/>
        <v>-778.60266833651679</v>
      </c>
      <c r="AD274" s="134">
        <f t="shared" si="27"/>
        <v>-853.39872235502617</v>
      </c>
      <c r="AE274" s="134">
        <f t="shared" si="27"/>
        <v>-932.88225006116966</v>
      </c>
      <c r="AF274" s="134">
        <f t="shared" si="27"/>
        <v>-1017.2325695660281</v>
      </c>
      <c r="AG274" s="134">
        <f t="shared" si="27"/>
        <v>-1106.6289989806805</v>
      </c>
      <c r="AH274" s="134">
        <f t="shared" si="27"/>
        <v>-1201.2508564162074</v>
      </c>
      <c r="AI274" s="134">
        <f t="shared" si="27"/>
        <v>-1301.2774599836887</v>
      </c>
      <c r="AJ274" s="134">
        <f t="shared" si="27"/>
        <v>-1404.0512661449166</v>
      </c>
      <c r="AK274" s="134">
        <f t="shared" si="27"/>
        <v>-1506.8250723061446</v>
      </c>
      <c r="AL274" s="134">
        <f t="shared" si="27"/>
        <v>-1609.5988784673727</v>
      </c>
      <c r="AM274" s="134">
        <f t="shared" si="27"/>
        <v>-1712.3726846286008</v>
      </c>
      <c r="AN274" s="134">
        <f t="shared" si="27"/>
        <v>-1815.1464907898289</v>
      </c>
      <c r="AO274" s="134">
        <f t="shared" si="27"/>
        <v>-1917.920296951057</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2" t="s">
        <v>101</v>
      </c>
      <c r="C275" s="135"/>
      <c r="D275" s="134">
        <f t="shared" si="27"/>
        <v>9.6045548989359357</v>
      </c>
      <c r="E275" s="134">
        <f t="shared" si="27"/>
        <v>9.6045548989359357</v>
      </c>
      <c r="F275" s="134">
        <f t="shared" si="27"/>
        <v>9.6045548989359357</v>
      </c>
      <c r="G275" s="134">
        <f t="shared" si="27"/>
        <v>9.6045548989359357</v>
      </c>
      <c r="H275" s="134">
        <f t="shared" si="27"/>
        <v>9.6045548989359357</v>
      </c>
      <c r="I275" s="134">
        <f t="shared" si="27"/>
        <v>9.6045548989359357</v>
      </c>
      <c r="J275" s="134">
        <f t="shared" si="27"/>
        <v>0</v>
      </c>
      <c r="K275" s="134">
        <f t="shared" si="27"/>
        <v>-19.804495058658965</v>
      </c>
      <c r="L275" s="134">
        <f t="shared" si="27"/>
        <v>-40.88941969443222</v>
      </c>
      <c r="M275" s="134">
        <f t="shared" si="27"/>
        <v>-63.434092018399809</v>
      </c>
      <c r="N275" s="134">
        <f t="shared" si="27"/>
        <v>-87.617830141641718</v>
      </c>
      <c r="O275" s="134">
        <f t="shared" si="27"/>
        <v>-113.61995217523778</v>
      </c>
      <c r="P275" s="134">
        <f t="shared" si="27"/>
        <v>-141.61977623026809</v>
      </c>
      <c r="Q275" s="134">
        <f t="shared" si="27"/>
        <v>-171.79662041781282</v>
      </c>
      <c r="R275" s="134">
        <f t="shared" si="27"/>
        <v>-204.32980284895183</v>
      </c>
      <c r="S275" s="134">
        <f t="shared" si="27"/>
        <v>-239.39864163476494</v>
      </c>
      <c r="T275" s="134">
        <f t="shared" si="27"/>
        <v>-277.18245488633227</v>
      </c>
      <c r="U275" s="134">
        <f t="shared" si="27"/>
        <v>-317.86056071473405</v>
      </c>
      <c r="V275" s="134">
        <f t="shared" si="27"/>
        <v>-361.61227723104992</v>
      </c>
      <c r="W275" s="134">
        <f t="shared" si="27"/>
        <v>-408.61692254636006</v>
      </c>
      <c r="X275" s="134">
        <f t="shared" si="27"/>
        <v>-459.05381477174461</v>
      </c>
      <c r="Y275" s="134">
        <f t="shared" si="27"/>
        <v>-513.10227201828332</v>
      </c>
      <c r="Z275" s="134">
        <f t="shared" si="27"/>
        <v>-570.94161239705625</v>
      </c>
      <c r="AA275" s="134">
        <f t="shared" si="27"/>
        <v>-632.75115401914354</v>
      </c>
      <c r="AB275" s="134">
        <f t="shared" si="27"/>
        <v>-698.71021499562505</v>
      </c>
      <c r="AC275" s="134">
        <f t="shared" si="27"/>
        <v>-768.99811343758086</v>
      </c>
      <c r="AD275" s="134">
        <f t="shared" si="27"/>
        <v>-843.79416745609024</v>
      </c>
      <c r="AE275" s="134">
        <f t="shared" si="27"/>
        <v>-923.27769516223373</v>
      </c>
      <c r="AF275" s="134">
        <f t="shared" si="27"/>
        <v>-1007.6280146670922</v>
      </c>
      <c r="AG275" s="134">
        <f t="shared" si="27"/>
        <v>-1097.0244440817446</v>
      </c>
      <c r="AH275" s="134">
        <f t="shared" si="27"/>
        <v>-1191.6463015172715</v>
      </c>
      <c r="AI275" s="134">
        <f t="shared" si="27"/>
        <v>-1291.6729050847528</v>
      </c>
      <c r="AJ275" s="134">
        <f t="shared" si="27"/>
        <v>-1394.4467112459806</v>
      </c>
      <c r="AK275" s="134">
        <f t="shared" si="27"/>
        <v>-1497.2205174072087</v>
      </c>
      <c r="AL275" s="134">
        <f t="shared" si="27"/>
        <v>-1599.9943235684368</v>
      </c>
      <c r="AM275" s="134">
        <f t="shared" si="27"/>
        <v>-1702.7681297296649</v>
      </c>
      <c r="AN275" s="134">
        <f t="shared" si="27"/>
        <v>-1805.541935890893</v>
      </c>
      <c r="AO275" s="134">
        <f t="shared" si="27"/>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2" t="s">
        <v>102</v>
      </c>
      <c r="C276" s="135"/>
      <c r="D276" s="134">
        <f t="shared" si="27"/>
        <v>29.409049957594902</v>
      </c>
      <c r="E276" s="134">
        <f t="shared" si="27"/>
        <v>29.409049957594902</v>
      </c>
      <c r="F276" s="134">
        <f t="shared" si="27"/>
        <v>29.409049957594902</v>
      </c>
      <c r="G276" s="134">
        <f t="shared" si="27"/>
        <v>29.409049957594902</v>
      </c>
      <c r="H276" s="134">
        <f t="shared" si="27"/>
        <v>29.409049957594902</v>
      </c>
      <c r="I276" s="134">
        <f t="shared" si="27"/>
        <v>29.409049957594902</v>
      </c>
      <c r="J276" s="134">
        <f t="shared" si="27"/>
        <v>19.804495058658965</v>
      </c>
      <c r="K276" s="134">
        <f t="shared" si="27"/>
        <v>0</v>
      </c>
      <c r="L276" s="134">
        <f t="shared" si="27"/>
        <v>-21.084924635773255</v>
      </c>
      <c r="M276" s="134">
        <f t="shared" si="27"/>
        <v>-43.629596959740852</v>
      </c>
      <c r="N276" s="134">
        <f t="shared" si="27"/>
        <v>-67.813335082982761</v>
      </c>
      <c r="O276" s="134">
        <f t="shared" si="27"/>
        <v>-93.815457116578813</v>
      </c>
      <c r="P276" s="134">
        <f t="shared" si="27"/>
        <v>-121.81528117160912</v>
      </c>
      <c r="Q276" s="134">
        <f t="shared" si="27"/>
        <v>-151.99212535915385</v>
      </c>
      <c r="R276" s="134">
        <f t="shared" si="27"/>
        <v>-184.52530779029286</v>
      </c>
      <c r="S276" s="134">
        <f t="shared" si="27"/>
        <v>-219.59414657610597</v>
      </c>
      <c r="T276" s="134">
        <f t="shared" si="27"/>
        <v>-257.37795982767329</v>
      </c>
      <c r="U276" s="134">
        <f t="shared" si="27"/>
        <v>-298.05606565607508</v>
      </c>
      <c r="V276" s="134">
        <f t="shared" si="27"/>
        <v>-341.80778217239094</v>
      </c>
      <c r="W276" s="134">
        <f t="shared" si="27"/>
        <v>-388.81242748770109</v>
      </c>
      <c r="X276" s="134">
        <f t="shared" si="27"/>
        <v>-439.24931971308564</v>
      </c>
      <c r="Y276" s="134">
        <f t="shared" si="27"/>
        <v>-493.29777695962434</v>
      </c>
      <c r="Z276" s="134">
        <f t="shared" si="27"/>
        <v>-551.13711733839727</v>
      </c>
      <c r="AA276" s="134">
        <f t="shared" si="27"/>
        <v>-612.94665896048457</v>
      </c>
      <c r="AB276" s="134">
        <f t="shared" si="27"/>
        <v>-678.90571993696608</v>
      </c>
      <c r="AC276" s="134">
        <f t="shared" si="27"/>
        <v>-749.19361837892188</v>
      </c>
      <c r="AD276" s="134">
        <f t="shared" si="27"/>
        <v>-823.98967239743115</v>
      </c>
      <c r="AE276" s="134">
        <f t="shared" ref="AE276:AO276" si="29">IF(AE$267=$B276,0,IF(AE$267&gt;$B276,-0.5*AE$265-0.5*AD$265+AD276,0.5*HLOOKUP($B276,$D$264:$AO$265,2,FALSE)+0.5*HLOOKUP($B275,$D$264:$AO$265,2,FALSE)+AE275))</f>
        <v>-903.47320010357464</v>
      </c>
      <c r="AF276" s="134">
        <f t="shared" si="29"/>
        <v>-987.82351960843312</v>
      </c>
      <c r="AG276" s="134">
        <f t="shared" si="29"/>
        <v>-1077.2199490230855</v>
      </c>
      <c r="AH276" s="134">
        <f t="shared" si="29"/>
        <v>-1171.8418064586124</v>
      </c>
      <c r="AI276" s="134">
        <f t="shared" si="29"/>
        <v>-1271.8684100260937</v>
      </c>
      <c r="AJ276" s="134">
        <f t="shared" si="29"/>
        <v>-1374.6422161873215</v>
      </c>
      <c r="AK276" s="134">
        <f t="shared" si="29"/>
        <v>-1477.4160223485496</v>
      </c>
      <c r="AL276" s="134">
        <f t="shared" si="29"/>
        <v>-1580.1898285097777</v>
      </c>
      <c r="AM276" s="134">
        <f t="shared" si="29"/>
        <v>-1682.9636346710058</v>
      </c>
      <c r="AN276" s="134">
        <f t="shared" si="29"/>
        <v>-1785.7374408322339</v>
      </c>
      <c r="AO276" s="134">
        <f t="shared" si="29"/>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2"/>
      <c r="B277" s="112" t="s">
        <v>103</v>
      </c>
      <c r="C277" s="135"/>
      <c r="D277" s="134">
        <f t="shared" ref="D277:AO283" si="30">IF(D$267=$B277,0,IF(D$267&gt;$B277,-0.5*D$265-0.5*C$265+C277,0.5*HLOOKUP($B277,$D$264:$AO$265,2,FALSE)+0.5*HLOOKUP($B276,$D$264:$AO$265,2,FALSE)+D276))</f>
        <v>50.493974593368158</v>
      </c>
      <c r="E277" s="134">
        <f t="shared" si="30"/>
        <v>50.493974593368158</v>
      </c>
      <c r="F277" s="134">
        <f t="shared" si="30"/>
        <v>50.493974593368158</v>
      </c>
      <c r="G277" s="134">
        <f t="shared" si="30"/>
        <v>50.493974593368158</v>
      </c>
      <c r="H277" s="134">
        <f t="shared" si="30"/>
        <v>50.493974593368158</v>
      </c>
      <c r="I277" s="134">
        <f t="shared" si="30"/>
        <v>50.493974593368158</v>
      </c>
      <c r="J277" s="134">
        <f t="shared" si="30"/>
        <v>40.88941969443222</v>
      </c>
      <c r="K277" s="134">
        <f t="shared" si="30"/>
        <v>21.084924635773255</v>
      </c>
      <c r="L277" s="134">
        <f t="shared" si="30"/>
        <v>0</v>
      </c>
      <c r="M277" s="134">
        <f t="shared" si="30"/>
        <v>-22.544672323967593</v>
      </c>
      <c r="N277" s="134">
        <f t="shared" si="30"/>
        <v>-46.728410447209505</v>
      </c>
      <c r="O277" s="134">
        <f t="shared" si="30"/>
        <v>-72.730532480805564</v>
      </c>
      <c r="P277" s="134">
        <f t="shared" si="30"/>
        <v>-100.73035653583587</v>
      </c>
      <c r="Q277" s="134">
        <f t="shared" si="30"/>
        <v>-130.90720072338058</v>
      </c>
      <c r="R277" s="134">
        <f t="shared" si="30"/>
        <v>-163.44038315451957</v>
      </c>
      <c r="S277" s="134">
        <f t="shared" si="30"/>
        <v>-198.50922194033268</v>
      </c>
      <c r="T277" s="134">
        <f t="shared" si="30"/>
        <v>-236.29303519190003</v>
      </c>
      <c r="U277" s="134">
        <f t="shared" si="30"/>
        <v>-276.97114102030184</v>
      </c>
      <c r="V277" s="134">
        <f t="shared" si="30"/>
        <v>-320.72285753661771</v>
      </c>
      <c r="W277" s="134">
        <f t="shared" si="30"/>
        <v>-367.72750285192785</v>
      </c>
      <c r="X277" s="134">
        <f t="shared" si="30"/>
        <v>-418.16439507731241</v>
      </c>
      <c r="Y277" s="134">
        <f t="shared" si="30"/>
        <v>-472.21285232385111</v>
      </c>
      <c r="Z277" s="134">
        <f t="shared" si="30"/>
        <v>-530.0521927026241</v>
      </c>
      <c r="AA277" s="134">
        <f t="shared" si="30"/>
        <v>-591.86173432471139</v>
      </c>
      <c r="AB277" s="134">
        <f t="shared" si="30"/>
        <v>-657.8207953011929</v>
      </c>
      <c r="AC277" s="134">
        <f t="shared" si="30"/>
        <v>-728.10869374314871</v>
      </c>
      <c r="AD277" s="134">
        <f t="shared" si="30"/>
        <v>-802.90474776165797</v>
      </c>
      <c r="AE277" s="134">
        <f t="shared" si="30"/>
        <v>-882.38827546780146</v>
      </c>
      <c r="AF277" s="134">
        <f t="shared" si="30"/>
        <v>-966.73859497265994</v>
      </c>
      <c r="AG277" s="134">
        <f t="shared" si="30"/>
        <v>-1056.1350243873126</v>
      </c>
      <c r="AH277" s="134">
        <f t="shared" si="30"/>
        <v>-1150.7568818228394</v>
      </c>
      <c r="AI277" s="134">
        <f t="shared" si="30"/>
        <v>-1250.7834853903207</v>
      </c>
      <c r="AJ277" s="134">
        <f t="shared" si="30"/>
        <v>-1353.5572915515486</v>
      </c>
      <c r="AK277" s="134">
        <f t="shared" si="30"/>
        <v>-1456.3310977127767</v>
      </c>
      <c r="AL277" s="134">
        <f t="shared" si="30"/>
        <v>-1559.1049038740048</v>
      </c>
      <c r="AM277" s="134">
        <f t="shared" si="30"/>
        <v>-1661.8787100352329</v>
      </c>
      <c r="AN277" s="134">
        <f t="shared" si="30"/>
        <v>-1764.652516196461</v>
      </c>
      <c r="AO277" s="134">
        <f t="shared" si="30"/>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5">
      <c r="A278" s="102"/>
      <c r="B278" s="112" t="s">
        <v>104</v>
      </c>
      <c r="C278" s="135"/>
      <c r="D278" s="134">
        <f t="shared" si="30"/>
        <v>73.038646917335754</v>
      </c>
      <c r="E278" s="134">
        <f t="shared" si="30"/>
        <v>73.038646917335754</v>
      </c>
      <c r="F278" s="134">
        <f t="shared" si="30"/>
        <v>73.038646917335754</v>
      </c>
      <c r="G278" s="134">
        <f t="shared" si="30"/>
        <v>73.038646917335754</v>
      </c>
      <c r="H278" s="134">
        <f t="shared" si="30"/>
        <v>73.038646917335754</v>
      </c>
      <c r="I278" s="134">
        <f t="shared" si="30"/>
        <v>73.038646917335754</v>
      </c>
      <c r="J278" s="134">
        <f t="shared" si="30"/>
        <v>63.434092018399809</v>
      </c>
      <c r="K278" s="134">
        <f t="shared" si="30"/>
        <v>43.629596959740852</v>
      </c>
      <c r="L278" s="134">
        <f t="shared" si="30"/>
        <v>22.544672323967593</v>
      </c>
      <c r="M278" s="134">
        <f t="shared" si="30"/>
        <v>0</v>
      </c>
      <c r="N278" s="134">
        <f t="shared" si="30"/>
        <v>-24.183738123241913</v>
      </c>
      <c r="O278" s="134">
        <f t="shared" si="30"/>
        <v>-50.185860156837975</v>
      </c>
      <c r="P278" s="134">
        <f t="shared" si="30"/>
        <v>-78.185684211868278</v>
      </c>
      <c r="Q278" s="134">
        <f t="shared" si="30"/>
        <v>-108.36252839941301</v>
      </c>
      <c r="R278" s="134">
        <f t="shared" si="30"/>
        <v>-140.89571083055199</v>
      </c>
      <c r="S278" s="134">
        <f t="shared" si="30"/>
        <v>-175.9645496163651</v>
      </c>
      <c r="T278" s="134">
        <f t="shared" si="30"/>
        <v>-213.74836286793246</v>
      </c>
      <c r="U278" s="134">
        <f t="shared" si="30"/>
        <v>-254.42646869633424</v>
      </c>
      <c r="V278" s="134">
        <f t="shared" si="30"/>
        <v>-298.17818521265013</v>
      </c>
      <c r="W278" s="134">
        <f t="shared" si="30"/>
        <v>-345.18283052796028</v>
      </c>
      <c r="X278" s="134">
        <f t="shared" si="30"/>
        <v>-395.61972275334483</v>
      </c>
      <c r="Y278" s="134">
        <f t="shared" si="30"/>
        <v>-449.66817999988353</v>
      </c>
      <c r="Z278" s="134">
        <f t="shared" si="30"/>
        <v>-507.50752037865647</v>
      </c>
      <c r="AA278" s="134">
        <f t="shared" si="30"/>
        <v>-569.3170620007437</v>
      </c>
      <c r="AB278" s="134">
        <f t="shared" si="30"/>
        <v>-635.27612297722521</v>
      </c>
      <c r="AC278" s="134">
        <f t="shared" si="30"/>
        <v>-705.56402141918102</v>
      </c>
      <c r="AD278" s="134">
        <f t="shared" si="30"/>
        <v>-780.36007543769028</v>
      </c>
      <c r="AE278" s="134">
        <f t="shared" si="30"/>
        <v>-859.84360314383377</v>
      </c>
      <c r="AF278" s="134">
        <f t="shared" si="30"/>
        <v>-944.19392264869225</v>
      </c>
      <c r="AG278" s="134">
        <f t="shared" si="30"/>
        <v>-1033.5903520633447</v>
      </c>
      <c r="AH278" s="134">
        <f t="shared" si="30"/>
        <v>-1128.2122094988715</v>
      </c>
      <c r="AI278" s="134">
        <f t="shared" si="30"/>
        <v>-1228.2388130663528</v>
      </c>
      <c r="AJ278" s="134">
        <f t="shared" si="30"/>
        <v>-1331.0126192275807</v>
      </c>
      <c r="AK278" s="134">
        <f t="shared" si="30"/>
        <v>-1433.7864253888088</v>
      </c>
      <c r="AL278" s="134">
        <f t="shared" si="30"/>
        <v>-1536.5602315500369</v>
      </c>
      <c r="AM278" s="134">
        <f t="shared" si="30"/>
        <v>-1639.334037711265</v>
      </c>
      <c r="AN278" s="134">
        <f t="shared" si="30"/>
        <v>-1742.107843872493</v>
      </c>
      <c r="AO278" s="134">
        <f t="shared" si="30"/>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5">
      <c r="A279" s="102"/>
      <c r="B279" s="112" t="s">
        <v>105</v>
      </c>
      <c r="C279" s="135"/>
      <c r="D279" s="134">
        <f t="shared" si="30"/>
        <v>97.222385040577663</v>
      </c>
      <c r="E279" s="134">
        <f t="shared" si="30"/>
        <v>97.222385040577663</v>
      </c>
      <c r="F279" s="134">
        <f t="shared" si="30"/>
        <v>97.222385040577663</v>
      </c>
      <c r="G279" s="134">
        <f t="shared" si="30"/>
        <v>97.222385040577663</v>
      </c>
      <c r="H279" s="134">
        <f t="shared" si="30"/>
        <v>97.222385040577663</v>
      </c>
      <c r="I279" s="134">
        <f t="shared" si="30"/>
        <v>97.222385040577663</v>
      </c>
      <c r="J279" s="134">
        <f t="shared" si="30"/>
        <v>87.617830141641718</v>
      </c>
      <c r="K279" s="134">
        <f t="shared" si="30"/>
        <v>67.813335082982761</v>
      </c>
      <c r="L279" s="134">
        <f t="shared" si="30"/>
        <v>46.728410447209505</v>
      </c>
      <c r="M279" s="134">
        <f t="shared" si="30"/>
        <v>24.183738123241913</v>
      </c>
      <c r="N279" s="134">
        <f t="shared" si="30"/>
        <v>0</v>
      </c>
      <c r="O279" s="134">
        <f t="shared" si="30"/>
        <v>-26.002122033596059</v>
      </c>
      <c r="P279" s="134">
        <f t="shared" si="30"/>
        <v>-54.001946088626362</v>
      </c>
      <c r="Q279" s="134">
        <f t="shared" si="30"/>
        <v>-84.178790276171085</v>
      </c>
      <c r="R279" s="134">
        <f t="shared" si="30"/>
        <v>-116.71197270731008</v>
      </c>
      <c r="S279" s="134">
        <f t="shared" si="30"/>
        <v>-151.7808114931232</v>
      </c>
      <c r="T279" s="134">
        <f t="shared" si="30"/>
        <v>-189.56462474469055</v>
      </c>
      <c r="U279" s="134">
        <f t="shared" si="30"/>
        <v>-230.24273057309233</v>
      </c>
      <c r="V279" s="134">
        <f t="shared" si="30"/>
        <v>-273.9944470894082</v>
      </c>
      <c r="W279" s="134">
        <f t="shared" si="30"/>
        <v>-320.99909240471834</v>
      </c>
      <c r="X279" s="134">
        <f t="shared" si="30"/>
        <v>-371.43598463010289</v>
      </c>
      <c r="Y279" s="134">
        <f t="shared" si="30"/>
        <v>-425.4844418766416</v>
      </c>
      <c r="Z279" s="134">
        <f t="shared" si="30"/>
        <v>-483.32378225541453</v>
      </c>
      <c r="AA279" s="134">
        <f t="shared" si="30"/>
        <v>-545.13332387750177</v>
      </c>
      <c r="AB279" s="134">
        <f t="shared" si="30"/>
        <v>-611.09238485398328</v>
      </c>
      <c r="AC279" s="134">
        <f t="shared" si="30"/>
        <v>-681.38028329593908</v>
      </c>
      <c r="AD279" s="134">
        <f t="shared" si="30"/>
        <v>-756.17633731444835</v>
      </c>
      <c r="AE279" s="134">
        <f t="shared" si="30"/>
        <v>-835.65986502059184</v>
      </c>
      <c r="AF279" s="134">
        <f t="shared" si="30"/>
        <v>-920.01018452545031</v>
      </c>
      <c r="AG279" s="134">
        <f t="shared" si="30"/>
        <v>-1009.4066139401028</v>
      </c>
      <c r="AH279" s="134">
        <f t="shared" si="30"/>
        <v>-1104.0284713756298</v>
      </c>
      <c r="AI279" s="134">
        <f t="shared" si="30"/>
        <v>-1204.0550749431111</v>
      </c>
      <c r="AJ279" s="134">
        <f t="shared" si="30"/>
        <v>-1306.828881104339</v>
      </c>
      <c r="AK279" s="134">
        <f t="shared" si="30"/>
        <v>-1409.6026872655671</v>
      </c>
      <c r="AL279" s="134">
        <f t="shared" si="30"/>
        <v>-1512.3764934267952</v>
      </c>
      <c r="AM279" s="134">
        <f t="shared" si="30"/>
        <v>-1615.1502995880232</v>
      </c>
      <c r="AN279" s="134">
        <f t="shared" si="30"/>
        <v>-1717.9241057492513</v>
      </c>
      <c r="AO279" s="134">
        <f t="shared" si="30"/>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5">
      <c r="A280" s="102"/>
      <c r="B280" s="112" t="s">
        <v>106</v>
      </c>
      <c r="C280" s="135"/>
      <c r="D280" s="134">
        <f t="shared" si="30"/>
        <v>123.22450707417372</v>
      </c>
      <c r="E280" s="134">
        <f t="shared" si="30"/>
        <v>123.22450707417372</v>
      </c>
      <c r="F280" s="134">
        <f t="shared" si="30"/>
        <v>123.22450707417372</v>
      </c>
      <c r="G280" s="134">
        <f t="shared" si="30"/>
        <v>123.22450707417372</v>
      </c>
      <c r="H280" s="134">
        <f t="shared" si="30"/>
        <v>123.22450707417372</v>
      </c>
      <c r="I280" s="134">
        <f t="shared" si="30"/>
        <v>123.22450707417372</v>
      </c>
      <c r="J280" s="134">
        <f t="shared" si="30"/>
        <v>113.61995217523778</v>
      </c>
      <c r="K280" s="134">
        <f t="shared" si="30"/>
        <v>93.815457116578813</v>
      </c>
      <c r="L280" s="134">
        <f t="shared" si="30"/>
        <v>72.730532480805564</v>
      </c>
      <c r="M280" s="134">
        <f t="shared" si="30"/>
        <v>50.185860156837975</v>
      </c>
      <c r="N280" s="134">
        <f t="shared" si="30"/>
        <v>26.002122033596059</v>
      </c>
      <c r="O280" s="134">
        <f t="shared" si="30"/>
        <v>0</v>
      </c>
      <c r="P280" s="134">
        <f t="shared" si="30"/>
        <v>-27.999824055030302</v>
      </c>
      <c r="Q280" s="134">
        <f t="shared" si="30"/>
        <v>-58.176668242575033</v>
      </c>
      <c r="R280" s="134">
        <f t="shared" si="30"/>
        <v>-90.70985067371403</v>
      </c>
      <c r="S280" s="134">
        <f t="shared" si="30"/>
        <v>-125.77868945952714</v>
      </c>
      <c r="T280" s="134">
        <f t="shared" si="30"/>
        <v>-163.56250271109451</v>
      </c>
      <c r="U280" s="134">
        <f t="shared" si="30"/>
        <v>-204.24060853949629</v>
      </c>
      <c r="V280" s="134">
        <f t="shared" si="30"/>
        <v>-247.99232505581216</v>
      </c>
      <c r="W280" s="134">
        <f t="shared" si="30"/>
        <v>-294.9969703711223</v>
      </c>
      <c r="X280" s="134">
        <f t="shared" si="30"/>
        <v>-345.43386259650686</v>
      </c>
      <c r="Y280" s="134">
        <f t="shared" si="30"/>
        <v>-399.48231984304556</v>
      </c>
      <c r="Z280" s="134">
        <f t="shared" si="30"/>
        <v>-457.32166022181849</v>
      </c>
      <c r="AA280" s="134">
        <f t="shared" si="30"/>
        <v>-519.13120184390573</v>
      </c>
      <c r="AB280" s="134">
        <f t="shared" si="30"/>
        <v>-585.09026282038724</v>
      </c>
      <c r="AC280" s="134">
        <f t="shared" si="30"/>
        <v>-655.37816126234304</v>
      </c>
      <c r="AD280" s="134">
        <f t="shared" si="30"/>
        <v>-730.17421528085242</v>
      </c>
      <c r="AE280" s="134">
        <f t="shared" si="30"/>
        <v>-809.65774298699591</v>
      </c>
      <c r="AF280" s="134">
        <f t="shared" si="30"/>
        <v>-894.00806249185439</v>
      </c>
      <c r="AG280" s="134">
        <f t="shared" si="30"/>
        <v>-983.40449190650691</v>
      </c>
      <c r="AH280" s="134">
        <f t="shared" si="30"/>
        <v>-1078.0263493420339</v>
      </c>
      <c r="AI280" s="134">
        <f t="shared" si="30"/>
        <v>-1178.0529529095152</v>
      </c>
      <c r="AJ280" s="134">
        <f t="shared" si="30"/>
        <v>-1280.8267590707433</v>
      </c>
      <c r="AK280" s="134">
        <f t="shared" si="30"/>
        <v>-1383.6005652319714</v>
      </c>
      <c r="AL280" s="134">
        <f t="shared" si="30"/>
        <v>-1486.3743713931995</v>
      </c>
      <c r="AM280" s="134">
        <f t="shared" si="30"/>
        <v>-1589.1481775544275</v>
      </c>
      <c r="AN280" s="134">
        <f t="shared" si="30"/>
        <v>-1691.9219837156556</v>
      </c>
      <c r="AO280" s="134">
        <f t="shared" si="30"/>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5">
      <c r="A281" s="102"/>
      <c r="B281" s="112" t="s">
        <v>107</v>
      </c>
      <c r="C281" s="135"/>
      <c r="D281" s="134">
        <f t="shared" si="30"/>
        <v>151.22433112920402</v>
      </c>
      <c r="E281" s="134">
        <f t="shared" si="30"/>
        <v>151.22433112920402</v>
      </c>
      <c r="F281" s="134">
        <f t="shared" si="30"/>
        <v>151.22433112920402</v>
      </c>
      <c r="G281" s="134">
        <f t="shared" si="30"/>
        <v>151.22433112920402</v>
      </c>
      <c r="H281" s="134">
        <f t="shared" si="30"/>
        <v>151.22433112920402</v>
      </c>
      <c r="I281" s="134">
        <f t="shared" si="30"/>
        <v>151.22433112920402</v>
      </c>
      <c r="J281" s="134">
        <f t="shared" si="30"/>
        <v>141.61977623026809</v>
      </c>
      <c r="K281" s="134">
        <f t="shared" si="30"/>
        <v>121.81528117160912</v>
      </c>
      <c r="L281" s="134">
        <f t="shared" si="30"/>
        <v>100.73035653583587</v>
      </c>
      <c r="M281" s="134">
        <f t="shared" si="30"/>
        <v>78.185684211868278</v>
      </c>
      <c r="N281" s="134">
        <f t="shared" si="30"/>
        <v>54.001946088626362</v>
      </c>
      <c r="O281" s="134">
        <f t="shared" si="30"/>
        <v>27.999824055030302</v>
      </c>
      <c r="P281" s="134">
        <f t="shared" si="30"/>
        <v>0</v>
      </c>
      <c r="Q281" s="134">
        <f t="shared" si="30"/>
        <v>-30.176844187544727</v>
      </c>
      <c r="R281" s="134">
        <f t="shared" si="30"/>
        <v>-62.710026618683727</v>
      </c>
      <c r="S281" s="134">
        <f t="shared" si="30"/>
        <v>-97.778865404496841</v>
      </c>
      <c r="T281" s="134">
        <f t="shared" si="30"/>
        <v>-135.56267865606418</v>
      </c>
      <c r="U281" s="134">
        <f t="shared" si="30"/>
        <v>-176.24078448446596</v>
      </c>
      <c r="V281" s="134">
        <f t="shared" si="30"/>
        <v>-219.99250100078183</v>
      </c>
      <c r="W281" s="134">
        <f t="shared" si="30"/>
        <v>-266.99714631609197</v>
      </c>
      <c r="X281" s="134">
        <f t="shared" si="30"/>
        <v>-317.43403854147653</v>
      </c>
      <c r="Y281" s="134">
        <f t="shared" si="30"/>
        <v>-371.48249578801523</v>
      </c>
      <c r="Z281" s="134">
        <f t="shared" si="30"/>
        <v>-429.32183616678816</v>
      </c>
      <c r="AA281" s="134">
        <f t="shared" si="30"/>
        <v>-491.1313777888754</v>
      </c>
      <c r="AB281" s="134">
        <f t="shared" si="30"/>
        <v>-557.09043876535691</v>
      </c>
      <c r="AC281" s="134">
        <f t="shared" si="30"/>
        <v>-627.37833720731271</v>
      </c>
      <c r="AD281" s="134">
        <f t="shared" si="30"/>
        <v>-702.17439122582209</v>
      </c>
      <c r="AE281" s="134">
        <f t="shared" si="30"/>
        <v>-781.65791893196558</v>
      </c>
      <c r="AF281" s="134">
        <f t="shared" si="30"/>
        <v>-866.00823843682406</v>
      </c>
      <c r="AG281" s="134">
        <f t="shared" si="30"/>
        <v>-955.40466785147657</v>
      </c>
      <c r="AH281" s="134">
        <f t="shared" si="30"/>
        <v>-1050.0265252870036</v>
      </c>
      <c r="AI281" s="134">
        <f t="shared" si="30"/>
        <v>-1150.0531288544848</v>
      </c>
      <c r="AJ281" s="134">
        <f t="shared" si="30"/>
        <v>-1252.8269350157129</v>
      </c>
      <c r="AK281" s="134">
        <f t="shared" si="30"/>
        <v>-1355.600741176941</v>
      </c>
      <c r="AL281" s="134">
        <f t="shared" si="30"/>
        <v>-1458.3745473381691</v>
      </c>
      <c r="AM281" s="134">
        <f t="shared" si="30"/>
        <v>-1561.1483534993972</v>
      </c>
      <c r="AN281" s="134">
        <f t="shared" si="30"/>
        <v>-1663.9221596606253</v>
      </c>
      <c r="AO281" s="134">
        <f t="shared" si="30"/>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5">
      <c r="A282" s="102"/>
      <c r="B282" s="112" t="s">
        <v>108</v>
      </c>
      <c r="C282" s="135"/>
      <c r="D282" s="134">
        <f t="shared" si="30"/>
        <v>181.40117531674875</v>
      </c>
      <c r="E282" s="134">
        <f t="shared" si="30"/>
        <v>181.40117531674875</v>
      </c>
      <c r="F282" s="134">
        <f t="shared" si="30"/>
        <v>181.40117531674875</v>
      </c>
      <c r="G282" s="134">
        <f t="shared" si="30"/>
        <v>181.40117531674875</v>
      </c>
      <c r="H282" s="134">
        <f t="shared" si="30"/>
        <v>181.40117531674875</v>
      </c>
      <c r="I282" s="134">
        <f t="shared" si="30"/>
        <v>181.40117531674875</v>
      </c>
      <c r="J282" s="134">
        <f t="shared" si="30"/>
        <v>171.79662041781282</v>
      </c>
      <c r="K282" s="134">
        <f t="shared" si="30"/>
        <v>151.99212535915385</v>
      </c>
      <c r="L282" s="134">
        <f t="shared" si="30"/>
        <v>130.90720072338058</v>
      </c>
      <c r="M282" s="134">
        <f t="shared" si="30"/>
        <v>108.36252839941301</v>
      </c>
      <c r="N282" s="134">
        <f t="shared" si="30"/>
        <v>84.178790276171085</v>
      </c>
      <c r="O282" s="134">
        <f t="shared" si="30"/>
        <v>58.176668242575033</v>
      </c>
      <c r="P282" s="134">
        <f t="shared" si="30"/>
        <v>30.176844187544727</v>
      </c>
      <c r="Q282" s="134">
        <f t="shared" si="30"/>
        <v>0</v>
      </c>
      <c r="R282" s="134">
        <f t="shared" si="30"/>
        <v>-32.533182431138997</v>
      </c>
      <c r="S282" s="134">
        <f t="shared" si="30"/>
        <v>-67.60202121695211</v>
      </c>
      <c r="T282" s="134">
        <f t="shared" si="30"/>
        <v>-105.38583446851946</v>
      </c>
      <c r="U282" s="134">
        <f t="shared" si="30"/>
        <v>-146.06394029692126</v>
      </c>
      <c r="V282" s="134">
        <f t="shared" si="30"/>
        <v>-189.81565681323713</v>
      </c>
      <c r="W282" s="134">
        <f t="shared" si="30"/>
        <v>-236.82030212854727</v>
      </c>
      <c r="X282" s="134">
        <f t="shared" si="30"/>
        <v>-287.25719435393182</v>
      </c>
      <c r="Y282" s="134">
        <f t="shared" si="30"/>
        <v>-341.30565160047053</v>
      </c>
      <c r="Z282" s="134">
        <f t="shared" si="30"/>
        <v>-399.14499197924346</v>
      </c>
      <c r="AA282" s="134">
        <f t="shared" si="30"/>
        <v>-460.9545336013307</v>
      </c>
      <c r="AB282" s="134">
        <f t="shared" si="30"/>
        <v>-526.9135945778122</v>
      </c>
      <c r="AC282" s="134">
        <f t="shared" si="30"/>
        <v>-597.20149301976801</v>
      </c>
      <c r="AD282" s="134">
        <f t="shared" si="30"/>
        <v>-671.99754703827739</v>
      </c>
      <c r="AE282" s="134">
        <f t="shared" si="30"/>
        <v>-751.48107474442088</v>
      </c>
      <c r="AF282" s="134">
        <f t="shared" si="30"/>
        <v>-835.83139424927936</v>
      </c>
      <c r="AG282" s="134">
        <f t="shared" si="30"/>
        <v>-925.22782366393187</v>
      </c>
      <c r="AH282" s="134">
        <f t="shared" si="30"/>
        <v>-1019.8496810994587</v>
      </c>
      <c r="AI282" s="134">
        <f t="shared" si="30"/>
        <v>-1119.8762846669399</v>
      </c>
      <c r="AJ282" s="134">
        <f t="shared" si="30"/>
        <v>-1222.6500908281678</v>
      </c>
      <c r="AK282" s="134">
        <f t="shared" si="30"/>
        <v>-1325.4238969893959</v>
      </c>
      <c r="AL282" s="134">
        <f t="shared" si="30"/>
        <v>-1428.197703150624</v>
      </c>
      <c r="AM282" s="134">
        <f t="shared" si="30"/>
        <v>-1530.9715093118521</v>
      </c>
      <c r="AN282" s="134">
        <f t="shared" si="30"/>
        <v>-1633.7453154730802</v>
      </c>
      <c r="AO282" s="134">
        <f t="shared" si="3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5">
      <c r="A283" s="102"/>
      <c r="B283" s="112" t="s">
        <v>109</v>
      </c>
      <c r="C283" s="135"/>
      <c r="D283" s="134">
        <f t="shared" si="30"/>
        <v>213.93435774788776</v>
      </c>
      <c r="E283" s="134">
        <f t="shared" si="30"/>
        <v>213.93435774788776</v>
      </c>
      <c r="F283" s="134">
        <f t="shared" si="30"/>
        <v>213.93435774788776</v>
      </c>
      <c r="G283" s="134">
        <f t="shared" si="30"/>
        <v>213.93435774788776</v>
      </c>
      <c r="H283" s="134">
        <f t="shared" si="30"/>
        <v>213.93435774788776</v>
      </c>
      <c r="I283" s="134">
        <f t="shared" si="30"/>
        <v>213.93435774788776</v>
      </c>
      <c r="J283" s="134">
        <f t="shared" si="30"/>
        <v>204.32980284895183</v>
      </c>
      <c r="K283" s="134">
        <f t="shared" si="30"/>
        <v>184.52530779029286</v>
      </c>
      <c r="L283" s="134">
        <f t="shared" si="30"/>
        <v>163.44038315451957</v>
      </c>
      <c r="M283" s="134">
        <f t="shared" si="30"/>
        <v>140.89571083055199</v>
      </c>
      <c r="N283" s="134">
        <f t="shared" si="30"/>
        <v>116.71197270731008</v>
      </c>
      <c r="O283" s="134">
        <f t="shared" si="30"/>
        <v>90.70985067371403</v>
      </c>
      <c r="P283" s="134">
        <f t="shared" si="30"/>
        <v>62.710026618683727</v>
      </c>
      <c r="Q283" s="134">
        <f t="shared" si="30"/>
        <v>32.533182431138997</v>
      </c>
      <c r="R283" s="134">
        <f t="shared" si="30"/>
        <v>0</v>
      </c>
      <c r="S283" s="134">
        <f t="shared" si="30"/>
        <v>-35.068838785813114</v>
      </c>
      <c r="T283" s="134">
        <f t="shared" si="30"/>
        <v>-72.852652037380466</v>
      </c>
      <c r="U283" s="134">
        <f t="shared" si="30"/>
        <v>-113.53075786578225</v>
      </c>
      <c r="V283" s="134">
        <f t="shared" si="30"/>
        <v>-157.28247438209814</v>
      </c>
      <c r="W283" s="134">
        <f t="shared" si="30"/>
        <v>-204.28711969740829</v>
      </c>
      <c r="X283" s="134">
        <f t="shared" si="30"/>
        <v>-254.72401192279284</v>
      </c>
      <c r="Y283" s="134">
        <f t="shared" si="30"/>
        <v>-308.77246916933154</v>
      </c>
      <c r="Z283" s="134">
        <f t="shared" si="30"/>
        <v>-366.61180954810447</v>
      </c>
      <c r="AA283" s="134">
        <f t="shared" si="30"/>
        <v>-428.42135117019177</v>
      </c>
      <c r="AB283" s="134">
        <f t="shared" si="30"/>
        <v>-494.38041214667334</v>
      </c>
      <c r="AC283" s="134">
        <f t="shared" si="30"/>
        <v>-564.66831058862908</v>
      </c>
      <c r="AD283" s="134">
        <f t="shared" si="30"/>
        <v>-639.46436460713835</v>
      </c>
      <c r="AE283" s="134">
        <f t="shared" ref="AE283:AO283" si="31">IF(AE$267=$B283,0,IF(AE$267&gt;$B283,-0.5*AE$265-0.5*AD$265+AD283,0.5*HLOOKUP($B283,$D$264:$AO$265,2,FALSE)+0.5*HLOOKUP($B282,$D$264:$AO$265,2,FALSE)+AE282))</f>
        <v>-718.94789231328184</v>
      </c>
      <c r="AF283" s="134">
        <f t="shared" si="31"/>
        <v>-803.29821181814032</v>
      </c>
      <c r="AG283" s="134">
        <f t="shared" si="31"/>
        <v>-892.69464123279283</v>
      </c>
      <c r="AH283" s="134">
        <f t="shared" si="31"/>
        <v>-987.3164986683197</v>
      </c>
      <c r="AI283" s="134">
        <f t="shared" si="31"/>
        <v>-1087.3431022358009</v>
      </c>
      <c r="AJ283" s="134">
        <f t="shared" si="31"/>
        <v>-1190.116908397029</v>
      </c>
      <c r="AK283" s="134">
        <f t="shared" si="31"/>
        <v>-1292.8907145582571</v>
      </c>
      <c r="AL283" s="134">
        <f t="shared" si="31"/>
        <v>-1395.6645207194852</v>
      </c>
      <c r="AM283" s="134">
        <f t="shared" si="31"/>
        <v>-1498.4383268807132</v>
      </c>
      <c r="AN283" s="134">
        <f t="shared" si="31"/>
        <v>-1601.2121330419413</v>
      </c>
      <c r="AO283" s="134">
        <f t="shared" si="3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5">
      <c r="A284" s="102"/>
      <c r="B284" s="112" t="s">
        <v>110</v>
      </c>
      <c r="C284" s="135"/>
      <c r="D284" s="134">
        <f t="shared" ref="D284:AO290" si="32">IF(D$267=$B284,0,IF(D$267&gt;$B284,-0.5*D$265-0.5*C$265+C284,0.5*HLOOKUP($B284,$D$264:$AO$265,2,FALSE)+0.5*HLOOKUP($B283,$D$264:$AO$265,2,FALSE)+D283))</f>
        <v>249.00319653370087</v>
      </c>
      <c r="E284" s="134">
        <f t="shared" si="32"/>
        <v>249.00319653370087</v>
      </c>
      <c r="F284" s="134">
        <f t="shared" si="32"/>
        <v>249.00319653370087</v>
      </c>
      <c r="G284" s="134">
        <f t="shared" si="32"/>
        <v>249.00319653370087</v>
      </c>
      <c r="H284" s="134">
        <f t="shared" si="32"/>
        <v>249.00319653370087</v>
      </c>
      <c r="I284" s="134">
        <f t="shared" si="32"/>
        <v>249.00319653370087</v>
      </c>
      <c r="J284" s="134">
        <f t="shared" si="32"/>
        <v>239.39864163476494</v>
      </c>
      <c r="K284" s="134">
        <f t="shared" si="32"/>
        <v>219.59414657610597</v>
      </c>
      <c r="L284" s="134">
        <f t="shared" si="32"/>
        <v>198.50922194033268</v>
      </c>
      <c r="M284" s="134">
        <f t="shared" si="32"/>
        <v>175.9645496163651</v>
      </c>
      <c r="N284" s="134">
        <f t="shared" si="32"/>
        <v>151.7808114931232</v>
      </c>
      <c r="O284" s="134">
        <f t="shared" si="32"/>
        <v>125.77868945952714</v>
      </c>
      <c r="P284" s="134">
        <f t="shared" si="32"/>
        <v>97.778865404496841</v>
      </c>
      <c r="Q284" s="134">
        <f t="shared" si="32"/>
        <v>67.60202121695211</v>
      </c>
      <c r="R284" s="134">
        <f t="shared" si="32"/>
        <v>35.068838785813114</v>
      </c>
      <c r="S284" s="134">
        <f t="shared" si="32"/>
        <v>0</v>
      </c>
      <c r="T284" s="134">
        <f t="shared" si="32"/>
        <v>-37.783813251567352</v>
      </c>
      <c r="U284" s="134">
        <f t="shared" si="32"/>
        <v>-78.461919079969135</v>
      </c>
      <c r="V284" s="134">
        <f t="shared" si="32"/>
        <v>-122.21363559628502</v>
      </c>
      <c r="W284" s="134">
        <f t="shared" si="32"/>
        <v>-169.21828091159514</v>
      </c>
      <c r="X284" s="134">
        <f t="shared" si="32"/>
        <v>-219.6551731369797</v>
      </c>
      <c r="Y284" s="134">
        <f t="shared" si="32"/>
        <v>-273.70363038351843</v>
      </c>
      <c r="Z284" s="134">
        <f t="shared" si="32"/>
        <v>-331.54297076229136</v>
      </c>
      <c r="AA284" s="134">
        <f t="shared" si="32"/>
        <v>-393.35251238437866</v>
      </c>
      <c r="AB284" s="134">
        <f t="shared" si="32"/>
        <v>-459.31157336086022</v>
      </c>
      <c r="AC284" s="134">
        <f t="shared" si="32"/>
        <v>-529.59947180281597</v>
      </c>
      <c r="AD284" s="134">
        <f t="shared" si="32"/>
        <v>-604.39552582132524</v>
      </c>
      <c r="AE284" s="134">
        <f t="shared" si="32"/>
        <v>-683.87905352746873</v>
      </c>
      <c r="AF284" s="134">
        <f t="shared" si="32"/>
        <v>-768.2293730323272</v>
      </c>
      <c r="AG284" s="134">
        <f t="shared" si="32"/>
        <v>-857.62580244697972</v>
      </c>
      <c r="AH284" s="134">
        <f t="shared" si="32"/>
        <v>-952.24765988250658</v>
      </c>
      <c r="AI284" s="134">
        <f t="shared" si="32"/>
        <v>-1052.2742634499878</v>
      </c>
      <c r="AJ284" s="134">
        <f t="shared" si="32"/>
        <v>-1155.0480696112159</v>
      </c>
      <c r="AK284" s="134">
        <f t="shared" si="32"/>
        <v>-1257.8218757724439</v>
      </c>
      <c r="AL284" s="134">
        <f t="shared" si="32"/>
        <v>-1360.595681933672</v>
      </c>
      <c r="AM284" s="134">
        <f t="shared" si="32"/>
        <v>-1463.3694880949001</v>
      </c>
      <c r="AN284" s="134">
        <f t="shared" si="32"/>
        <v>-1566.1432942561282</v>
      </c>
      <c r="AO284" s="134">
        <f t="shared" si="3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5">
      <c r="A285" s="102"/>
      <c r="B285" s="112" t="s">
        <v>111</v>
      </c>
      <c r="C285" s="135"/>
      <c r="D285" s="134">
        <f t="shared" si="32"/>
        <v>286.7870097852682</v>
      </c>
      <c r="E285" s="134">
        <f t="shared" si="32"/>
        <v>286.7870097852682</v>
      </c>
      <c r="F285" s="134">
        <f t="shared" si="32"/>
        <v>286.7870097852682</v>
      </c>
      <c r="G285" s="134">
        <f t="shared" si="32"/>
        <v>286.7870097852682</v>
      </c>
      <c r="H285" s="134">
        <f t="shared" si="32"/>
        <v>286.7870097852682</v>
      </c>
      <c r="I285" s="134">
        <f t="shared" si="32"/>
        <v>286.7870097852682</v>
      </c>
      <c r="J285" s="134">
        <f t="shared" si="32"/>
        <v>277.18245488633227</v>
      </c>
      <c r="K285" s="134">
        <f t="shared" si="32"/>
        <v>257.37795982767329</v>
      </c>
      <c r="L285" s="134">
        <f t="shared" si="32"/>
        <v>236.29303519190003</v>
      </c>
      <c r="M285" s="134">
        <f t="shared" si="32"/>
        <v>213.74836286793246</v>
      </c>
      <c r="N285" s="134">
        <f t="shared" si="32"/>
        <v>189.56462474469055</v>
      </c>
      <c r="O285" s="134">
        <f t="shared" si="32"/>
        <v>163.56250271109451</v>
      </c>
      <c r="P285" s="134">
        <f t="shared" si="32"/>
        <v>135.56267865606418</v>
      </c>
      <c r="Q285" s="134">
        <f t="shared" si="32"/>
        <v>105.38583446851946</v>
      </c>
      <c r="R285" s="134">
        <f t="shared" si="32"/>
        <v>72.852652037380466</v>
      </c>
      <c r="S285" s="134">
        <f t="shared" si="32"/>
        <v>37.783813251567352</v>
      </c>
      <c r="T285" s="134">
        <f t="shared" si="32"/>
        <v>0</v>
      </c>
      <c r="U285" s="134">
        <f t="shared" si="32"/>
        <v>-40.678105828401783</v>
      </c>
      <c r="V285" s="134">
        <f t="shared" si="32"/>
        <v>-84.429822344717664</v>
      </c>
      <c r="W285" s="134">
        <f t="shared" si="32"/>
        <v>-131.43446766002779</v>
      </c>
      <c r="X285" s="134">
        <f t="shared" si="32"/>
        <v>-181.87135988541235</v>
      </c>
      <c r="Y285" s="134">
        <f t="shared" si="32"/>
        <v>-235.91981713195105</v>
      </c>
      <c r="Z285" s="134">
        <f t="shared" si="32"/>
        <v>-293.75915751072398</v>
      </c>
      <c r="AA285" s="134">
        <f t="shared" si="32"/>
        <v>-355.56869913281128</v>
      </c>
      <c r="AB285" s="134">
        <f t="shared" si="32"/>
        <v>-421.52776010929284</v>
      </c>
      <c r="AC285" s="134">
        <f t="shared" si="32"/>
        <v>-491.81565855124859</v>
      </c>
      <c r="AD285" s="134">
        <f t="shared" si="32"/>
        <v>-566.61171256975786</v>
      </c>
      <c r="AE285" s="134">
        <f t="shared" si="32"/>
        <v>-646.09524027590135</v>
      </c>
      <c r="AF285" s="134">
        <f t="shared" si="32"/>
        <v>-730.44555978075982</v>
      </c>
      <c r="AG285" s="134">
        <f t="shared" si="32"/>
        <v>-819.84198919541234</v>
      </c>
      <c r="AH285" s="134">
        <f t="shared" si="32"/>
        <v>-914.4638466309392</v>
      </c>
      <c r="AI285" s="134">
        <f t="shared" si="32"/>
        <v>-1014.4904501984204</v>
      </c>
      <c r="AJ285" s="134">
        <f t="shared" si="32"/>
        <v>-1117.2642563596482</v>
      </c>
      <c r="AK285" s="134">
        <f t="shared" si="32"/>
        <v>-1220.0380625208763</v>
      </c>
      <c r="AL285" s="134">
        <f t="shared" si="32"/>
        <v>-1322.8118686821044</v>
      </c>
      <c r="AM285" s="134">
        <f t="shared" si="32"/>
        <v>-1425.5856748433325</v>
      </c>
      <c r="AN285" s="134">
        <f t="shared" si="32"/>
        <v>-1528.3594810045606</v>
      </c>
      <c r="AO285" s="134">
        <f t="shared" si="32"/>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5">
      <c r="A286" s="102"/>
      <c r="B286" s="112" t="s">
        <v>112</v>
      </c>
      <c r="C286" s="135"/>
      <c r="D286" s="134">
        <f t="shared" si="32"/>
        <v>327.46511561366998</v>
      </c>
      <c r="E286" s="134">
        <f t="shared" si="32"/>
        <v>327.46511561366998</v>
      </c>
      <c r="F286" s="134">
        <f t="shared" si="32"/>
        <v>327.46511561366998</v>
      </c>
      <c r="G286" s="134">
        <f t="shared" si="32"/>
        <v>327.46511561366998</v>
      </c>
      <c r="H286" s="134">
        <f t="shared" si="32"/>
        <v>327.46511561366998</v>
      </c>
      <c r="I286" s="134">
        <f t="shared" si="32"/>
        <v>327.46511561366998</v>
      </c>
      <c r="J286" s="134">
        <f t="shared" si="32"/>
        <v>317.86056071473405</v>
      </c>
      <c r="K286" s="134">
        <f t="shared" si="32"/>
        <v>298.05606565607508</v>
      </c>
      <c r="L286" s="134">
        <f t="shared" si="32"/>
        <v>276.97114102030184</v>
      </c>
      <c r="M286" s="134">
        <f t="shared" si="32"/>
        <v>254.42646869633424</v>
      </c>
      <c r="N286" s="134">
        <f t="shared" si="32"/>
        <v>230.24273057309233</v>
      </c>
      <c r="O286" s="134">
        <f t="shared" si="32"/>
        <v>204.24060853949629</v>
      </c>
      <c r="P286" s="134">
        <f t="shared" si="32"/>
        <v>176.24078448446596</v>
      </c>
      <c r="Q286" s="134">
        <f t="shared" si="32"/>
        <v>146.06394029692126</v>
      </c>
      <c r="R286" s="134">
        <f t="shared" si="32"/>
        <v>113.53075786578225</v>
      </c>
      <c r="S286" s="134">
        <f t="shared" si="32"/>
        <v>78.461919079969135</v>
      </c>
      <c r="T286" s="134">
        <f t="shared" si="32"/>
        <v>40.678105828401783</v>
      </c>
      <c r="U286" s="134">
        <f t="shared" si="32"/>
        <v>0</v>
      </c>
      <c r="V286" s="134">
        <f t="shared" si="32"/>
        <v>-43.751716516315881</v>
      </c>
      <c r="W286" s="134">
        <f t="shared" si="32"/>
        <v>-90.756361831626009</v>
      </c>
      <c r="X286" s="134">
        <f t="shared" si="32"/>
        <v>-141.19325405701056</v>
      </c>
      <c r="Y286" s="134">
        <f t="shared" si="32"/>
        <v>-195.24171130354927</v>
      </c>
      <c r="Z286" s="134">
        <f t="shared" si="32"/>
        <v>-253.0810516823222</v>
      </c>
      <c r="AA286" s="134">
        <f t="shared" si="32"/>
        <v>-314.89059330440944</v>
      </c>
      <c r="AB286" s="134">
        <f t="shared" si="32"/>
        <v>-380.849654280891</v>
      </c>
      <c r="AC286" s="134">
        <f t="shared" si="32"/>
        <v>-451.13755272284675</v>
      </c>
      <c r="AD286" s="134">
        <f t="shared" si="32"/>
        <v>-525.93360674135602</v>
      </c>
      <c r="AE286" s="134">
        <f t="shared" si="32"/>
        <v>-605.41713444749951</v>
      </c>
      <c r="AF286" s="134">
        <f t="shared" si="32"/>
        <v>-689.76745395235798</v>
      </c>
      <c r="AG286" s="134">
        <f t="shared" si="32"/>
        <v>-779.1638833670105</v>
      </c>
      <c r="AH286" s="134">
        <f t="shared" si="32"/>
        <v>-873.78574080253736</v>
      </c>
      <c r="AI286" s="134">
        <f t="shared" si="32"/>
        <v>-973.81234437001854</v>
      </c>
      <c r="AJ286" s="134">
        <f t="shared" si="32"/>
        <v>-1076.5861505312464</v>
      </c>
      <c r="AK286" s="134">
        <f t="shared" si="32"/>
        <v>-1179.3599566924745</v>
      </c>
      <c r="AL286" s="134">
        <f t="shared" si="32"/>
        <v>-1282.1337628537026</v>
      </c>
      <c r="AM286" s="134">
        <f t="shared" si="32"/>
        <v>-1384.9075690149307</v>
      </c>
      <c r="AN286" s="134">
        <f t="shared" si="32"/>
        <v>-1487.6813751761588</v>
      </c>
      <c r="AO286" s="134">
        <f t="shared" si="32"/>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5">
      <c r="A287" s="102"/>
      <c r="B287" s="112" t="s">
        <v>113</v>
      </c>
      <c r="C287" s="135"/>
      <c r="D287" s="134">
        <f t="shared" si="32"/>
        <v>371.21683212998585</v>
      </c>
      <c r="E287" s="134">
        <f t="shared" si="32"/>
        <v>371.21683212998585</v>
      </c>
      <c r="F287" s="134">
        <f t="shared" si="32"/>
        <v>371.21683212998585</v>
      </c>
      <c r="G287" s="134">
        <f t="shared" si="32"/>
        <v>371.21683212998585</v>
      </c>
      <c r="H287" s="134">
        <f t="shared" si="32"/>
        <v>371.21683212998585</v>
      </c>
      <c r="I287" s="134">
        <f t="shared" si="32"/>
        <v>371.21683212998585</v>
      </c>
      <c r="J287" s="134">
        <f t="shared" si="32"/>
        <v>361.61227723104992</v>
      </c>
      <c r="K287" s="134">
        <f t="shared" si="32"/>
        <v>341.80778217239094</v>
      </c>
      <c r="L287" s="134">
        <f t="shared" si="32"/>
        <v>320.72285753661771</v>
      </c>
      <c r="M287" s="134">
        <f t="shared" si="32"/>
        <v>298.17818521265013</v>
      </c>
      <c r="N287" s="134">
        <f t="shared" si="32"/>
        <v>273.9944470894082</v>
      </c>
      <c r="O287" s="134">
        <f t="shared" si="32"/>
        <v>247.99232505581216</v>
      </c>
      <c r="P287" s="134">
        <f t="shared" si="32"/>
        <v>219.99250100078183</v>
      </c>
      <c r="Q287" s="134">
        <f t="shared" si="32"/>
        <v>189.81565681323713</v>
      </c>
      <c r="R287" s="134">
        <f t="shared" si="32"/>
        <v>157.28247438209814</v>
      </c>
      <c r="S287" s="134">
        <f t="shared" si="32"/>
        <v>122.21363559628502</v>
      </c>
      <c r="T287" s="134">
        <f t="shared" si="32"/>
        <v>84.429822344717664</v>
      </c>
      <c r="U287" s="134">
        <f t="shared" si="32"/>
        <v>43.751716516315881</v>
      </c>
      <c r="V287" s="134">
        <f t="shared" si="32"/>
        <v>0</v>
      </c>
      <c r="W287" s="134">
        <f t="shared" si="32"/>
        <v>-47.004645315310135</v>
      </c>
      <c r="X287" s="134">
        <f t="shared" si="32"/>
        <v>-97.441537540694696</v>
      </c>
      <c r="Y287" s="134">
        <f t="shared" si="32"/>
        <v>-151.4899947872334</v>
      </c>
      <c r="Z287" s="134">
        <f t="shared" si="32"/>
        <v>-209.32933516600633</v>
      </c>
      <c r="AA287" s="134">
        <f t="shared" si="32"/>
        <v>-271.13887678809363</v>
      </c>
      <c r="AB287" s="134">
        <f t="shared" si="32"/>
        <v>-337.09793776457519</v>
      </c>
      <c r="AC287" s="134">
        <f t="shared" si="32"/>
        <v>-407.38583620653094</v>
      </c>
      <c r="AD287" s="134">
        <f t="shared" si="32"/>
        <v>-482.18189022504026</v>
      </c>
      <c r="AE287" s="134">
        <f t="shared" si="32"/>
        <v>-561.66541793118381</v>
      </c>
      <c r="AF287" s="134">
        <f t="shared" si="32"/>
        <v>-646.01573743604229</v>
      </c>
      <c r="AG287" s="134">
        <f t="shared" si="32"/>
        <v>-735.4121668506948</v>
      </c>
      <c r="AH287" s="134">
        <f t="shared" si="32"/>
        <v>-830.03402428622167</v>
      </c>
      <c r="AI287" s="134">
        <f t="shared" si="32"/>
        <v>-930.06062785370284</v>
      </c>
      <c r="AJ287" s="134">
        <f t="shared" si="32"/>
        <v>-1032.8344340149308</v>
      </c>
      <c r="AK287" s="134">
        <f t="shared" si="32"/>
        <v>-1135.6082401761587</v>
      </c>
      <c r="AL287" s="134">
        <f t="shared" si="32"/>
        <v>-1238.3820463373868</v>
      </c>
      <c r="AM287" s="134">
        <f t="shared" si="32"/>
        <v>-1341.1558524986149</v>
      </c>
      <c r="AN287" s="134">
        <f t="shared" si="32"/>
        <v>-1443.929658659843</v>
      </c>
      <c r="AO287" s="134">
        <f t="shared" si="32"/>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5">
      <c r="A288" s="102"/>
      <c r="B288" s="112" t="s">
        <v>114</v>
      </c>
      <c r="C288" s="135"/>
      <c r="D288" s="134">
        <f t="shared" si="32"/>
        <v>418.22147744529599</v>
      </c>
      <c r="E288" s="134">
        <f t="shared" si="32"/>
        <v>418.22147744529599</v>
      </c>
      <c r="F288" s="134">
        <f t="shared" si="32"/>
        <v>418.22147744529599</v>
      </c>
      <c r="G288" s="134">
        <f t="shared" si="32"/>
        <v>418.22147744529599</v>
      </c>
      <c r="H288" s="134">
        <f t="shared" si="32"/>
        <v>418.22147744529599</v>
      </c>
      <c r="I288" s="134">
        <f t="shared" si="32"/>
        <v>418.22147744529599</v>
      </c>
      <c r="J288" s="134">
        <f t="shared" si="32"/>
        <v>408.61692254636006</v>
      </c>
      <c r="K288" s="134">
        <f t="shared" si="32"/>
        <v>388.81242748770109</v>
      </c>
      <c r="L288" s="134">
        <f t="shared" si="32"/>
        <v>367.72750285192785</v>
      </c>
      <c r="M288" s="134">
        <f t="shared" si="32"/>
        <v>345.18283052796028</v>
      </c>
      <c r="N288" s="134">
        <f t="shared" si="32"/>
        <v>320.99909240471834</v>
      </c>
      <c r="O288" s="134">
        <f t="shared" si="32"/>
        <v>294.9969703711223</v>
      </c>
      <c r="P288" s="134">
        <f t="shared" si="32"/>
        <v>266.99714631609197</v>
      </c>
      <c r="Q288" s="134">
        <f t="shared" si="32"/>
        <v>236.82030212854727</v>
      </c>
      <c r="R288" s="134">
        <f t="shared" si="32"/>
        <v>204.28711969740829</v>
      </c>
      <c r="S288" s="134">
        <f t="shared" si="32"/>
        <v>169.21828091159514</v>
      </c>
      <c r="T288" s="134">
        <f t="shared" si="32"/>
        <v>131.43446766002779</v>
      </c>
      <c r="U288" s="134">
        <f t="shared" si="32"/>
        <v>90.756361831626009</v>
      </c>
      <c r="V288" s="134">
        <f t="shared" si="32"/>
        <v>47.004645315310135</v>
      </c>
      <c r="W288" s="134">
        <f t="shared" si="32"/>
        <v>0</v>
      </c>
      <c r="X288" s="134">
        <f t="shared" si="32"/>
        <v>-50.436892225384554</v>
      </c>
      <c r="Y288" s="134">
        <f t="shared" si="32"/>
        <v>-104.48534947192327</v>
      </c>
      <c r="Z288" s="134">
        <f t="shared" si="32"/>
        <v>-162.32468985069622</v>
      </c>
      <c r="AA288" s="134">
        <f t="shared" si="32"/>
        <v>-224.13423147278348</v>
      </c>
      <c r="AB288" s="134">
        <f t="shared" si="32"/>
        <v>-290.09329244926505</v>
      </c>
      <c r="AC288" s="134">
        <f t="shared" si="32"/>
        <v>-360.38119089122085</v>
      </c>
      <c r="AD288" s="134">
        <f t="shared" si="32"/>
        <v>-435.17724490973018</v>
      </c>
      <c r="AE288" s="134">
        <f t="shared" si="32"/>
        <v>-514.66077261587373</v>
      </c>
      <c r="AF288" s="134">
        <f t="shared" si="32"/>
        <v>-599.0110921207322</v>
      </c>
      <c r="AG288" s="134">
        <f t="shared" si="32"/>
        <v>-688.40752153538472</v>
      </c>
      <c r="AH288" s="134">
        <f t="shared" si="32"/>
        <v>-783.02937897091158</v>
      </c>
      <c r="AI288" s="134">
        <f t="shared" si="32"/>
        <v>-883.05598253839275</v>
      </c>
      <c r="AJ288" s="134">
        <f t="shared" si="32"/>
        <v>-985.82978869962074</v>
      </c>
      <c r="AK288" s="134">
        <f t="shared" si="32"/>
        <v>-1088.6035948608487</v>
      </c>
      <c r="AL288" s="134">
        <f t="shared" si="32"/>
        <v>-1191.3774010220768</v>
      </c>
      <c r="AM288" s="134">
        <f t="shared" si="32"/>
        <v>-1294.1512071833049</v>
      </c>
      <c r="AN288" s="134">
        <f t="shared" si="32"/>
        <v>-1396.925013344533</v>
      </c>
      <c r="AO288" s="134">
        <f t="shared" si="32"/>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5">
      <c r="A289" s="102"/>
      <c r="B289" s="112" t="s">
        <v>115</v>
      </c>
      <c r="C289" s="135"/>
      <c r="D289" s="134">
        <f t="shared" si="32"/>
        <v>468.65836967068054</v>
      </c>
      <c r="E289" s="134">
        <f t="shared" si="32"/>
        <v>468.65836967068054</v>
      </c>
      <c r="F289" s="134">
        <f t="shared" si="32"/>
        <v>468.65836967068054</v>
      </c>
      <c r="G289" s="134">
        <f t="shared" si="32"/>
        <v>468.65836967068054</v>
      </c>
      <c r="H289" s="134">
        <f t="shared" si="32"/>
        <v>468.65836967068054</v>
      </c>
      <c r="I289" s="134">
        <f t="shared" si="32"/>
        <v>468.65836967068054</v>
      </c>
      <c r="J289" s="134">
        <f t="shared" si="32"/>
        <v>459.05381477174461</v>
      </c>
      <c r="K289" s="134">
        <f t="shared" si="32"/>
        <v>439.24931971308564</v>
      </c>
      <c r="L289" s="134">
        <f t="shared" si="32"/>
        <v>418.16439507731241</v>
      </c>
      <c r="M289" s="134">
        <f t="shared" si="32"/>
        <v>395.61972275334483</v>
      </c>
      <c r="N289" s="134">
        <f t="shared" si="32"/>
        <v>371.43598463010289</v>
      </c>
      <c r="O289" s="134">
        <f t="shared" si="32"/>
        <v>345.43386259650686</v>
      </c>
      <c r="P289" s="134">
        <f t="shared" si="32"/>
        <v>317.43403854147653</v>
      </c>
      <c r="Q289" s="134">
        <f t="shared" si="32"/>
        <v>287.25719435393182</v>
      </c>
      <c r="R289" s="134">
        <f t="shared" si="32"/>
        <v>254.72401192279284</v>
      </c>
      <c r="S289" s="134">
        <f t="shared" si="32"/>
        <v>219.6551731369797</v>
      </c>
      <c r="T289" s="134">
        <f t="shared" si="32"/>
        <v>181.87135988541235</v>
      </c>
      <c r="U289" s="134">
        <f t="shared" si="32"/>
        <v>141.19325405701056</v>
      </c>
      <c r="V289" s="134">
        <f t="shared" si="32"/>
        <v>97.441537540694696</v>
      </c>
      <c r="W289" s="134">
        <f t="shared" si="32"/>
        <v>50.436892225384554</v>
      </c>
      <c r="X289" s="134">
        <f t="shared" si="32"/>
        <v>0</v>
      </c>
      <c r="Y289" s="134">
        <f t="shared" si="32"/>
        <v>-54.048457246538717</v>
      </c>
      <c r="Z289" s="134">
        <f t="shared" si="32"/>
        <v>-111.88779762531166</v>
      </c>
      <c r="AA289" s="134">
        <f t="shared" si="32"/>
        <v>-173.69733924739893</v>
      </c>
      <c r="AB289" s="134">
        <f t="shared" si="32"/>
        <v>-239.6564002238805</v>
      </c>
      <c r="AC289" s="134">
        <f t="shared" si="32"/>
        <v>-309.9442986658363</v>
      </c>
      <c r="AD289" s="134">
        <f t="shared" si="32"/>
        <v>-384.74035268434562</v>
      </c>
      <c r="AE289" s="134">
        <f t="shared" si="32"/>
        <v>-464.22388039048917</v>
      </c>
      <c r="AF289" s="134">
        <f t="shared" si="32"/>
        <v>-548.57419989534765</v>
      </c>
      <c r="AG289" s="134">
        <f t="shared" si="32"/>
        <v>-637.97062931000016</v>
      </c>
      <c r="AH289" s="134">
        <f t="shared" si="32"/>
        <v>-732.59248674552703</v>
      </c>
      <c r="AI289" s="134">
        <f t="shared" si="32"/>
        <v>-832.6190903130082</v>
      </c>
      <c r="AJ289" s="134">
        <f t="shared" si="32"/>
        <v>-935.39289647423618</v>
      </c>
      <c r="AK289" s="134">
        <f t="shared" si="32"/>
        <v>-1038.1667026354642</v>
      </c>
      <c r="AL289" s="134">
        <f t="shared" si="32"/>
        <v>-1140.940508796692</v>
      </c>
      <c r="AM289" s="134">
        <f t="shared" si="32"/>
        <v>-1243.7143149579201</v>
      </c>
      <c r="AN289" s="134">
        <f t="shared" si="32"/>
        <v>-1346.4881211191482</v>
      </c>
      <c r="AO289" s="134">
        <f t="shared" si="32"/>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5">
      <c r="A290" s="102"/>
      <c r="B290" s="112" t="s">
        <v>116</v>
      </c>
      <c r="C290" s="135"/>
      <c r="D290" s="134">
        <f t="shared" si="32"/>
        <v>522.70682691721925</v>
      </c>
      <c r="E290" s="134">
        <f t="shared" si="32"/>
        <v>522.70682691721925</v>
      </c>
      <c r="F290" s="134">
        <f t="shared" si="32"/>
        <v>522.70682691721925</v>
      </c>
      <c r="G290" s="134">
        <f t="shared" si="32"/>
        <v>522.70682691721925</v>
      </c>
      <c r="H290" s="134">
        <f t="shared" si="32"/>
        <v>522.70682691721925</v>
      </c>
      <c r="I290" s="134">
        <f t="shared" si="32"/>
        <v>522.70682691721925</v>
      </c>
      <c r="J290" s="134">
        <f t="shared" si="32"/>
        <v>513.10227201828332</v>
      </c>
      <c r="K290" s="134">
        <f t="shared" si="32"/>
        <v>493.29777695962434</v>
      </c>
      <c r="L290" s="134">
        <f t="shared" si="32"/>
        <v>472.21285232385111</v>
      </c>
      <c r="M290" s="134">
        <f t="shared" si="32"/>
        <v>449.66817999988353</v>
      </c>
      <c r="N290" s="134">
        <f t="shared" si="32"/>
        <v>425.4844418766416</v>
      </c>
      <c r="O290" s="134">
        <f t="shared" si="32"/>
        <v>399.48231984304556</v>
      </c>
      <c r="P290" s="134">
        <f t="shared" si="32"/>
        <v>371.48249578801523</v>
      </c>
      <c r="Q290" s="134">
        <f t="shared" si="32"/>
        <v>341.30565160047053</v>
      </c>
      <c r="R290" s="134">
        <f t="shared" si="32"/>
        <v>308.77246916933154</v>
      </c>
      <c r="S290" s="134">
        <f t="shared" si="32"/>
        <v>273.70363038351843</v>
      </c>
      <c r="T290" s="134">
        <f t="shared" si="32"/>
        <v>235.91981713195105</v>
      </c>
      <c r="U290" s="134">
        <f t="shared" si="32"/>
        <v>195.24171130354927</v>
      </c>
      <c r="V290" s="134">
        <f t="shared" si="32"/>
        <v>151.4899947872334</v>
      </c>
      <c r="W290" s="134">
        <f t="shared" si="32"/>
        <v>104.48534947192327</v>
      </c>
      <c r="X290" s="134">
        <f t="shared" si="32"/>
        <v>54.048457246538717</v>
      </c>
      <c r="Y290" s="134">
        <f t="shared" si="32"/>
        <v>0</v>
      </c>
      <c r="Z290" s="134">
        <f t="shared" si="32"/>
        <v>-57.839340378772945</v>
      </c>
      <c r="AA290" s="134">
        <f t="shared" si="32"/>
        <v>-119.64888200086021</v>
      </c>
      <c r="AB290" s="134">
        <f t="shared" si="32"/>
        <v>-185.60794297734176</v>
      </c>
      <c r="AC290" s="134">
        <f t="shared" si="32"/>
        <v>-255.89584141929754</v>
      </c>
      <c r="AD290" s="134">
        <f t="shared" si="32"/>
        <v>-330.69189543780686</v>
      </c>
      <c r="AE290" s="134">
        <f t="shared" ref="AE290:AO290" si="33">IF(AE$267=$B290,0,IF(AE$267&gt;$B290,-0.5*AE$265-0.5*AD$265+AD290,0.5*HLOOKUP($B290,$D$264:$AO$265,2,FALSE)+0.5*HLOOKUP($B289,$D$264:$AO$265,2,FALSE)+AE289))</f>
        <v>-410.17542314395041</v>
      </c>
      <c r="AF290" s="134">
        <f t="shared" si="33"/>
        <v>-494.52574264880889</v>
      </c>
      <c r="AG290" s="134">
        <f t="shared" si="33"/>
        <v>-583.9221720634614</v>
      </c>
      <c r="AH290" s="134">
        <f t="shared" si="33"/>
        <v>-678.54402949898827</v>
      </c>
      <c r="AI290" s="134">
        <f t="shared" si="33"/>
        <v>-778.57063306646944</v>
      </c>
      <c r="AJ290" s="134">
        <f t="shared" si="33"/>
        <v>-881.34443922769742</v>
      </c>
      <c r="AK290" s="134">
        <f t="shared" si="33"/>
        <v>-984.1182453889254</v>
      </c>
      <c r="AL290" s="134">
        <f t="shared" si="33"/>
        <v>-1086.8920515501534</v>
      </c>
      <c r="AM290" s="134">
        <f t="shared" si="33"/>
        <v>-1189.6658577113812</v>
      </c>
      <c r="AN290" s="134">
        <f t="shared" si="33"/>
        <v>-1292.4396638726093</v>
      </c>
      <c r="AO290" s="134">
        <f t="shared" si="33"/>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5">
      <c r="A291" s="102"/>
      <c r="B291" s="112" t="s">
        <v>117</v>
      </c>
      <c r="C291" s="135"/>
      <c r="D291" s="134">
        <f t="shared" ref="D291:AO297" si="34">IF(D$267=$B291,0,IF(D$267&gt;$B291,-0.5*D$265-0.5*C$265+C291,0.5*HLOOKUP($B291,$D$264:$AO$265,2,FALSE)+0.5*HLOOKUP($B290,$D$264:$AO$265,2,FALSE)+D290))</f>
        <v>580.54616729599218</v>
      </c>
      <c r="E291" s="134">
        <f t="shared" si="34"/>
        <v>580.54616729599218</v>
      </c>
      <c r="F291" s="134">
        <f t="shared" si="34"/>
        <v>580.54616729599218</v>
      </c>
      <c r="G291" s="134">
        <f t="shared" si="34"/>
        <v>580.54616729599218</v>
      </c>
      <c r="H291" s="134">
        <f t="shared" si="34"/>
        <v>580.54616729599218</v>
      </c>
      <c r="I291" s="134">
        <f t="shared" si="34"/>
        <v>580.54616729599218</v>
      </c>
      <c r="J291" s="134">
        <f t="shared" si="34"/>
        <v>570.94161239705625</v>
      </c>
      <c r="K291" s="134">
        <f t="shared" si="34"/>
        <v>551.13711733839727</v>
      </c>
      <c r="L291" s="134">
        <f t="shared" si="34"/>
        <v>530.0521927026241</v>
      </c>
      <c r="M291" s="134">
        <f t="shared" si="34"/>
        <v>507.50752037865647</v>
      </c>
      <c r="N291" s="134">
        <f t="shared" si="34"/>
        <v>483.32378225541453</v>
      </c>
      <c r="O291" s="134">
        <f t="shared" si="34"/>
        <v>457.32166022181849</v>
      </c>
      <c r="P291" s="134">
        <f t="shared" si="34"/>
        <v>429.32183616678816</v>
      </c>
      <c r="Q291" s="134">
        <f t="shared" si="34"/>
        <v>399.14499197924346</v>
      </c>
      <c r="R291" s="134">
        <f t="shared" si="34"/>
        <v>366.61180954810447</v>
      </c>
      <c r="S291" s="134">
        <f t="shared" si="34"/>
        <v>331.54297076229136</v>
      </c>
      <c r="T291" s="134">
        <f t="shared" si="34"/>
        <v>293.75915751072398</v>
      </c>
      <c r="U291" s="134">
        <f t="shared" si="34"/>
        <v>253.0810516823222</v>
      </c>
      <c r="V291" s="134">
        <f t="shared" si="34"/>
        <v>209.32933516600633</v>
      </c>
      <c r="W291" s="134">
        <f t="shared" si="34"/>
        <v>162.32468985069622</v>
      </c>
      <c r="X291" s="134">
        <f t="shared" si="34"/>
        <v>111.88779762531166</v>
      </c>
      <c r="Y291" s="134">
        <f t="shared" si="34"/>
        <v>57.839340378772945</v>
      </c>
      <c r="Z291" s="134">
        <f t="shared" si="34"/>
        <v>0</v>
      </c>
      <c r="AA291" s="134">
        <f t="shared" si="34"/>
        <v>-61.809541622087266</v>
      </c>
      <c r="AB291" s="134">
        <f t="shared" si="34"/>
        <v>-127.76860259856882</v>
      </c>
      <c r="AC291" s="134">
        <f t="shared" si="34"/>
        <v>-198.05650104052461</v>
      </c>
      <c r="AD291" s="134">
        <f t="shared" si="34"/>
        <v>-272.85255505903393</v>
      </c>
      <c r="AE291" s="134">
        <f t="shared" si="34"/>
        <v>-352.33608276517748</v>
      </c>
      <c r="AF291" s="134">
        <f t="shared" si="34"/>
        <v>-436.68640227003596</v>
      </c>
      <c r="AG291" s="134">
        <f t="shared" si="34"/>
        <v>-526.08283168468847</v>
      </c>
      <c r="AH291" s="134">
        <f t="shared" si="34"/>
        <v>-620.70468912021533</v>
      </c>
      <c r="AI291" s="134">
        <f t="shared" si="34"/>
        <v>-720.73129268769651</v>
      </c>
      <c r="AJ291" s="134">
        <f t="shared" si="34"/>
        <v>-823.50509884892449</v>
      </c>
      <c r="AK291" s="134">
        <f t="shared" si="34"/>
        <v>-926.27890501015247</v>
      </c>
      <c r="AL291" s="134">
        <f t="shared" si="34"/>
        <v>-1029.0527111713805</v>
      </c>
      <c r="AM291" s="134">
        <f t="shared" si="34"/>
        <v>-1131.8265173326085</v>
      </c>
      <c r="AN291" s="134">
        <f t="shared" si="34"/>
        <v>-1234.6003234938366</v>
      </c>
      <c r="AO291" s="134">
        <f t="shared" si="34"/>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5">
      <c r="A292" s="102"/>
      <c r="B292" s="112" t="s">
        <v>118</v>
      </c>
      <c r="C292" s="135"/>
      <c r="D292" s="134">
        <f t="shared" si="34"/>
        <v>642.35570891807947</v>
      </c>
      <c r="E292" s="134">
        <f t="shared" si="34"/>
        <v>642.35570891807947</v>
      </c>
      <c r="F292" s="134">
        <f t="shared" si="34"/>
        <v>642.35570891807947</v>
      </c>
      <c r="G292" s="134">
        <f t="shared" si="34"/>
        <v>642.35570891807947</v>
      </c>
      <c r="H292" s="134">
        <f t="shared" si="34"/>
        <v>642.35570891807947</v>
      </c>
      <c r="I292" s="134">
        <f t="shared" si="34"/>
        <v>642.35570891807947</v>
      </c>
      <c r="J292" s="134">
        <f t="shared" si="34"/>
        <v>632.75115401914354</v>
      </c>
      <c r="K292" s="134">
        <f t="shared" si="34"/>
        <v>612.94665896048457</v>
      </c>
      <c r="L292" s="134">
        <f t="shared" si="34"/>
        <v>591.86173432471139</v>
      </c>
      <c r="M292" s="134">
        <f t="shared" si="34"/>
        <v>569.3170620007437</v>
      </c>
      <c r="N292" s="134">
        <f t="shared" si="34"/>
        <v>545.13332387750177</v>
      </c>
      <c r="O292" s="134">
        <f t="shared" si="34"/>
        <v>519.13120184390573</v>
      </c>
      <c r="P292" s="134">
        <f t="shared" si="34"/>
        <v>491.1313777888754</v>
      </c>
      <c r="Q292" s="134">
        <f t="shared" si="34"/>
        <v>460.9545336013307</v>
      </c>
      <c r="R292" s="134">
        <f t="shared" si="34"/>
        <v>428.42135117019177</v>
      </c>
      <c r="S292" s="134">
        <f t="shared" si="34"/>
        <v>393.35251238437866</v>
      </c>
      <c r="T292" s="134">
        <f t="shared" si="34"/>
        <v>355.56869913281128</v>
      </c>
      <c r="U292" s="134">
        <f t="shared" si="34"/>
        <v>314.89059330440944</v>
      </c>
      <c r="V292" s="134">
        <f t="shared" si="34"/>
        <v>271.13887678809363</v>
      </c>
      <c r="W292" s="134">
        <f t="shared" si="34"/>
        <v>224.13423147278348</v>
      </c>
      <c r="X292" s="134">
        <f t="shared" si="34"/>
        <v>173.69733924739893</v>
      </c>
      <c r="Y292" s="134">
        <f t="shared" si="34"/>
        <v>119.64888200086021</v>
      </c>
      <c r="Z292" s="134">
        <f t="shared" si="34"/>
        <v>61.809541622087266</v>
      </c>
      <c r="AA292" s="134">
        <f t="shared" si="34"/>
        <v>0</v>
      </c>
      <c r="AB292" s="134">
        <f t="shared" si="34"/>
        <v>-65.959060976481553</v>
      </c>
      <c r="AC292" s="134">
        <f t="shared" si="34"/>
        <v>-136.24695941843731</v>
      </c>
      <c r="AD292" s="134">
        <f t="shared" si="34"/>
        <v>-211.04301343694664</v>
      </c>
      <c r="AE292" s="134">
        <f t="shared" si="34"/>
        <v>-290.52654114309018</v>
      </c>
      <c r="AF292" s="134">
        <f t="shared" si="34"/>
        <v>-374.87686064794866</v>
      </c>
      <c r="AG292" s="134">
        <f t="shared" si="34"/>
        <v>-464.27329006260118</v>
      </c>
      <c r="AH292" s="134">
        <f t="shared" si="34"/>
        <v>-558.89514749812804</v>
      </c>
      <c r="AI292" s="134">
        <f t="shared" si="34"/>
        <v>-658.92175106560921</v>
      </c>
      <c r="AJ292" s="134">
        <f t="shared" si="34"/>
        <v>-761.6955572268372</v>
      </c>
      <c r="AK292" s="134">
        <f t="shared" si="34"/>
        <v>-864.46936338806518</v>
      </c>
      <c r="AL292" s="134">
        <f t="shared" si="34"/>
        <v>-967.24316954929316</v>
      </c>
      <c r="AM292" s="134">
        <f t="shared" si="34"/>
        <v>-1070.0169757105211</v>
      </c>
      <c r="AN292" s="134">
        <f t="shared" si="34"/>
        <v>-1172.790781871749</v>
      </c>
      <c r="AO292" s="134">
        <f t="shared" si="34"/>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5">
      <c r="A293" s="102"/>
      <c r="B293" s="112" t="s">
        <v>119</v>
      </c>
      <c r="C293" s="135"/>
      <c r="D293" s="134">
        <f t="shared" si="34"/>
        <v>708.31476989456098</v>
      </c>
      <c r="E293" s="134">
        <f t="shared" si="34"/>
        <v>708.31476989456098</v>
      </c>
      <c r="F293" s="134">
        <f t="shared" si="34"/>
        <v>708.31476989456098</v>
      </c>
      <c r="G293" s="134">
        <f t="shared" si="34"/>
        <v>708.31476989456098</v>
      </c>
      <c r="H293" s="134">
        <f t="shared" si="34"/>
        <v>708.31476989456098</v>
      </c>
      <c r="I293" s="134">
        <f t="shared" si="34"/>
        <v>708.31476989456098</v>
      </c>
      <c r="J293" s="134">
        <f t="shared" si="34"/>
        <v>698.71021499562505</v>
      </c>
      <c r="K293" s="134">
        <f t="shared" si="34"/>
        <v>678.90571993696608</v>
      </c>
      <c r="L293" s="134">
        <f t="shared" si="34"/>
        <v>657.8207953011929</v>
      </c>
      <c r="M293" s="134">
        <f t="shared" si="34"/>
        <v>635.27612297722521</v>
      </c>
      <c r="N293" s="134">
        <f t="shared" si="34"/>
        <v>611.09238485398328</v>
      </c>
      <c r="O293" s="134">
        <f t="shared" si="34"/>
        <v>585.09026282038724</v>
      </c>
      <c r="P293" s="134">
        <f t="shared" si="34"/>
        <v>557.09043876535691</v>
      </c>
      <c r="Q293" s="134">
        <f t="shared" si="34"/>
        <v>526.9135945778122</v>
      </c>
      <c r="R293" s="134">
        <f t="shared" si="34"/>
        <v>494.38041214667334</v>
      </c>
      <c r="S293" s="134">
        <f t="shared" si="34"/>
        <v>459.31157336086022</v>
      </c>
      <c r="T293" s="134">
        <f t="shared" si="34"/>
        <v>421.52776010929284</v>
      </c>
      <c r="U293" s="134">
        <f t="shared" si="34"/>
        <v>380.849654280891</v>
      </c>
      <c r="V293" s="134">
        <f t="shared" si="34"/>
        <v>337.09793776457519</v>
      </c>
      <c r="W293" s="134">
        <f t="shared" si="34"/>
        <v>290.09329244926505</v>
      </c>
      <c r="X293" s="134">
        <f t="shared" si="34"/>
        <v>239.6564002238805</v>
      </c>
      <c r="Y293" s="134">
        <f t="shared" si="34"/>
        <v>185.60794297734176</v>
      </c>
      <c r="Z293" s="134">
        <f t="shared" si="34"/>
        <v>127.76860259856882</v>
      </c>
      <c r="AA293" s="134">
        <f t="shared" si="34"/>
        <v>65.959060976481553</v>
      </c>
      <c r="AB293" s="134">
        <f t="shared" si="34"/>
        <v>0</v>
      </c>
      <c r="AC293" s="134">
        <f t="shared" si="34"/>
        <v>-70.287898441955775</v>
      </c>
      <c r="AD293" s="134">
        <f t="shared" si="34"/>
        <v>-145.0839524604651</v>
      </c>
      <c r="AE293" s="134">
        <f t="shared" si="34"/>
        <v>-224.56748016660862</v>
      </c>
      <c r="AF293" s="134">
        <f t="shared" si="34"/>
        <v>-308.91779967146709</v>
      </c>
      <c r="AG293" s="134">
        <f t="shared" si="34"/>
        <v>-398.31422908611961</v>
      </c>
      <c r="AH293" s="134">
        <f t="shared" si="34"/>
        <v>-492.93608652164653</v>
      </c>
      <c r="AI293" s="134">
        <f t="shared" si="34"/>
        <v>-592.9626900891277</v>
      </c>
      <c r="AJ293" s="134">
        <f t="shared" si="34"/>
        <v>-695.73649625035569</v>
      </c>
      <c r="AK293" s="134">
        <f t="shared" si="34"/>
        <v>-798.51030241158367</v>
      </c>
      <c r="AL293" s="134">
        <f t="shared" si="34"/>
        <v>-901.28410857281165</v>
      </c>
      <c r="AM293" s="134">
        <f t="shared" si="34"/>
        <v>-1004.0579147340396</v>
      </c>
      <c r="AN293" s="134">
        <f t="shared" si="34"/>
        <v>-1106.8317208952676</v>
      </c>
      <c r="AO293" s="134">
        <f t="shared" si="34"/>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5">
      <c r="A294" s="102"/>
      <c r="B294" s="112" t="s">
        <v>120</v>
      </c>
      <c r="C294" s="135"/>
      <c r="D294" s="134">
        <f t="shared" si="34"/>
        <v>778.60266833651679</v>
      </c>
      <c r="E294" s="134">
        <f t="shared" si="34"/>
        <v>778.60266833651679</v>
      </c>
      <c r="F294" s="134">
        <f t="shared" si="34"/>
        <v>778.60266833651679</v>
      </c>
      <c r="G294" s="134">
        <f t="shared" si="34"/>
        <v>778.60266833651679</v>
      </c>
      <c r="H294" s="134">
        <f t="shared" si="34"/>
        <v>778.60266833651679</v>
      </c>
      <c r="I294" s="134">
        <f t="shared" si="34"/>
        <v>778.60266833651679</v>
      </c>
      <c r="J294" s="134">
        <f t="shared" si="34"/>
        <v>768.99811343758086</v>
      </c>
      <c r="K294" s="134">
        <f t="shared" si="34"/>
        <v>749.19361837892188</v>
      </c>
      <c r="L294" s="134">
        <f t="shared" si="34"/>
        <v>728.10869374314871</v>
      </c>
      <c r="M294" s="134">
        <f t="shared" si="34"/>
        <v>705.56402141918102</v>
      </c>
      <c r="N294" s="134">
        <f t="shared" si="34"/>
        <v>681.38028329593908</v>
      </c>
      <c r="O294" s="134">
        <f t="shared" si="34"/>
        <v>655.37816126234304</v>
      </c>
      <c r="P294" s="134">
        <f t="shared" si="34"/>
        <v>627.37833720731271</v>
      </c>
      <c r="Q294" s="134">
        <f t="shared" si="34"/>
        <v>597.20149301976801</v>
      </c>
      <c r="R294" s="134">
        <f t="shared" si="34"/>
        <v>564.66831058862908</v>
      </c>
      <c r="S294" s="134">
        <f t="shared" si="34"/>
        <v>529.59947180281597</v>
      </c>
      <c r="T294" s="134">
        <f t="shared" si="34"/>
        <v>491.81565855124859</v>
      </c>
      <c r="U294" s="134">
        <f t="shared" si="34"/>
        <v>451.13755272284675</v>
      </c>
      <c r="V294" s="134">
        <f t="shared" si="34"/>
        <v>407.38583620653094</v>
      </c>
      <c r="W294" s="134">
        <f t="shared" si="34"/>
        <v>360.38119089122085</v>
      </c>
      <c r="X294" s="134">
        <f t="shared" si="34"/>
        <v>309.9442986658363</v>
      </c>
      <c r="Y294" s="134">
        <f t="shared" si="34"/>
        <v>255.89584141929754</v>
      </c>
      <c r="Z294" s="134">
        <f t="shared" si="34"/>
        <v>198.05650104052461</v>
      </c>
      <c r="AA294" s="134">
        <f t="shared" si="34"/>
        <v>136.24695941843731</v>
      </c>
      <c r="AB294" s="134">
        <f t="shared" si="34"/>
        <v>70.287898441955775</v>
      </c>
      <c r="AC294" s="134">
        <f t="shared" si="34"/>
        <v>0</v>
      </c>
      <c r="AD294" s="134">
        <f t="shared" si="34"/>
        <v>-74.796054018509324</v>
      </c>
      <c r="AE294" s="134">
        <f t="shared" si="34"/>
        <v>-154.27958172465284</v>
      </c>
      <c r="AF294" s="134">
        <f t="shared" si="34"/>
        <v>-238.62990122951135</v>
      </c>
      <c r="AG294" s="134">
        <f t="shared" si="34"/>
        <v>-328.02633064416386</v>
      </c>
      <c r="AH294" s="134">
        <f t="shared" si="34"/>
        <v>-422.64818807969073</v>
      </c>
      <c r="AI294" s="134">
        <f t="shared" si="34"/>
        <v>-522.6747916471719</v>
      </c>
      <c r="AJ294" s="134">
        <f t="shared" si="34"/>
        <v>-625.44859780839988</v>
      </c>
      <c r="AK294" s="134">
        <f t="shared" si="34"/>
        <v>-728.22240396962786</v>
      </c>
      <c r="AL294" s="134">
        <f t="shared" si="34"/>
        <v>-830.99621013085584</v>
      </c>
      <c r="AM294" s="134">
        <f t="shared" si="34"/>
        <v>-933.77001629208382</v>
      </c>
      <c r="AN294" s="134">
        <f t="shared" si="34"/>
        <v>-1036.5438224533118</v>
      </c>
      <c r="AO294" s="134">
        <f t="shared" si="34"/>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5">
      <c r="A295" s="102"/>
      <c r="B295" s="112" t="s">
        <v>121</v>
      </c>
      <c r="C295" s="135"/>
      <c r="D295" s="134">
        <f t="shared" si="34"/>
        <v>853.39872235502617</v>
      </c>
      <c r="E295" s="134">
        <f t="shared" si="34"/>
        <v>853.39872235502617</v>
      </c>
      <c r="F295" s="134">
        <f t="shared" si="34"/>
        <v>853.39872235502617</v>
      </c>
      <c r="G295" s="134">
        <f t="shared" si="34"/>
        <v>853.39872235502617</v>
      </c>
      <c r="H295" s="134">
        <f t="shared" si="34"/>
        <v>853.39872235502617</v>
      </c>
      <c r="I295" s="134">
        <f t="shared" si="34"/>
        <v>853.39872235502617</v>
      </c>
      <c r="J295" s="134">
        <f t="shared" si="34"/>
        <v>843.79416745609024</v>
      </c>
      <c r="K295" s="134">
        <f t="shared" si="34"/>
        <v>823.98967239743115</v>
      </c>
      <c r="L295" s="134">
        <f t="shared" si="34"/>
        <v>802.90474776165797</v>
      </c>
      <c r="M295" s="134">
        <f t="shared" si="34"/>
        <v>780.36007543769028</v>
      </c>
      <c r="N295" s="134">
        <f t="shared" si="34"/>
        <v>756.17633731444835</v>
      </c>
      <c r="O295" s="134">
        <f t="shared" si="34"/>
        <v>730.17421528085242</v>
      </c>
      <c r="P295" s="134">
        <f t="shared" si="34"/>
        <v>702.17439122582209</v>
      </c>
      <c r="Q295" s="134">
        <f t="shared" si="34"/>
        <v>671.99754703827739</v>
      </c>
      <c r="R295" s="134">
        <f t="shared" si="34"/>
        <v>639.46436460713835</v>
      </c>
      <c r="S295" s="134">
        <f t="shared" si="34"/>
        <v>604.39552582132524</v>
      </c>
      <c r="T295" s="134">
        <f t="shared" si="34"/>
        <v>566.61171256975786</v>
      </c>
      <c r="U295" s="134">
        <f t="shared" si="34"/>
        <v>525.93360674135602</v>
      </c>
      <c r="V295" s="134">
        <f t="shared" si="34"/>
        <v>482.18189022504026</v>
      </c>
      <c r="W295" s="134">
        <f t="shared" si="34"/>
        <v>435.17724490973018</v>
      </c>
      <c r="X295" s="134">
        <f t="shared" si="34"/>
        <v>384.74035268434562</v>
      </c>
      <c r="Y295" s="134">
        <f t="shared" si="34"/>
        <v>330.69189543780686</v>
      </c>
      <c r="Z295" s="134">
        <f t="shared" si="34"/>
        <v>272.85255505903393</v>
      </c>
      <c r="AA295" s="134">
        <f t="shared" si="34"/>
        <v>211.04301343694664</v>
      </c>
      <c r="AB295" s="134">
        <f t="shared" si="34"/>
        <v>145.0839524604651</v>
      </c>
      <c r="AC295" s="134">
        <f t="shared" si="34"/>
        <v>74.796054018509324</v>
      </c>
      <c r="AD295" s="134">
        <f t="shared" si="34"/>
        <v>0</v>
      </c>
      <c r="AE295" s="134">
        <f t="shared" si="34"/>
        <v>-79.483527706143519</v>
      </c>
      <c r="AF295" s="134">
        <f t="shared" si="34"/>
        <v>-163.83384721100202</v>
      </c>
      <c r="AG295" s="134">
        <f t="shared" si="34"/>
        <v>-253.23027662565454</v>
      </c>
      <c r="AH295" s="134">
        <f t="shared" si="34"/>
        <v>-347.85213406118146</v>
      </c>
      <c r="AI295" s="134">
        <f t="shared" si="34"/>
        <v>-447.87873762866263</v>
      </c>
      <c r="AJ295" s="134">
        <f t="shared" si="34"/>
        <v>-550.65254378989061</v>
      </c>
      <c r="AK295" s="134">
        <f t="shared" si="34"/>
        <v>-653.4263499511186</v>
      </c>
      <c r="AL295" s="134">
        <f t="shared" si="34"/>
        <v>-756.20015611234658</v>
      </c>
      <c r="AM295" s="134">
        <f t="shared" si="34"/>
        <v>-858.97396227357456</v>
      </c>
      <c r="AN295" s="134">
        <f t="shared" si="34"/>
        <v>-961.74776843480254</v>
      </c>
      <c r="AO295" s="134">
        <f t="shared" si="34"/>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5">
      <c r="A296" s="102"/>
      <c r="B296" s="112" t="s">
        <v>122</v>
      </c>
      <c r="C296" s="135"/>
      <c r="D296" s="134">
        <f t="shared" si="34"/>
        <v>932.88225006116966</v>
      </c>
      <c r="E296" s="134">
        <f t="shared" si="34"/>
        <v>932.88225006116966</v>
      </c>
      <c r="F296" s="134">
        <f t="shared" si="34"/>
        <v>932.88225006116966</v>
      </c>
      <c r="G296" s="134">
        <f t="shared" si="34"/>
        <v>932.88225006116966</v>
      </c>
      <c r="H296" s="134">
        <f t="shared" si="34"/>
        <v>932.88225006116966</v>
      </c>
      <c r="I296" s="134">
        <f t="shared" si="34"/>
        <v>932.88225006116966</v>
      </c>
      <c r="J296" s="134">
        <f t="shared" si="34"/>
        <v>923.27769516223373</v>
      </c>
      <c r="K296" s="134">
        <f t="shared" si="34"/>
        <v>903.47320010357464</v>
      </c>
      <c r="L296" s="134">
        <f t="shared" si="34"/>
        <v>882.38827546780146</v>
      </c>
      <c r="M296" s="134">
        <f t="shared" si="34"/>
        <v>859.84360314383377</v>
      </c>
      <c r="N296" s="134">
        <f t="shared" si="34"/>
        <v>835.65986502059184</v>
      </c>
      <c r="O296" s="134">
        <f t="shared" si="34"/>
        <v>809.65774298699591</v>
      </c>
      <c r="P296" s="134">
        <f t="shared" si="34"/>
        <v>781.65791893196558</v>
      </c>
      <c r="Q296" s="134">
        <f t="shared" si="34"/>
        <v>751.48107474442088</v>
      </c>
      <c r="R296" s="134">
        <f t="shared" si="34"/>
        <v>718.94789231328184</v>
      </c>
      <c r="S296" s="134">
        <f t="shared" si="34"/>
        <v>683.87905352746873</v>
      </c>
      <c r="T296" s="134">
        <f t="shared" si="34"/>
        <v>646.09524027590135</v>
      </c>
      <c r="U296" s="134">
        <f t="shared" si="34"/>
        <v>605.41713444749951</v>
      </c>
      <c r="V296" s="134">
        <f t="shared" si="34"/>
        <v>561.66541793118381</v>
      </c>
      <c r="W296" s="134">
        <f t="shared" si="34"/>
        <v>514.66077261587373</v>
      </c>
      <c r="X296" s="134">
        <f t="shared" si="34"/>
        <v>464.22388039048917</v>
      </c>
      <c r="Y296" s="134">
        <f t="shared" si="34"/>
        <v>410.17542314395041</v>
      </c>
      <c r="Z296" s="134">
        <f t="shared" si="34"/>
        <v>352.33608276517748</v>
      </c>
      <c r="AA296" s="134">
        <f t="shared" si="34"/>
        <v>290.52654114309018</v>
      </c>
      <c r="AB296" s="134">
        <f t="shared" si="34"/>
        <v>224.56748016660862</v>
      </c>
      <c r="AC296" s="134">
        <f t="shared" si="34"/>
        <v>154.27958172465284</v>
      </c>
      <c r="AD296" s="134">
        <f t="shared" si="34"/>
        <v>79.483527706143519</v>
      </c>
      <c r="AE296" s="134">
        <f t="shared" si="34"/>
        <v>0</v>
      </c>
      <c r="AF296" s="134">
        <f t="shared" si="34"/>
        <v>-84.35031950485849</v>
      </c>
      <c r="AG296" s="134">
        <f t="shared" si="34"/>
        <v>-173.74674891951099</v>
      </c>
      <c r="AH296" s="134">
        <f t="shared" si="34"/>
        <v>-268.36860635503785</v>
      </c>
      <c r="AI296" s="134">
        <f t="shared" si="34"/>
        <v>-368.39520992251903</v>
      </c>
      <c r="AJ296" s="134">
        <f t="shared" si="34"/>
        <v>-471.16901608374701</v>
      </c>
      <c r="AK296" s="134">
        <f t="shared" si="34"/>
        <v>-573.94282224497499</v>
      </c>
      <c r="AL296" s="134">
        <f t="shared" si="34"/>
        <v>-676.71662840620297</v>
      </c>
      <c r="AM296" s="134">
        <f t="shared" si="34"/>
        <v>-779.49043456743095</v>
      </c>
      <c r="AN296" s="134">
        <f t="shared" si="34"/>
        <v>-882.26424072865893</v>
      </c>
      <c r="AO296" s="134">
        <f t="shared" si="3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5">
      <c r="A297" s="102"/>
      <c r="B297" s="112" t="s">
        <v>123</v>
      </c>
      <c r="C297" s="135"/>
      <c r="D297" s="134">
        <f t="shared" si="34"/>
        <v>1017.2325695660281</v>
      </c>
      <c r="E297" s="134">
        <f t="shared" si="34"/>
        <v>1017.2325695660281</v>
      </c>
      <c r="F297" s="134">
        <f t="shared" si="34"/>
        <v>1017.2325695660281</v>
      </c>
      <c r="G297" s="134">
        <f t="shared" si="34"/>
        <v>1017.2325695660281</v>
      </c>
      <c r="H297" s="134">
        <f t="shared" si="34"/>
        <v>1017.2325695660281</v>
      </c>
      <c r="I297" s="134">
        <f t="shared" si="34"/>
        <v>1017.2325695660281</v>
      </c>
      <c r="J297" s="134">
        <f t="shared" si="34"/>
        <v>1007.6280146670922</v>
      </c>
      <c r="K297" s="134">
        <f t="shared" si="34"/>
        <v>987.82351960843312</v>
      </c>
      <c r="L297" s="134">
        <f t="shared" si="34"/>
        <v>966.73859497265994</v>
      </c>
      <c r="M297" s="134">
        <f t="shared" si="34"/>
        <v>944.19392264869225</v>
      </c>
      <c r="N297" s="134">
        <f t="shared" si="34"/>
        <v>920.01018452545031</v>
      </c>
      <c r="O297" s="134">
        <f t="shared" si="34"/>
        <v>894.00806249185439</v>
      </c>
      <c r="P297" s="134">
        <f t="shared" si="34"/>
        <v>866.00823843682406</v>
      </c>
      <c r="Q297" s="134">
        <f t="shared" si="34"/>
        <v>835.83139424927936</v>
      </c>
      <c r="R297" s="134">
        <f t="shared" si="34"/>
        <v>803.29821181814032</v>
      </c>
      <c r="S297" s="134">
        <f t="shared" si="34"/>
        <v>768.2293730323272</v>
      </c>
      <c r="T297" s="134">
        <f t="shared" si="34"/>
        <v>730.44555978075982</v>
      </c>
      <c r="U297" s="134">
        <f t="shared" si="34"/>
        <v>689.76745395235798</v>
      </c>
      <c r="V297" s="134">
        <f t="shared" si="34"/>
        <v>646.01573743604229</v>
      </c>
      <c r="W297" s="134">
        <f t="shared" si="34"/>
        <v>599.0110921207322</v>
      </c>
      <c r="X297" s="134">
        <f t="shared" si="34"/>
        <v>548.57419989534765</v>
      </c>
      <c r="Y297" s="134">
        <f t="shared" si="34"/>
        <v>494.52574264880889</v>
      </c>
      <c r="Z297" s="134">
        <f t="shared" si="34"/>
        <v>436.68640227003596</v>
      </c>
      <c r="AA297" s="134">
        <f t="shared" si="34"/>
        <v>374.87686064794866</v>
      </c>
      <c r="AB297" s="134">
        <f t="shared" si="34"/>
        <v>308.91779967146709</v>
      </c>
      <c r="AC297" s="134">
        <f t="shared" si="34"/>
        <v>238.62990122951135</v>
      </c>
      <c r="AD297" s="134">
        <f t="shared" si="34"/>
        <v>163.83384721100202</v>
      </c>
      <c r="AE297" s="134">
        <f t="shared" ref="AE297:AO297" si="35">IF(AE$267=$B297,0,IF(AE$267&gt;$B297,-0.5*AE$265-0.5*AD$265+AD297,0.5*HLOOKUP($B297,$D$264:$AO$265,2,FALSE)+0.5*HLOOKUP($B296,$D$264:$AO$265,2,FALSE)+AE296))</f>
        <v>84.35031950485849</v>
      </c>
      <c r="AF297" s="134">
        <f t="shared" si="35"/>
        <v>0</v>
      </c>
      <c r="AG297" s="134">
        <f t="shared" si="35"/>
        <v>-89.396429414652516</v>
      </c>
      <c r="AH297" s="134">
        <f t="shared" si="35"/>
        <v>-184.01828685017941</v>
      </c>
      <c r="AI297" s="134">
        <f t="shared" si="35"/>
        <v>-284.04489041766061</v>
      </c>
      <c r="AJ297" s="134">
        <f t="shared" si="35"/>
        <v>-386.81869657888859</v>
      </c>
      <c r="AK297" s="134">
        <f t="shared" si="35"/>
        <v>-489.59250274011657</v>
      </c>
      <c r="AL297" s="134">
        <f t="shared" si="35"/>
        <v>-592.36630890134461</v>
      </c>
      <c r="AM297" s="134">
        <f t="shared" si="35"/>
        <v>-695.14011506257259</v>
      </c>
      <c r="AN297" s="134">
        <f t="shared" si="35"/>
        <v>-797.91392122380057</v>
      </c>
      <c r="AO297" s="134">
        <f t="shared" si="3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5">
      <c r="A298" s="102"/>
      <c r="B298" s="112" t="s">
        <v>124</v>
      </c>
      <c r="C298" s="135"/>
      <c r="D298" s="134">
        <f t="shared" ref="D298:AO304" si="36">IF(D$267=$B298,0,IF(D$267&gt;$B298,-0.5*D$265-0.5*C$265+C298,0.5*HLOOKUP($B298,$D$264:$AO$265,2,FALSE)+0.5*HLOOKUP($B297,$D$264:$AO$265,2,FALSE)+D297))</f>
        <v>1106.6289989806805</v>
      </c>
      <c r="E298" s="134">
        <f t="shared" si="36"/>
        <v>1106.6289989806805</v>
      </c>
      <c r="F298" s="134">
        <f t="shared" si="36"/>
        <v>1106.6289989806805</v>
      </c>
      <c r="G298" s="134">
        <f t="shared" si="36"/>
        <v>1106.6289989806805</v>
      </c>
      <c r="H298" s="134">
        <f t="shared" si="36"/>
        <v>1106.6289989806805</v>
      </c>
      <c r="I298" s="134">
        <f t="shared" si="36"/>
        <v>1106.6289989806805</v>
      </c>
      <c r="J298" s="134">
        <f t="shared" si="36"/>
        <v>1097.0244440817446</v>
      </c>
      <c r="K298" s="134">
        <f t="shared" si="36"/>
        <v>1077.2199490230855</v>
      </c>
      <c r="L298" s="134">
        <f t="shared" si="36"/>
        <v>1056.1350243873126</v>
      </c>
      <c r="M298" s="134">
        <f t="shared" si="36"/>
        <v>1033.5903520633447</v>
      </c>
      <c r="N298" s="134">
        <f t="shared" si="36"/>
        <v>1009.4066139401028</v>
      </c>
      <c r="O298" s="134">
        <f t="shared" si="36"/>
        <v>983.40449190650691</v>
      </c>
      <c r="P298" s="134">
        <f t="shared" si="36"/>
        <v>955.40466785147657</v>
      </c>
      <c r="Q298" s="134">
        <f t="shared" si="36"/>
        <v>925.22782366393187</v>
      </c>
      <c r="R298" s="134">
        <f t="shared" si="36"/>
        <v>892.69464123279283</v>
      </c>
      <c r="S298" s="134">
        <f t="shared" si="36"/>
        <v>857.62580244697972</v>
      </c>
      <c r="T298" s="134">
        <f t="shared" si="36"/>
        <v>819.84198919541234</v>
      </c>
      <c r="U298" s="134">
        <f t="shared" si="36"/>
        <v>779.1638833670105</v>
      </c>
      <c r="V298" s="134">
        <f t="shared" si="36"/>
        <v>735.4121668506948</v>
      </c>
      <c r="W298" s="134">
        <f t="shared" si="36"/>
        <v>688.40752153538472</v>
      </c>
      <c r="X298" s="134">
        <f t="shared" si="36"/>
        <v>637.97062931000016</v>
      </c>
      <c r="Y298" s="134">
        <f t="shared" si="36"/>
        <v>583.9221720634614</v>
      </c>
      <c r="Z298" s="134">
        <f t="shared" si="36"/>
        <v>526.08283168468847</v>
      </c>
      <c r="AA298" s="134">
        <f t="shared" si="36"/>
        <v>464.27329006260118</v>
      </c>
      <c r="AB298" s="134">
        <f t="shared" si="36"/>
        <v>398.31422908611961</v>
      </c>
      <c r="AC298" s="134">
        <f t="shared" si="36"/>
        <v>328.02633064416386</v>
      </c>
      <c r="AD298" s="134">
        <f t="shared" si="36"/>
        <v>253.23027662565454</v>
      </c>
      <c r="AE298" s="134">
        <f t="shared" si="36"/>
        <v>173.74674891951099</v>
      </c>
      <c r="AF298" s="134">
        <f t="shared" si="36"/>
        <v>89.396429414652516</v>
      </c>
      <c r="AG298" s="134">
        <f t="shared" si="36"/>
        <v>0</v>
      </c>
      <c r="AH298" s="134">
        <f t="shared" si="36"/>
        <v>-94.621857435526891</v>
      </c>
      <c r="AI298" s="134">
        <f t="shared" si="36"/>
        <v>-194.64846100300809</v>
      </c>
      <c r="AJ298" s="134">
        <f t="shared" si="36"/>
        <v>-297.42226716423608</v>
      </c>
      <c r="AK298" s="134">
        <f t="shared" si="36"/>
        <v>-400.19607332546406</v>
      </c>
      <c r="AL298" s="134">
        <f t="shared" si="36"/>
        <v>-502.96987948669204</v>
      </c>
      <c r="AM298" s="134">
        <f t="shared" si="36"/>
        <v>-605.74368564792007</v>
      </c>
      <c r="AN298" s="134">
        <f t="shared" si="36"/>
        <v>-708.51749180914805</v>
      </c>
      <c r="AO298" s="134">
        <f t="shared" si="3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5">
      <c r="A299" s="102"/>
      <c r="B299" s="112" t="s">
        <v>125</v>
      </c>
      <c r="C299" s="135"/>
      <c r="D299" s="134">
        <f t="shared" si="36"/>
        <v>1201.2508564162074</v>
      </c>
      <c r="E299" s="134">
        <f t="shared" si="36"/>
        <v>1201.2508564162074</v>
      </c>
      <c r="F299" s="134">
        <f t="shared" si="36"/>
        <v>1201.2508564162074</v>
      </c>
      <c r="G299" s="134">
        <f t="shared" si="36"/>
        <v>1201.2508564162074</v>
      </c>
      <c r="H299" s="134">
        <f t="shared" si="36"/>
        <v>1201.2508564162074</v>
      </c>
      <c r="I299" s="134">
        <f t="shared" si="36"/>
        <v>1201.2508564162074</v>
      </c>
      <c r="J299" s="134">
        <f t="shared" si="36"/>
        <v>1191.6463015172715</v>
      </c>
      <c r="K299" s="134">
        <f t="shared" si="36"/>
        <v>1171.8418064586124</v>
      </c>
      <c r="L299" s="134">
        <f t="shared" si="36"/>
        <v>1150.7568818228394</v>
      </c>
      <c r="M299" s="134">
        <f t="shared" si="36"/>
        <v>1128.2122094988715</v>
      </c>
      <c r="N299" s="134">
        <f t="shared" si="36"/>
        <v>1104.0284713756298</v>
      </c>
      <c r="O299" s="134">
        <f t="shared" si="36"/>
        <v>1078.0263493420339</v>
      </c>
      <c r="P299" s="134">
        <f t="shared" si="36"/>
        <v>1050.0265252870036</v>
      </c>
      <c r="Q299" s="134">
        <f t="shared" si="36"/>
        <v>1019.8496810994587</v>
      </c>
      <c r="R299" s="134">
        <f t="shared" si="36"/>
        <v>987.3164986683197</v>
      </c>
      <c r="S299" s="134">
        <f t="shared" si="36"/>
        <v>952.24765988250658</v>
      </c>
      <c r="T299" s="134">
        <f t="shared" si="36"/>
        <v>914.4638466309392</v>
      </c>
      <c r="U299" s="134">
        <f t="shared" si="36"/>
        <v>873.78574080253736</v>
      </c>
      <c r="V299" s="134">
        <f t="shared" si="36"/>
        <v>830.03402428622167</v>
      </c>
      <c r="W299" s="134">
        <f t="shared" si="36"/>
        <v>783.02937897091158</v>
      </c>
      <c r="X299" s="134">
        <f t="shared" si="36"/>
        <v>732.59248674552703</v>
      </c>
      <c r="Y299" s="134">
        <f t="shared" si="36"/>
        <v>678.54402949898827</v>
      </c>
      <c r="Z299" s="134">
        <f t="shared" si="36"/>
        <v>620.70468912021533</v>
      </c>
      <c r="AA299" s="134">
        <f t="shared" si="36"/>
        <v>558.89514749812804</v>
      </c>
      <c r="AB299" s="134">
        <f t="shared" si="36"/>
        <v>492.93608652164653</v>
      </c>
      <c r="AC299" s="134">
        <f t="shared" si="36"/>
        <v>422.64818807969073</v>
      </c>
      <c r="AD299" s="134">
        <f t="shared" si="36"/>
        <v>347.85213406118146</v>
      </c>
      <c r="AE299" s="134">
        <f t="shared" si="36"/>
        <v>268.36860635503785</v>
      </c>
      <c r="AF299" s="134">
        <f t="shared" si="36"/>
        <v>184.01828685017941</v>
      </c>
      <c r="AG299" s="134">
        <f t="shared" si="36"/>
        <v>94.621857435526891</v>
      </c>
      <c r="AH299" s="134">
        <f t="shared" si="36"/>
        <v>0</v>
      </c>
      <c r="AI299" s="134">
        <f t="shared" si="36"/>
        <v>-100.0266035674812</v>
      </c>
      <c r="AJ299" s="134">
        <f t="shared" si="36"/>
        <v>-202.80040972870918</v>
      </c>
      <c r="AK299" s="134">
        <f t="shared" si="36"/>
        <v>-305.57421588993714</v>
      </c>
      <c r="AL299" s="134">
        <f t="shared" si="36"/>
        <v>-408.34802205116512</v>
      </c>
      <c r="AM299" s="134">
        <f t="shared" si="36"/>
        <v>-511.1218282123931</v>
      </c>
      <c r="AN299" s="134">
        <f t="shared" si="36"/>
        <v>-613.89563437362108</v>
      </c>
      <c r="AO299" s="134">
        <f t="shared" si="36"/>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5">
      <c r="A300" s="102"/>
      <c r="B300" s="112" t="s">
        <v>126</v>
      </c>
      <c r="C300" s="135"/>
      <c r="D300" s="134">
        <f t="shared" si="36"/>
        <v>1301.2774599836887</v>
      </c>
      <c r="E300" s="134">
        <f t="shared" si="36"/>
        <v>1301.2774599836887</v>
      </c>
      <c r="F300" s="134">
        <f t="shared" si="36"/>
        <v>1301.2774599836887</v>
      </c>
      <c r="G300" s="134">
        <f t="shared" si="36"/>
        <v>1301.2774599836887</v>
      </c>
      <c r="H300" s="134">
        <f t="shared" si="36"/>
        <v>1301.2774599836887</v>
      </c>
      <c r="I300" s="134">
        <f t="shared" si="36"/>
        <v>1301.2774599836887</v>
      </c>
      <c r="J300" s="134">
        <f t="shared" si="36"/>
        <v>1291.6729050847528</v>
      </c>
      <c r="K300" s="134">
        <f t="shared" si="36"/>
        <v>1271.8684100260937</v>
      </c>
      <c r="L300" s="134">
        <f t="shared" si="36"/>
        <v>1250.7834853903207</v>
      </c>
      <c r="M300" s="134">
        <f t="shared" si="36"/>
        <v>1228.2388130663528</v>
      </c>
      <c r="N300" s="134">
        <f t="shared" si="36"/>
        <v>1204.0550749431111</v>
      </c>
      <c r="O300" s="134">
        <f t="shared" si="36"/>
        <v>1178.0529529095152</v>
      </c>
      <c r="P300" s="134">
        <f t="shared" si="36"/>
        <v>1150.0531288544848</v>
      </c>
      <c r="Q300" s="134">
        <f t="shared" si="36"/>
        <v>1119.8762846669399</v>
      </c>
      <c r="R300" s="134">
        <f t="shared" si="36"/>
        <v>1087.3431022358009</v>
      </c>
      <c r="S300" s="134">
        <f t="shared" si="36"/>
        <v>1052.2742634499878</v>
      </c>
      <c r="T300" s="134">
        <f t="shared" si="36"/>
        <v>1014.4904501984204</v>
      </c>
      <c r="U300" s="134">
        <f t="shared" si="36"/>
        <v>973.81234437001854</v>
      </c>
      <c r="V300" s="134">
        <f t="shared" si="36"/>
        <v>930.06062785370284</v>
      </c>
      <c r="W300" s="134">
        <f t="shared" si="36"/>
        <v>883.05598253839275</v>
      </c>
      <c r="X300" s="134">
        <f t="shared" si="36"/>
        <v>832.6190903130082</v>
      </c>
      <c r="Y300" s="134">
        <f t="shared" si="36"/>
        <v>778.57063306646944</v>
      </c>
      <c r="Z300" s="134">
        <f t="shared" si="36"/>
        <v>720.73129268769651</v>
      </c>
      <c r="AA300" s="134">
        <f t="shared" si="36"/>
        <v>658.92175106560921</v>
      </c>
      <c r="AB300" s="134">
        <f t="shared" si="36"/>
        <v>592.9626900891277</v>
      </c>
      <c r="AC300" s="134">
        <f t="shared" si="36"/>
        <v>522.6747916471719</v>
      </c>
      <c r="AD300" s="134">
        <f t="shared" si="36"/>
        <v>447.87873762866263</v>
      </c>
      <c r="AE300" s="134">
        <f t="shared" si="36"/>
        <v>368.39520992251903</v>
      </c>
      <c r="AF300" s="134">
        <f t="shared" si="36"/>
        <v>284.04489041766061</v>
      </c>
      <c r="AG300" s="134">
        <f t="shared" si="36"/>
        <v>194.64846100300809</v>
      </c>
      <c r="AH300" s="134">
        <f t="shared" si="36"/>
        <v>100.0266035674812</v>
      </c>
      <c r="AI300" s="134">
        <f t="shared" si="36"/>
        <v>0</v>
      </c>
      <c r="AJ300" s="134">
        <f t="shared" si="36"/>
        <v>-102.77380616122798</v>
      </c>
      <c r="AK300" s="134">
        <f t="shared" si="36"/>
        <v>-205.54761232245596</v>
      </c>
      <c r="AL300" s="134">
        <f t="shared" si="36"/>
        <v>-308.32141848368394</v>
      </c>
      <c r="AM300" s="134">
        <f t="shared" si="36"/>
        <v>-411.09522464491192</v>
      </c>
      <c r="AN300" s="134">
        <f t="shared" si="36"/>
        <v>-513.8690308061399</v>
      </c>
      <c r="AO300" s="134">
        <f t="shared" si="36"/>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5">
      <c r="A301" s="102"/>
      <c r="B301" s="112" t="s">
        <v>127</v>
      </c>
      <c r="C301" s="135"/>
      <c r="D301" s="134">
        <f t="shared" si="36"/>
        <v>1404.0512661449166</v>
      </c>
      <c r="E301" s="134">
        <f t="shared" si="36"/>
        <v>1404.0512661449166</v>
      </c>
      <c r="F301" s="134">
        <f t="shared" si="36"/>
        <v>1404.0512661449166</v>
      </c>
      <c r="G301" s="134">
        <f t="shared" si="36"/>
        <v>1404.0512661449166</v>
      </c>
      <c r="H301" s="134">
        <f t="shared" si="36"/>
        <v>1404.0512661449166</v>
      </c>
      <c r="I301" s="134">
        <f t="shared" si="36"/>
        <v>1404.0512661449166</v>
      </c>
      <c r="J301" s="134">
        <f t="shared" si="36"/>
        <v>1394.4467112459806</v>
      </c>
      <c r="K301" s="134">
        <f t="shared" si="36"/>
        <v>1374.6422161873215</v>
      </c>
      <c r="L301" s="134">
        <f t="shared" si="36"/>
        <v>1353.5572915515486</v>
      </c>
      <c r="M301" s="134">
        <f t="shared" si="36"/>
        <v>1331.0126192275807</v>
      </c>
      <c r="N301" s="134">
        <f t="shared" si="36"/>
        <v>1306.828881104339</v>
      </c>
      <c r="O301" s="134">
        <f t="shared" si="36"/>
        <v>1280.8267590707433</v>
      </c>
      <c r="P301" s="134">
        <f t="shared" si="36"/>
        <v>1252.8269350157129</v>
      </c>
      <c r="Q301" s="134">
        <f t="shared" si="36"/>
        <v>1222.6500908281678</v>
      </c>
      <c r="R301" s="134">
        <f t="shared" si="36"/>
        <v>1190.116908397029</v>
      </c>
      <c r="S301" s="134">
        <f t="shared" si="36"/>
        <v>1155.0480696112159</v>
      </c>
      <c r="T301" s="134">
        <f t="shared" si="36"/>
        <v>1117.2642563596482</v>
      </c>
      <c r="U301" s="134">
        <f t="shared" si="36"/>
        <v>1076.5861505312464</v>
      </c>
      <c r="V301" s="134">
        <f t="shared" si="36"/>
        <v>1032.8344340149308</v>
      </c>
      <c r="W301" s="134">
        <f t="shared" si="36"/>
        <v>985.82978869962074</v>
      </c>
      <c r="X301" s="134">
        <f t="shared" si="36"/>
        <v>935.39289647423618</v>
      </c>
      <c r="Y301" s="134">
        <f t="shared" si="36"/>
        <v>881.34443922769742</v>
      </c>
      <c r="Z301" s="134">
        <f t="shared" si="36"/>
        <v>823.50509884892449</v>
      </c>
      <c r="AA301" s="134">
        <f t="shared" si="36"/>
        <v>761.6955572268372</v>
      </c>
      <c r="AB301" s="134">
        <f t="shared" si="36"/>
        <v>695.73649625035569</v>
      </c>
      <c r="AC301" s="134">
        <f t="shared" si="36"/>
        <v>625.44859780839988</v>
      </c>
      <c r="AD301" s="134">
        <f t="shared" si="36"/>
        <v>550.65254378989061</v>
      </c>
      <c r="AE301" s="134">
        <f t="shared" si="36"/>
        <v>471.16901608374701</v>
      </c>
      <c r="AF301" s="134">
        <f t="shared" si="36"/>
        <v>386.81869657888859</v>
      </c>
      <c r="AG301" s="134">
        <f t="shared" si="36"/>
        <v>297.42226716423608</v>
      </c>
      <c r="AH301" s="134">
        <f t="shared" si="36"/>
        <v>202.80040972870918</v>
      </c>
      <c r="AI301" s="134">
        <f t="shared" si="36"/>
        <v>102.77380616122798</v>
      </c>
      <c r="AJ301" s="134">
        <f t="shared" si="36"/>
        <v>0</v>
      </c>
      <c r="AK301" s="134">
        <f t="shared" si="36"/>
        <v>-102.77380616122798</v>
      </c>
      <c r="AL301" s="134">
        <f t="shared" si="36"/>
        <v>-205.54761232245596</v>
      </c>
      <c r="AM301" s="134">
        <f t="shared" si="36"/>
        <v>-308.32141848368394</v>
      </c>
      <c r="AN301" s="134">
        <f t="shared" si="36"/>
        <v>-411.09522464491192</v>
      </c>
      <c r="AO301" s="134">
        <f t="shared" si="36"/>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5">
      <c r="A302" s="102"/>
      <c r="B302" s="112" t="s">
        <v>128</v>
      </c>
      <c r="C302" s="135"/>
      <c r="D302" s="134">
        <f t="shared" si="36"/>
        <v>1506.8250723061446</v>
      </c>
      <c r="E302" s="134">
        <f t="shared" si="36"/>
        <v>1506.8250723061446</v>
      </c>
      <c r="F302" s="134">
        <f t="shared" si="36"/>
        <v>1506.8250723061446</v>
      </c>
      <c r="G302" s="134">
        <f t="shared" si="36"/>
        <v>1506.8250723061446</v>
      </c>
      <c r="H302" s="134">
        <f t="shared" si="36"/>
        <v>1506.8250723061446</v>
      </c>
      <c r="I302" s="134">
        <f t="shared" si="36"/>
        <v>1506.8250723061446</v>
      </c>
      <c r="J302" s="134">
        <f t="shared" si="36"/>
        <v>1497.2205174072087</v>
      </c>
      <c r="K302" s="134">
        <f t="shared" si="36"/>
        <v>1477.4160223485496</v>
      </c>
      <c r="L302" s="134">
        <f t="shared" si="36"/>
        <v>1456.3310977127767</v>
      </c>
      <c r="M302" s="134">
        <f t="shared" si="36"/>
        <v>1433.7864253888088</v>
      </c>
      <c r="N302" s="134">
        <f t="shared" si="36"/>
        <v>1409.6026872655671</v>
      </c>
      <c r="O302" s="134">
        <f t="shared" si="36"/>
        <v>1383.6005652319714</v>
      </c>
      <c r="P302" s="134">
        <f t="shared" si="36"/>
        <v>1355.600741176941</v>
      </c>
      <c r="Q302" s="134">
        <f t="shared" si="36"/>
        <v>1325.4238969893959</v>
      </c>
      <c r="R302" s="134">
        <f t="shared" si="36"/>
        <v>1292.8907145582571</v>
      </c>
      <c r="S302" s="134">
        <f t="shared" si="36"/>
        <v>1257.8218757724439</v>
      </c>
      <c r="T302" s="134">
        <f t="shared" si="36"/>
        <v>1220.0380625208763</v>
      </c>
      <c r="U302" s="134">
        <f t="shared" si="36"/>
        <v>1179.3599566924745</v>
      </c>
      <c r="V302" s="134">
        <f t="shared" si="36"/>
        <v>1135.6082401761587</v>
      </c>
      <c r="W302" s="134">
        <f t="shared" si="36"/>
        <v>1088.6035948608487</v>
      </c>
      <c r="X302" s="134">
        <f t="shared" si="36"/>
        <v>1038.1667026354642</v>
      </c>
      <c r="Y302" s="134">
        <f t="shared" si="36"/>
        <v>984.1182453889254</v>
      </c>
      <c r="Z302" s="134">
        <f t="shared" si="36"/>
        <v>926.27890501015247</v>
      </c>
      <c r="AA302" s="134">
        <f t="shared" si="36"/>
        <v>864.46936338806518</v>
      </c>
      <c r="AB302" s="134">
        <f t="shared" si="36"/>
        <v>798.51030241158367</v>
      </c>
      <c r="AC302" s="134">
        <f t="shared" si="36"/>
        <v>728.22240396962786</v>
      </c>
      <c r="AD302" s="134">
        <f t="shared" si="36"/>
        <v>653.4263499511186</v>
      </c>
      <c r="AE302" s="134">
        <f t="shared" si="36"/>
        <v>573.94282224497499</v>
      </c>
      <c r="AF302" s="134">
        <f t="shared" si="36"/>
        <v>489.59250274011657</v>
      </c>
      <c r="AG302" s="134">
        <f t="shared" si="36"/>
        <v>400.19607332546406</v>
      </c>
      <c r="AH302" s="134">
        <f t="shared" si="36"/>
        <v>305.57421588993714</v>
      </c>
      <c r="AI302" s="134">
        <f t="shared" si="36"/>
        <v>205.54761232245596</v>
      </c>
      <c r="AJ302" s="134">
        <f t="shared" si="36"/>
        <v>102.77380616122798</v>
      </c>
      <c r="AK302" s="134">
        <f t="shared" si="36"/>
        <v>0</v>
      </c>
      <c r="AL302" s="134">
        <f t="shared" si="36"/>
        <v>-102.77380616122798</v>
      </c>
      <c r="AM302" s="134">
        <f t="shared" si="36"/>
        <v>-205.54761232245596</v>
      </c>
      <c r="AN302" s="134">
        <f t="shared" si="36"/>
        <v>-308.32141848368394</v>
      </c>
      <c r="AO302" s="134">
        <f t="shared" si="36"/>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5">
      <c r="A303" s="102"/>
      <c r="B303" s="112" t="s">
        <v>129</v>
      </c>
      <c r="C303" s="135"/>
      <c r="D303" s="134">
        <f t="shared" si="36"/>
        <v>1609.5988784673727</v>
      </c>
      <c r="E303" s="134">
        <f t="shared" si="36"/>
        <v>1609.5988784673727</v>
      </c>
      <c r="F303" s="134">
        <f t="shared" si="36"/>
        <v>1609.5988784673727</v>
      </c>
      <c r="G303" s="134">
        <f t="shared" si="36"/>
        <v>1609.5988784673727</v>
      </c>
      <c r="H303" s="134">
        <f t="shared" si="36"/>
        <v>1609.5988784673727</v>
      </c>
      <c r="I303" s="134">
        <f t="shared" si="36"/>
        <v>1609.5988784673727</v>
      </c>
      <c r="J303" s="134">
        <f t="shared" si="36"/>
        <v>1599.9943235684368</v>
      </c>
      <c r="K303" s="134">
        <f t="shared" si="36"/>
        <v>1580.1898285097777</v>
      </c>
      <c r="L303" s="134">
        <f t="shared" si="36"/>
        <v>1559.1049038740048</v>
      </c>
      <c r="M303" s="134">
        <f t="shared" si="36"/>
        <v>1536.5602315500369</v>
      </c>
      <c r="N303" s="134">
        <f t="shared" si="36"/>
        <v>1512.3764934267952</v>
      </c>
      <c r="O303" s="134">
        <f t="shared" si="36"/>
        <v>1486.3743713931995</v>
      </c>
      <c r="P303" s="134">
        <f t="shared" si="36"/>
        <v>1458.3745473381691</v>
      </c>
      <c r="Q303" s="134">
        <f t="shared" si="36"/>
        <v>1428.197703150624</v>
      </c>
      <c r="R303" s="134">
        <f t="shared" si="36"/>
        <v>1395.6645207194852</v>
      </c>
      <c r="S303" s="134">
        <f t="shared" si="36"/>
        <v>1360.595681933672</v>
      </c>
      <c r="T303" s="134">
        <f t="shared" si="36"/>
        <v>1322.8118686821044</v>
      </c>
      <c r="U303" s="134">
        <f t="shared" si="36"/>
        <v>1282.1337628537026</v>
      </c>
      <c r="V303" s="134">
        <f t="shared" si="36"/>
        <v>1238.3820463373868</v>
      </c>
      <c r="W303" s="134">
        <f t="shared" si="36"/>
        <v>1191.3774010220768</v>
      </c>
      <c r="X303" s="134">
        <f t="shared" si="36"/>
        <v>1140.940508796692</v>
      </c>
      <c r="Y303" s="134">
        <f t="shared" si="36"/>
        <v>1086.8920515501534</v>
      </c>
      <c r="Z303" s="134">
        <f t="shared" si="36"/>
        <v>1029.0527111713805</v>
      </c>
      <c r="AA303" s="134">
        <f t="shared" si="36"/>
        <v>967.24316954929316</v>
      </c>
      <c r="AB303" s="134">
        <f t="shared" si="36"/>
        <v>901.28410857281165</v>
      </c>
      <c r="AC303" s="134">
        <f t="shared" si="36"/>
        <v>830.99621013085584</v>
      </c>
      <c r="AD303" s="134">
        <f t="shared" si="36"/>
        <v>756.20015611234658</v>
      </c>
      <c r="AE303" s="134">
        <f t="shared" si="36"/>
        <v>676.71662840620297</v>
      </c>
      <c r="AF303" s="134">
        <f t="shared" si="36"/>
        <v>592.36630890134461</v>
      </c>
      <c r="AG303" s="134">
        <f t="shared" si="36"/>
        <v>502.96987948669204</v>
      </c>
      <c r="AH303" s="134">
        <f t="shared" si="36"/>
        <v>408.34802205116512</v>
      </c>
      <c r="AI303" s="134">
        <f t="shared" si="36"/>
        <v>308.32141848368394</v>
      </c>
      <c r="AJ303" s="134">
        <f t="shared" si="36"/>
        <v>205.54761232245596</v>
      </c>
      <c r="AK303" s="134">
        <f t="shared" si="36"/>
        <v>102.77380616122798</v>
      </c>
      <c r="AL303" s="134">
        <f t="shared" si="36"/>
        <v>0</v>
      </c>
      <c r="AM303" s="134">
        <f t="shared" si="36"/>
        <v>-102.77380616122798</v>
      </c>
      <c r="AN303" s="134">
        <f t="shared" si="36"/>
        <v>-205.54761232245596</v>
      </c>
      <c r="AO303" s="134">
        <f t="shared" si="36"/>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5">
      <c r="A304" s="102"/>
      <c r="B304" s="112" t="s">
        <v>130</v>
      </c>
      <c r="C304" s="135"/>
      <c r="D304" s="134">
        <f t="shared" si="36"/>
        <v>1712.3726846286008</v>
      </c>
      <c r="E304" s="134">
        <f t="shared" si="36"/>
        <v>1712.3726846286008</v>
      </c>
      <c r="F304" s="134">
        <f t="shared" si="36"/>
        <v>1712.3726846286008</v>
      </c>
      <c r="G304" s="134">
        <f t="shared" si="36"/>
        <v>1712.3726846286008</v>
      </c>
      <c r="H304" s="134">
        <f t="shared" si="36"/>
        <v>1712.3726846286008</v>
      </c>
      <c r="I304" s="134">
        <f t="shared" si="36"/>
        <v>1712.3726846286008</v>
      </c>
      <c r="J304" s="134">
        <f t="shared" si="36"/>
        <v>1702.7681297296649</v>
      </c>
      <c r="K304" s="134">
        <f t="shared" si="36"/>
        <v>1682.9636346710058</v>
      </c>
      <c r="L304" s="134">
        <f t="shared" si="36"/>
        <v>1661.8787100352329</v>
      </c>
      <c r="M304" s="134">
        <f t="shared" si="36"/>
        <v>1639.334037711265</v>
      </c>
      <c r="N304" s="134">
        <f t="shared" si="36"/>
        <v>1615.1502995880232</v>
      </c>
      <c r="O304" s="134">
        <f t="shared" si="36"/>
        <v>1589.1481775544275</v>
      </c>
      <c r="P304" s="134">
        <f t="shared" si="36"/>
        <v>1561.1483534993972</v>
      </c>
      <c r="Q304" s="134">
        <f t="shared" si="36"/>
        <v>1530.9715093118521</v>
      </c>
      <c r="R304" s="134">
        <f t="shared" si="36"/>
        <v>1498.4383268807132</v>
      </c>
      <c r="S304" s="134">
        <f t="shared" si="36"/>
        <v>1463.3694880949001</v>
      </c>
      <c r="T304" s="134">
        <f t="shared" si="36"/>
        <v>1425.5856748433325</v>
      </c>
      <c r="U304" s="134">
        <f t="shared" si="36"/>
        <v>1384.9075690149307</v>
      </c>
      <c r="V304" s="134">
        <f t="shared" si="36"/>
        <v>1341.1558524986149</v>
      </c>
      <c r="W304" s="134">
        <f t="shared" si="36"/>
        <v>1294.1512071833049</v>
      </c>
      <c r="X304" s="134">
        <f t="shared" si="36"/>
        <v>1243.7143149579201</v>
      </c>
      <c r="Y304" s="134">
        <f t="shared" si="36"/>
        <v>1189.6658577113812</v>
      </c>
      <c r="Z304" s="134">
        <f t="shared" si="36"/>
        <v>1131.8265173326085</v>
      </c>
      <c r="AA304" s="134">
        <f t="shared" si="36"/>
        <v>1070.0169757105211</v>
      </c>
      <c r="AB304" s="134">
        <f t="shared" si="36"/>
        <v>1004.0579147340396</v>
      </c>
      <c r="AC304" s="134">
        <f t="shared" si="36"/>
        <v>933.77001629208382</v>
      </c>
      <c r="AD304" s="134">
        <f t="shared" si="36"/>
        <v>858.97396227357456</v>
      </c>
      <c r="AE304" s="134">
        <f t="shared" ref="AE304:AO304" si="37">IF(AE$267=$B304,0,IF(AE$267&gt;$B304,-0.5*AE$265-0.5*AD$265+AD304,0.5*HLOOKUP($B304,$D$264:$AO$265,2,FALSE)+0.5*HLOOKUP($B303,$D$264:$AO$265,2,FALSE)+AE303))</f>
        <v>779.49043456743095</v>
      </c>
      <c r="AF304" s="134">
        <f t="shared" si="37"/>
        <v>695.14011506257259</v>
      </c>
      <c r="AG304" s="134">
        <f t="shared" si="37"/>
        <v>605.74368564792007</v>
      </c>
      <c r="AH304" s="134">
        <f t="shared" si="37"/>
        <v>511.1218282123931</v>
      </c>
      <c r="AI304" s="134">
        <f t="shared" si="37"/>
        <v>411.09522464491192</v>
      </c>
      <c r="AJ304" s="134">
        <f t="shared" si="37"/>
        <v>308.32141848368394</v>
      </c>
      <c r="AK304" s="134">
        <f t="shared" si="37"/>
        <v>205.54761232245596</v>
      </c>
      <c r="AL304" s="134">
        <f t="shared" si="37"/>
        <v>102.77380616122798</v>
      </c>
      <c r="AM304" s="134">
        <f t="shared" si="37"/>
        <v>0</v>
      </c>
      <c r="AN304" s="134">
        <f t="shared" si="37"/>
        <v>-102.77380616122798</v>
      </c>
      <c r="AO304" s="134">
        <f t="shared" si="37"/>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5">
      <c r="A305" s="102"/>
      <c r="B305" s="112" t="s">
        <v>131</v>
      </c>
      <c r="C305" s="135"/>
      <c r="D305" s="134">
        <f t="shared" ref="D305:AO306" si="38">IF(D$267=$B305,0,IF(D$267&gt;$B305,-0.5*D$265-0.5*C$265+C305,0.5*HLOOKUP($B305,$D$264:$AO$265,2,FALSE)+0.5*HLOOKUP($B304,$D$264:$AO$265,2,FALSE)+D304))</f>
        <v>1815.1464907898289</v>
      </c>
      <c r="E305" s="134">
        <f t="shared" si="38"/>
        <v>1815.1464907898289</v>
      </c>
      <c r="F305" s="134">
        <f t="shared" si="38"/>
        <v>1815.1464907898289</v>
      </c>
      <c r="G305" s="134">
        <f t="shared" si="38"/>
        <v>1815.1464907898289</v>
      </c>
      <c r="H305" s="134">
        <f t="shared" si="38"/>
        <v>1815.1464907898289</v>
      </c>
      <c r="I305" s="134">
        <f t="shared" si="38"/>
        <v>1815.1464907898289</v>
      </c>
      <c r="J305" s="134">
        <f t="shared" si="38"/>
        <v>1805.541935890893</v>
      </c>
      <c r="K305" s="134">
        <f t="shared" si="38"/>
        <v>1785.7374408322339</v>
      </c>
      <c r="L305" s="134">
        <f t="shared" si="38"/>
        <v>1764.652516196461</v>
      </c>
      <c r="M305" s="134">
        <f t="shared" si="38"/>
        <v>1742.107843872493</v>
      </c>
      <c r="N305" s="134">
        <f t="shared" si="38"/>
        <v>1717.9241057492513</v>
      </c>
      <c r="O305" s="134">
        <f t="shared" si="38"/>
        <v>1691.9219837156556</v>
      </c>
      <c r="P305" s="134">
        <f t="shared" si="38"/>
        <v>1663.9221596606253</v>
      </c>
      <c r="Q305" s="134">
        <f t="shared" si="38"/>
        <v>1633.7453154730802</v>
      </c>
      <c r="R305" s="134">
        <f t="shared" si="38"/>
        <v>1601.2121330419413</v>
      </c>
      <c r="S305" s="134">
        <f t="shared" si="38"/>
        <v>1566.1432942561282</v>
      </c>
      <c r="T305" s="134">
        <f t="shared" si="38"/>
        <v>1528.3594810045606</v>
      </c>
      <c r="U305" s="134">
        <f t="shared" si="38"/>
        <v>1487.6813751761588</v>
      </c>
      <c r="V305" s="134">
        <f t="shared" si="38"/>
        <v>1443.929658659843</v>
      </c>
      <c r="W305" s="134">
        <f t="shared" si="38"/>
        <v>1396.925013344533</v>
      </c>
      <c r="X305" s="134">
        <f t="shared" si="38"/>
        <v>1346.4881211191482</v>
      </c>
      <c r="Y305" s="134">
        <f t="shared" si="38"/>
        <v>1292.4396638726093</v>
      </c>
      <c r="Z305" s="134">
        <f t="shared" si="38"/>
        <v>1234.6003234938366</v>
      </c>
      <c r="AA305" s="134">
        <f t="shared" si="38"/>
        <v>1172.790781871749</v>
      </c>
      <c r="AB305" s="134">
        <f t="shared" si="38"/>
        <v>1106.8317208952676</v>
      </c>
      <c r="AC305" s="134">
        <f t="shared" si="38"/>
        <v>1036.5438224533118</v>
      </c>
      <c r="AD305" s="134">
        <f t="shared" si="38"/>
        <v>961.74776843480254</v>
      </c>
      <c r="AE305" s="134">
        <f t="shared" si="38"/>
        <v>882.26424072865893</v>
      </c>
      <c r="AF305" s="134">
        <f t="shared" si="38"/>
        <v>797.91392122380057</v>
      </c>
      <c r="AG305" s="134">
        <f t="shared" si="38"/>
        <v>708.51749180914805</v>
      </c>
      <c r="AH305" s="134">
        <f t="shared" si="38"/>
        <v>613.89563437362108</v>
      </c>
      <c r="AI305" s="134">
        <f t="shared" si="38"/>
        <v>513.8690308061399</v>
      </c>
      <c r="AJ305" s="134">
        <f t="shared" si="38"/>
        <v>411.09522464491192</v>
      </c>
      <c r="AK305" s="134">
        <f t="shared" si="38"/>
        <v>308.32141848368394</v>
      </c>
      <c r="AL305" s="134">
        <f t="shared" si="38"/>
        <v>205.54761232245596</v>
      </c>
      <c r="AM305" s="134">
        <f t="shared" si="38"/>
        <v>102.77380616122798</v>
      </c>
      <c r="AN305" s="134">
        <f t="shared" si="38"/>
        <v>0</v>
      </c>
      <c r="AO305" s="134">
        <f t="shared" si="38"/>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5">
      <c r="A306" s="102"/>
      <c r="B306" s="112" t="s">
        <v>132</v>
      </c>
      <c r="C306" s="135"/>
      <c r="D306" s="134">
        <f t="shared" si="38"/>
        <v>1917.920296951057</v>
      </c>
      <c r="E306" s="134">
        <f t="shared" si="38"/>
        <v>1917.920296951057</v>
      </c>
      <c r="F306" s="134">
        <f t="shared" si="38"/>
        <v>1917.920296951057</v>
      </c>
      <c r="G306" s="134">
        <f t="shared" si="38"/>
        <v>1917.920296951057</v>
      </c>
      <c r="H306" s="134">
        <f t="shared" si="38"/>
        <v>1917.920296951057</v>
      </c>
      <c r="I306" s="134">
        <f t="shared" si="38"/>
        <v>1917.920296951057</v>
      </c>
      <c r="J306" s="134">
        <f t="shared" si="38"/>
        <v>1908.3157420521211</v>
      </c>
      <c r="K306" s="134">
        <f t="shared" si="38"/>
        <v>1888.511246993462</v>
      </c>
      <c r="L306" s="134">
        <f t="shared" si="38"/>
        <v>1867.4263223576891</v>
      </c>
      <c r="M306" s="134">
        <f t="shared" si="38"/>
        <v>1844.8816500337211</v>
      </c>
      <c r="N306" s="134">
        <f t="shared" si="38"/>
        <v>1820.6979119104794</v>
      </c>
      <c r="O306" s="134">
        <f t="shared" si="38"/>
        <v>1794.6957898768837</v>
      </c>
      <c r="P306" s="134">
        <f t="shared" si="38"/>
        <v>1766.6959658218534</v>
      </c>
      <c r="Q306" s="134">
        <f t="shared" si="38"/>
        <v>1736.5191216343082</v>
      </c>
      <c r="R306" s="134">
        <f t="shared" si="38"/>
        <v>1703.9859392031694</v>
      </c>
      <c r="S306" s="134">
        <f t="shared" si="38"/>
        <v>1668.9171004173563</v>
      </c>
      <c r="T306" s="134">
        <f t="shared" si="38"/>
        <v>1631.1332871657887</v>
      </c>
      <c r="U306" s="134">
        <f t="shared" si="38"/>
        <v>1590.4551813373869</v>
      </c>
      <c r="V306" s="134">
        <f t="shared" si="38"/>
        <v>1546.7034648210711</v>
      </c>
      <c r="W306" s="134">
        <f t="shared" si="38"/>
        <v>1499.6988195057611</v>
      </c>
      <c r="X306" s="134">
        <f t="shared" si="38"/>
        <v>1449.2619272803763</v>
      </c>
      <c r="Y306" s="134">
        <f t="shared" si="38"/>
        <v>1395.2134700338374</v>
      </c>
      <c r="Z306" s="134">
        <f t="shared" si="38"/>
        <v>1337.3741296550647</v>
      </c>
      <c r="AA306" s="134">
        <f t="shared" si="38"/>
        <v>1275.5645880329771</v>
      </c>
      <c r="AB306" s="134">
        <f t="shared" si="38"/>
        <v>1209.6055270564957</v>
      </c>
      <c r="AC306" s="134">
        <f t="shared" si="38"/>
        <v>1139.3176286145399</v>
      </c>
      <c r="AD306" s="134">
        <f t="shared" si="38"/>
        <v>1064.5215745960304</v>
      </c>
      <c r="AE306" s="134">
        <f t="shared" si="38"/>
        <v>985.03804688988691</v>
      </c>
      <c r="AF306" s="134">
        <f t="shared" si="38"/>
        <v>900.68772738502855</v>
      </c>
      <c r="AG306" s="134">
        <f t="shared" si="38"/>
        <v>811.29129797037604</v>
      </c>
      <c r="AH306" s="134">
        <f t="shared" si="38"/>
        <v>716.66944053484906</v>
      </c>
      <c r="AI306" s="134">
        <f t="shared" si="38"/>
        <v>616.64283696736788</v>
      </c>
      <c r="AJ306" s="134">
        <f t="shared" si="38"/>
        <v>513.8690308061399</v>
      </c>
      <c r="AK306" s="134">
        <f t="shared" si="38"/>
        <v>411.09522464491192</v>
      </c>
      <c r="AL306" s="134">
        <f t="shared" si="38"/>
        <v>308.32141848368394</v>
      </c>
      <c r="AM306" s="134">
        <f t="shared" si="38"/>
        <v>205.54761232245596</v>
      </c>
      <c r="AN306" s="134">
        <f t="shared" si="38"/>
        <v>102.77380616122798</v>
      </c>
      <c r="AO306" s="134">
        <f t="shared" si="38"/>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5">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5" x14ac:dyDescent="0.35">
      <c r="B308" s="8" t="s">
        <v>147</v>
      </c>
      <c r="C308" s="9"/>
      <c r="D308" s="10"/>
      <c r="E308" s="10"/>
    </row>
    <row r="309" spans="1:95" ht="15" customHeight="1" x14ac:dyDescent="0.35">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5">
      <c r="A310" s="102"/>
      <c r="B310" s="151" t="s">
        <v>141</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5">
      <c r="A311" s="102"/>
      <c r="B311" s="151"/>
      <c r="C311" s="64" t="s">
        <v>223</v>
      </c>
      <c r="D311" s="12" t="s">
        <v>95</v>
      </c>
      <c r="E311" s="13" t="s">
        <v>96</v>
      </c>
      <c r="F311" s="97" t="s">
        <v>97</v>
      </c>
      <c r="G311" s="97" t="s">
        <v>98</v>
      </c>
      <c r="H311" s="97" t="s">
        <v>99</v>
      </c>
      <c r="I311" s="97" t="s">
        <v>100</v>
      </c>
      <c r="J311" s="97" t="s">
        <v>101</v>
      </c>
      <c r="K311" s="97" t="s">
        <v>102</v>
      </c>
      <c r="L311" s="97" t="s">
        <v>103</v>
      </c>
      <c r="M311" s="97" t="s">
        <v>104</v>
      </c>
      <c r="N311" s="97" t="s">
        <v>105</v>
      </c>
      <c r="O311" s="97" t="s">
        <v>106</v>
      </c>
      <c r="P311" s="97" t="s">
        <v>107</v>
      </c>
      <c r="Q311" s="97" t="s">
        <v>108</v>
      </c>
      <c r="R311" s="97" t="s">
        <v>109</v>
      </c>
      <c r="S311" s="97" t="s">
        <v>110</v>
      </c>
      <c r="T311" s="97" t="s">
        <v>111</v>
      </c>
      <c r="U311" s="97" t="s">
        <v>112</v>
      </c>
      <c r="V311" s="97" t="s">
        <v>113</v>
      </c>
      <c r="W311" s="97" t="s">
        <v>114</v>
      </c>
      <c r="X311" s="97" t="s">
        <v>115</v>
      </c>
      <c r="Y311" s="97" t="s">
        <v>116</v>
      </c>
      <c r="Z311" s="97" t="s">
        <v>117</v>
      </c>
      <c r="AA311" s="97" t="s">
        <v>118</v>
      </c>
      <c r="AB311" s="97" t="s">
        <v>119</v>
      </c>
      <c r="AC311" s="97" t="s">
        <v>120</v>
      </c>
      <c r="AD311" s="97" t="s">
        <v>121</v>
      </c>
      <c r="AE311" s="97" t="s">
        <v>122</v>
      </c>
      <c r="AF311" s="97" t="s">
        <v>123</v>
      </c>
      <c r="AG311" s="97" t="s">
        <v>124</v>
      </c>
      <c r="AH311" s="97" t="s">
        <v>125</v>
      </c>
      <c r="AI311" s="97" t="s">
        <v>126</v>
      </c>
      <c r="AJ311" s="97" t="s">
        <v>127</v>
      </c>
      <c r="AK311" s="97" t="s">
        <v>128</v>
      </c>
      <c r="AL311" s="97" t="s">
        <v>129</v>
      </c>
      <c r="AM311" s="97" t="s">
        <v>130</v>
      </c>
      <c r="AN311" s="97" t="s">
        <v>131</v>
      </c>
      <c r="AO311" s="97" t="s">
        <v>132</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5">
      <c r="A312" s="102"/>
      <c r="B312" s="102" t="s">
        <v>229</v>
      </c>
      <c r="C312" s="102">
        <f>Road_mask</f>
        <v>1</v>
      </c>
      <c r="D312" s="118">
        <v>0</v>
      </c>
      <c r="E312" s="118">
        <v>0</v>
      </c>
      <c r="F312" s="118">
        <v>0</v>
      </c>
      <c r="G312" s="118">
        <v>0</v>
      </c>
      <c r="H312" s="118">
        <v>0</v>
      </c>
      <c r="I312" s="118">
        <v>0</v>
      </c>
      <c r="J312" s="118">
        <f t="shared" ref="J312:AO312" si="39">AMI_values_road_1dB_in</f>
        <v>0</v>
      </c>
      <c r="K312" s="118">
        <f t="shared" si="39"/>
        <v>0</v>
      </c>
      <c r="L312" s="118">
        <f t="shared" si="39"/>
        <v>0</v>
      </c>
      <c r="M312" s="118">
        <f t="shared" si="39"/>
        <v>0</v>
      </c>
      <c r="N312" s="118">
        <f t="shared" si="39"/>
        <v>0</v>
      </c>
      <c r="O312" s="118">
        <f t="shared" si="39"/>
        <v>0</v>
      </c>
      <c r="P312" s="118">
        <f t="shared" si="39"/>
        <v>2.1908346961933955</v>
      </c>
      <c r="Q312" s="118">
        <f t="shared" si="39"/>
        <v>4.3315455822901852</v>
      </c>
      <c r="R312" s="118">
        <f t="shared" si="39"/>
        <v>6.1334202810250771</v>
      </c>
      <c r="S312" s="118">
        <f t="shared" si="39"/>
        <v>7.9911169652514555</v>
      </c>
      <c r="T312" s="118">
        <f t="shared" si="39"/>
        <v>9.9046356349706333</v>
      </c>
      <c r="U312" s="118">
        <f t="shared" si="39"/>
        <v>11.873976290180316</v>
      </c>
      <c r="V312" s="118">
        <f t="shared" si="39"/>
        <v>13.899138930883124</v>
      </c>
      <c r="W312" s="118">
        <f t="shared" si="39"/>
        <v>15.980123557078405</v>
      </c>
      <c r="X312" s="118">
        <f t="shared" si="39"/>
        <v>18.116930168764519</v>
      </c>
      <c r="Y312" s="118">
        <f t="shared" si="39"/>
        <v>20.309558765942118</v>
      </c>
      <c r="Z312" s="118">
        <f t="shared" si="39"/>
        <v>22.558009348613183</v>
      </c>
      <c r="AA312" s="118">
        <f t="shared" si="39"/>
        <v>24.862281916777032</v>
      </c>
      <c r="AB312" s="118">
        <f t="shared" si="39"/>
        <v>27.222376470430415</v>
      </c>
      <c r="AC312" s="118">
        <f t="shared" si="39"/>
        <v>29.638293009576589</v>
      </c>
      <c r="AD312" s="118">
        <f t="shared" si="39"/>
        <v>32.110031534215565</v>
      </c>
      <c r="AE312" s="118">
        <f t="shared" si="39"/>
        <v>34.63759204434669</v>
      </c>
      <c r="AF312" s="118">
        <f t="shared" si="39"/>
        <v>37.220974539969291</v>
      </c>
      <c r="AG312" s="118">
        <f t="shared" si="39"/>
        <v>39.86017902108339</v>
      </c>
      <c r="AH312" s="118">
        <f t="shared" si="39"/>
        <v>42.555205487689626</v>
      </c>
      <c r="AI312" s="118">
        <f t="shared" si="39"/>
        <v>45.306053939789322</v>
      </c>
      <c r="AJ312" s="118">
        <f t="shared" si="39"/>
        <v>48.112724377379195</v>
      </c>
      <c r="AK312" s="118">
        <f t="shared" si="39"/>
        <v>50.975216800461872</v>
      </c>
      <c r="AL312" s="118">
        <f t="shared" si="39"/>
        <v>53.89353120903732</v>
      </c>
      <c r="AM312" s="118">
        <f t="shared" si="39"/>
        <v>53.89353120903732</v>
      </c>
      <c r="AN312" s="118">
        <f t="shared" si="39"/>
        <v>53.89353120903732</v>
      </c>
      <c r="AO312" s="118">
        <f t="shared" si="39"/>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5">
      <c r="A313" s="102"/>
      <c r="B313" s="102" t="s">
        <v>230</v>
      </c>
      <c r="C313" s="101">
        <f>Rail_mask</f>
        <v>0</v>
      </c>
      <c r="D313" s="118">
        <v>0</v>
      </c>
      <c r="E313" s="118">
        <v>0</v>
      </c>
      <c r="F313" s="118">
        <v>0</v>
      </c>
      <c r="G313" s="118">
        <v>0</v>
      </c>
      <c r="H313" s="118">
        <v>0</v>
      </c>
      <c r="I313" s="118">
        <v>0</v>
      </c>
      <c r="J313" s="118">
        <f t="shared" ref="J313:AO313" si="40">AMI_values_rail_1dB_in</f>
        <v>0</v>
      </c>
      <c r="K313" s="118">
        <f t="shared" si="40"/>
        <v>0</v>
      </c>
      <c r="L313" s="118">
        <f t="shared" si="40"/>
        <v>0</v>
      </c>
      <c r="M313" s="118">
        <f t="shared" si="40"/>
        <v>0</v>
      </c>
      <c r="N313" s="118">
        <f t="shared" si="40"/>
        <v>0</v>
      </c>
      <c r="O313" s="118">
        <f t="shared" si="40"/>
        <v>0</v>
      </c>
      <c r="P313" s="118">
        <f t="shared" si="40"/>
        <v>0</v>
      </c>
      <c r="Q313" s="118">
        <f t="shared" si="40"/>
        <v>0</v>
      </c>
      <c r="R313" s="118">
        <f t="shared" si="40"/>
        <v>2.1908346961933955</v>
      </c>
      <c r="S313" s="118">
        <f t="shared" si="40"/>
        <v>4.3315455822901852</v>
      </c>
      <c r="T313" s="118">
        <f t="shared" si="40"/>
        <v>6.1334202810250771</v>
      </c>
      <c r="U313" s="118">
        <f t="shared" si="40"/>
        <v>7.9911169652514555</v>
      </c>
      <c r="V313" s="118">
        <f t="shared" si="40"/>
        <v>9.9046356349706333</v>
      </c>
      <c r="W313" s="118">
        <f t="shared" si="40"/>
        <v>11.873976290180316</v>
      </c>
      <c r="X313" s="118">
        <f t="shared" si="40"/>
        <v>13.899138930883124</v>
      </c>
      <c r="Y313" s="118">
        <f t="shared" si="40"/>
        <v>15.980123557078405</v>
      </c>
      <c r="Z313" s="118">
        <f t="shared" si="40"/>
        <v>18.116930168764519</v>
      </c>
      <c r="AA313" s="118">
        <f t="shared" si="40"/>
        <v>20.309558765942118</v>
      </c>
      <c r="AB313" s="118">
        <f t="shared" si="40"/>
        <v>22.558009348613183</v>
      </c>
      <c r="AC313" s="118">
        <f t="shared" si="40"/>
        <v>24.862281916777032</v>
      </c>
      <c r="AD313" s="118">
        <f t="shared" si="40"/>
        <v>27.222376470430415</v>
      </c>
      <c r="AE313" s="118">
        <f t="shared" si="40"/>
        <v>29.638293009576589</v>
      </c>
      <c r="AF313" s="118">
        <f t="shared" si="40"/>
        <v>32.110031534215565</v>
      </c>
      <c r="AG313" s="118">
        <f t="shared" si="40"/>
        <v>34.63759204434669</v>
      </c>
      <c r="AH313" s="118">
        <f t="shared" si="40"/>
        <v>37.220974539969291</v>
      </c>
      <c r="AI313" s="118">
        <f t="shared" si="40"/>
        <v>39.86017902108339</v>
      </c>
      <c r="AJ313" s="118">
        <f t="shared" si="40"/>
        <v>42.555205487689626</v>
      </c>
      <c r="AK313" s="118">
        <f t="shared" si="40"/>
        <v>45.306053939789322</v>
      </c>
      <c r="AL313" s="118">
        <f t="shared" si="40"/>
        <v>48.112724377379195</v>
      </c>
      <c r="AM313" s="118">
        <f t="shared" si="40"/>
        <v>50.975216800461872</v>
      </c>
      <c r="AN313" s="118">
        <f t="shared" si="40"/>
        <v>53.89353120903732</v>
      </c>
      <c r="AO313" s="118">
        <f t="shared" si="40"/>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5">
      <c r="A314" s="102"/>
      <c r="B314" s="102" t="s">
        <v>231</v>
      </c>
      <c r="C314" s="101">
        <f>Aviation_mask</f>
        <v>0</v>
      </c>
      <c r="D314" s="118">
        <v>0</v>
      </c>
      <c r="E314" s="118">
        <v>0</v>
      </c>
      <c r="F314" s="118">
        <v>0</v>
      </c>
      <c r="G314" s="118">
        <v>0</v>
      </c>
      <c r="H314" s="118">
        <v>0</v>
      </c>
      <c r="I314" s="118">
        <v>0</v>
      </c>
      <c r="J314" s="118">
        <f t="shared" ref="J314:AO314" si="41">AMI_values_aviation_1dB_in</f>
        <v>0</v>
      </c>
      <c r="K314" s="118">
        <f t="shared" si="41"/>
        <v>0</v>
      </c>
      <c r="L314" s="118">
        <f t="shared" si="41"/>
        <v>0</v>
      </c>
      <c r="M314" s="118">
        <f t="shared" si="41"/>
        <v>0</v>
      </c>
      <c r="N314" s="118">
        <f t="shared" si="41"/>
        <v>0</v>
      </c>
      <c r="O314" s="118">
        <f t="shared" si="41"/>
        <v>0</v>
      </c>
      <c r="P314" s="118">
        <f t="shared" si="41"/>
        <v>0</v>
      </c>
      <c r="Q314" s="118">
        <f t="shared" si="41"/>
        <v>0</v>
      </c>
      <c r="R314" s="118">
        <f t="shared" si="41"/>
        <v>2.1908346961933955</v>
      </c>
      <c r="S314" s="118">
        <f t="shared" si="41"/>
        <v>4.3315455822901852</v>
      </c>
      <c r="T314" s="118">
        <f t="shared" si="41"/>
        <v>6.1334202810250771</v>
      </c>
      <c r="U314" s="118">
        <f t="shared" si="41"/>
        <v>7.9911169652514555</v>
      </c>
      <c r="V314" s="118">
        <f t="shared" si="41"/>
        <v>9.9046356349706333</v>
      </c>
      <c r="W314" s="118">
        <f t="shared" si="41"/>
        <v>11.873976290180316</v>
      </c>
      <c r="X314" s="118">
        <f t="shared" si="41"/>
        <v>13.899138930883124</v>
      </c>
      <c r="Y314" s="118">
        <f t="shared" si="41"/>
        <v>15.980123557078405</v>
      </c>
      <c r="Z314" s="118">
        <f t="shared" si="41"/>
        <v>18.116930168764519</v>
      </c>
      <c r="AA314" s="118">
        <f t="shared" si="41"/>
        <v>20.309558765942118</v>
      </c>
      <c r="AB314" s="118">
        <f t="shared" si="41"/>
        <v>22.558009348613183</v>
      </c>
      <c r="AC314" s="118">
        <f t="shared" si="41"/>
        <v>24.862281916777032</v>
      </c>
      <c r="AD314" s="118">
        <f t="shared" si="41"/>
        <v>27.222376470430415</v>
      </c>
      <c r="AE314" s="118">
        <f t="shared" si="41"/>
        <v>29.638293009576589</v>
      </c>
      <c r="AF314" s="118">
        <f t="shared" si="41"/>
        <v>32.110031534215565</v>
      </c>
      <c r="AG314" s="118">
        <f t="shared" si="41"/>
        <v>34.63759204434669</v>
      </c>
      <c r="AH314" s="118">
        <f t="shared" si="41"/>
        <v>37.220974539969291</v>
      </c>
      <c r="AI314" s="118">
        <f t="shared" si="41"/>
        <v>39.86017902108339</v>
      </c>
      <c r="AJ314" s="118">
        <f t="shared" si="41"/>
        <v>42.555205487689626</v>
      </c>
      <c r="AK314" s="118">
        <f t="shared" si="41"/>
        <v>45.306053939789322</v>
      </c>
      <c r="AL314" s="118">
        <f t="shared" si="41"/>
        <v>48.112724377379195</v>
      </c>
      <c r="AM314" s="118">
        <f t="shared" si="41"/>
        <v>50.975216800461872</v>
      </c>
      <c r="AN314" s="118">
        <f t="shared" si="41"/>
        <v>53.89353120903732</v>
      </c>
      <c r="AO314" s="118">
        <f t="shared" si="41"/>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5">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5">
      <c r="A316" s="102"/>
      <c r="B316" s="151" t="s">
        <v>141</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5">
      <c r="A317" s="102"/>
      <c r="B317" s="151"/>
      <c r="C317" s="102"/>
      <c r="D317" s="12" t="s">
        <v>95</v>
      </c>
      <c r="E317" s="13" t="s">
        <v>96</v>
      </c>
      <c r="F317" s="97" t="s">
        <v>97</v>
      </c>
      <c r="G317" s="97" t="s">
        <v>98</v>
      </c>
      <c r="H317" s="97" t="s">
        <v>99</v>
      </c>
      <c r="I317" s="97" t="s">
        <v>100</v>
      </c>
      <c r="J317" s="97" t="s">
        <v>101</v>
      </c>
      <c r="K317" s="97" t="s">
        <v>102</v>
      </c>
      <c r="L317" s="97" t="s">
        <v>103</v>
      </c>
      <c r="M317" s="97" t="s">
        <v>104</v>
      </c>
      <c r="N317" s="97" t="s">
        <v>105</v>
      </c>
      <c r="O317" s="97" t="s">
        <v>106</v>
      </c>
      <c r="P317" s="97" t="s">
        <v>107</v>
      </c>
      <c r="Q317" s="97" t="s">
        <v>108</v>
      </c>
      <c r="R317" s="97" t="s">
        <v>109</v>
      </c>
      <c r="S317" s="97" t="s">
        <v>110</v>
      </c>
      <c r="T317" s="97" t="s">
        <v>111</v>
      </c>
      <c r="U317" s="97" t="s">
        <v>112</v>
      </c>
      <c r="V317" s="97" t="s">
        <v>113</v>
      </c>
      <c r="W317" s="97" t="s">
        <v>114</v>
      </c>
      <c r="X317" s="97" t="s">
        <v>115</v>
      </c>
      <c r="Y317" s="97" t="s">
        <v>116</v>
      </c>
      <c r="Z317" s="97" t="s">
        <v>117</v>
      </c>
      <c r="AA317" s="97" t="s">
        <v>118</v>
      </c>
      <c r="AB317" s="97" t="s">
        <v>119</v>
      </c>
      <c r="AC317" s="97" t="s">
        <v>120</v>
      </c>
      <c r="AD317" s="97" t="s">
        <v>121</v>
      </c>
      <c r="AE317" s="97" t="s">
        <v>122</v>
      </c>
      <c r="AF317" s="97" t="s">
        <v>123</v>
      </c>
      <c r="AG317" s="97" t="s">
        <v>124</v>
      </c>
      <c r="AH317" s="97" t="s">
        <v>125</v>
      </c>
      <c r="AI317" s="97" t="s">
        <v>126</v>
      </c>
      <c r="AJ317" s="97" t="s">
        <v>127</v>
      </c>
      <c r="AK317" s="97" t="s">
        <v>128</v>
      </c>
      <c r="AL317" s="97" t="s">
        <v>129</v>
      </c>
      <c r="AM317" s="97" t="s">
        <v>130</v>
      </c>
      <c r="AN317" s="97" t="s">
        <v>131</v>
      </c>
      <c r="AO317" s="97" t="s">
        <v>132</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5">
      <c r="A318" s="102"/>
      <c r="B318" s="102" t="s">
        <v>228</v>
      </c>
      <c r="C318" s="102"/>
      <c r="D318" s="118">
        <v>0</v>
      </c>
      <c r="E318" s="118">
        <v>0</v>
      </c>
      <c r="F318" s="118">
        <v>0</v>
      </c>
      <c r="G318" s="118">
        <v>0</v>
      </c>
      <c r="H318" s="118">
        <v>0</v>
      </c>
      <c r="I318" s="118">
        <v>0</v>
      </c>
      <c r="J318" s="118">
        <f t="shared" ref="J318:AO318" si="42">AMI_values_road_1dB*Road_mask +AMI_values_rail_1dB*Rail_mask +AMI_values_aviation_1dB*Aviation_mask</f>
        <v>0</v>
      </c>
      <c r="K318" s="118">
        <f t="shared" si="42"/>
        <v>0</v>
      </c>
      <c r="L318" s="118">
        <f t="shared" si="42"/>
        <v>0</v>
      </c>
      <c r="M318" s="118">
        <f t="shared" si="42"/>
        <v>0</v>
      </c>
      <c r="N318" s="118">
        <f t="shared" si="42"/>
        <v>0</v>
      </c>
      <c r="O318" s="118">
        <f t="shared" si="42"/>
        <v>0</v>
      </c>
      <c r="P318" s="118">
        <f t="shared" si="42"/>
        <v>2.1908346961933955</v>
      </c>
      <c r="Q318" s="118">
        <f t="shared" si="42"/>
        <v>4.3315455822901852</v>
      </c>
      <c r="R318" s="118">
        <f t="shared" si="42"/>
        <v>6.1334202810250771</v>
      </c>
      <c r="S318" s="118">
        <f t="shared" si="42"/>
        <v>7.9911169652514555</v>
      </c>
      <c r="T318" s="118">
        <f t="shared" si="42"/>
        <v>9.9046356349706333</v>
      </c>
      <c r="U318" s="118">
        <f t="shared" si="42"/>
        <v>11.873976290180316</v>
      </c>
      <c r="V318" s="118">
        <f t="shared" si="42"/>
        <v>13.899138930883124</v>
      </c>
      <c r="W318" s="118">
        <f t="shared" si="42"/>
        <v>15.980123557078405</v>
      </c>
      <c r="X318" s="118">
        <f t="shared" si="42"/>
        <v>18.116930168764519</v>
      </c>
      <c r="Y318" s="118">
        <f t="shared" si="42"/>
        <v>20.309558765942118</v>
      </c>
      <c r="Z318" s="118">
        <f t="shared" si="42"/>
        <v>22.558009348613183</v>
      </c>
      <c r="AA318" s="118">
        <f t="shared" si="42"/>
        <v>24.862281916777032</v>
      </c>
      <c r="AB318" s="118">
        <f t="shared" si="42"/>
        <v>27.222376470430415</v>
      </c>
      <c r="AC318" s="118">
        <f t="shared" si="42"/>
        <v>29.638293009576589</v>
      </c>
      <c r="AD318" s="118">
        <f t="shared" si="42"/>
        <v>32.110031534215565</v>
      </c>
      <c r="AE318" s="118">
        <f t="shared" si="42"/>
        <v>34.63759204434669</v>
      </c>
      <c r="AF318" s="118">
        <f t="shared" si="42"/>
        <v>37.220974539969291</v>
      </c>
      <c r="AG318" s="118">
        <f t="shared" si="42"/>
        <v>39.86017902108339</v>
      </c>
      <c r="AH318" s="118">
        <f t="shared" si="42"/>
        <v>42.555205487689626</v>
      </c>
      <c r="AI318" s="118">
        <f t="shared" si="42"/>
        <v>45.306053939789322</v>
      </c>
      <c r="AJ318" s="118">
        <f t="shared" si="42"/>
        <v>48.112724377379195</v>
      </c>
      <c r="AK318" s="118">
        <f t="shared" si="42"/>
        <v>50.975216800461872</v>
      </c>
      <c r="AL318" s="118">
        <f t="shared" si="42"/>
        <v>53.89353120903732</v>
      </c>
      <c r="AM318" s="118">
        <f t="shared" si="42"/>
        <v>53.89353120903732</v>
      </c>
      <c r="AN318" s="118">
        <f t="shared" si="42"/>
        <v>53.89353120903732</v>
      </c>
      <c r="AO318" s="118">
        <f t="shared" si="42"/>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5">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5">
      <c r="A320" s="17"/>
      <c r="B320" s="114"/>
      <c r="C320" s="49" t="s">
        <v>94</v>
      </c>
      <c r="D320" s="70" t="s">
        <v>95</v>
      </c>
      <c r="E320" s="108" t="s">
        <v>96</v>
      </c>
      <c r="F320" s="108" t="s">
        <v>97</v>
      </c>
      <c r="G320" s="108" t="s">
        <v>98</v>
      </c>
      <c r="H320" s="108" t="s">
        <v>99</v>
      </c>
      <c r="I320" s="108" t="s">
        <v>100</v>
      </c>
      <c r="J320" s="108" t="s">
        <v>101</v>
      </c>
      <c r="K320" s="108" t="s">
        <v>102</v>
      </c>
      <c r="L320" s="108" t="s">
        <v>103</v>
      </c>
      <c r="M320" s="108" t="s">
        <v>104</v>
      </c>
      <c r="N320" s="108" t="s">
        <v>105</v>
      </c>
      <c r="O320" s="108" t="s">
        <v>106</v>
      </c>
      <c r="P320" s="108" t="s">
        <v>107</v>
      </c>
      <c r="Q320" s="108" t="s">
        <v>108</v>
      </c>
      <c r="R320" s="108" t="s">
        <v>109</v>
      </c>
      <c r="S320" s="108" t="s">
        <v>110</v>
      </c>
      <c r="T320" s="108" t="s">
        <v>111</v>
      </c>
      <c r="U320" s="108" t="s">
        <v>112</v>
      </c>
      <c r="V320" s="108" t="s">
        <v>113</v>
      </c>
      <c r="W320" s="108" t="s">
        <v>114</v>
      </c>
      <c r="X320" s="108" t="s">
        <v>115</v>
      </c>
      <c r="Y320" s="108" t="s">
        <v>116</v>
      </c>
      <c r="Z320" s="108" t="s">
        <v>117</v>
      </c>
      <c r="AA320" s="108" t="s">
        <v>118</v>
      </c>
      <c r="AB320" s="108" t="s">
        <v>119</v>
      </c>
      <c r="AC320" s="108" t="s">
        <v>120</v>
      </c>
      <c r="AD320" s="108" t="s">
        <v>121</v>
      </c>
      <c r="AE320" s="108" t="s">
        <v>122</v>
      </c>
      <c r="AF320" s="108" t="s">
        <v>123</v>
      </c>
      <c r="AG320" s="108" t="s">
        <v>124</v>
      </c>
      <c r="AH320" s="108" t="s">
        <v>125</v>
      </c>
      <c r="AI320" s="108" t="s">
        <v>126</v>
      </c>
      <c r="AJ320" s="108" t="s">
        <v>127</v>
      </c>
      <c r="AK320" s="108" t="s">
        <v>128</v>
      </c>
      <c r="AL320" s="108" t="s">
        <v>129</v>
      </c>
      <c r="AM320" s="108" t="s">
        <v>130</v>
      </c>
      <c r="AN320" s="108" t="s">
        <v>131</v>
      </c>
      <c r="AO320" s="108"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133</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1.0954173480966978</v>
      </c>
      <c r="BD321" s="17">
        <f t="shared" si="43"/>
        <v>3.2611901392417906</v>
      </c>
      <c r="BE321" s="17">
        <f t="shared" si="43"/>
        <v>5.2324829316576311</v>
      </c>
      <c r="BF321" s="17">
        <f t="shared" si="43"/>
        <v>7.0622686231382659</v>
      </c>
      <c r="BG321" s="17">
        <f t="shared" si="43"/>
        <v>8.9478763001110444</v>
      </c>
      <c r="BH321" s="17">
        <f t="shared" si="43"/>
        <v>10.889305962575474</v>
      </c>
      <c r="BI321" s="17">
        <f t="shared" si="43"/>
        <v>12.886557610531721</v>
      </c>
      <c r="BJ321" s="17">
        <f t="shared" si="43"/>
        <v>14.939631243980765</v>
      </c>
      <c r="BK321" s="17">
        <f t="shared" si="43"/>
        <v>17.048526862921463</v>
      </c>
      <c r="BL321" s="17">
        <f t="shared" si="43"/>
        <v>19.21324446735332</v>
      </c>
      <c r="BM321" s="17">
        <f t="shared" si="43"/>
        <v>21.433784057277649</v>
      </c>
      <c r="BN321" s="17">
        <f t="shared" si="43"/>
        <v>23.710145632695109</v>
      </c>
      <c r="BO321" s="17">
        <f t="shared" si="43"/>
        <v>26.042329193603724</v>
      </c>
      <c r="BP321" s="17">
        <f t="shared" si="43"/>
        <v>28.430334740003502</v>
      </c>
      <c r="BQ321" s="17">
        <f t="shared" si="43"/>
        <v>30.874162271896076</v>
      </c>
      <c r="BR321" s="17">
        <f t="shared" si="43"/>
        <v>33.373811789281127</v>
      </c>
      <c r="BS321" s="17">
        <f t="shared" si="43"/>
        <v>35.92928329215799</v>
      </c>
      <c r="BT321" s="17">
        <f t="shared" si="43"/>
        <v>38.540576780526337</v>
      </c>
      <c r="BU321" s="17">
        <f t="shared" si="43"/>
        <v>41.207692254386508</v>
      </c>
      <c r="BV321" s="17">
        <f t="shared" si="43"/>
        <v>43.930629713739478</v>
      </c>
      <c r="BW321" s="17">
        <f t="shared" si="43"/>
        <v>46.709389158584258</v>
      </c>
      <c r="BX321" s="17">
        <f t="shared" si="43"/>
        <v>49.54397058892053</v>
      </c>
      <c r="BY321" s="17">
        <f t="shared" si="43"/>
        <v>52.4343740047496</v>
      </c>
      <c r="BZ321" s="17">
        <f t="shared" si="43"/>
        <v>53.89353120903732</v>
      </c>
      <c r="CA321" s="17">
        <f t="shared" si="43"/>
        <v>53.89353120903732</v>
      </c>
      <c r="CB321" s="17">
        <f t="shared" si="43"/>
        <v>53.89353120903732</v>
      </c>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8" t="s">
        <v>95</v>
      </c>
      <c r="C322" s="125"/>
      <c r="D322" s="134">
        <f>IF(D$320=$B322,0,IF(D$320&gt;$B322,-0.5*D$318-0.5*C$318+C322,0.5*HLOOKUP($B322,$D$317:$AO$318,2,FALSE)+0.5*HLOOKUP($B321,$D$317:$AO$318,2,FALSE)+D321))</f>
        <v>0</v>
      </c>
      <c r="E322" s="134">
        <f t="shared" ref="E322:AO322" si="44">IF(E$320=$B322,0,IF(E$320&gt;$B322,-0.5*E$318-0.5*D$318+D322,0.5*HLOOKUP($B322,$D$317:$AO$318,2,FALSE)+0.5*HLOOKUP($B321,$D$317:$AO$318,2,FALSE)+E321))</f>
        <v>0</v>
      </c>
      <c r="F322" s="134">
        <f t="shared" si="44"/>
        <v>0</v>
      </c>
      <c r="G322" s="134">
        <f t="shared" si="44"/>
        <v>0</v>
      </c>
      <c r="H322" s="134">
        <f t="shared" si="44"/>
        <v>0</v>
      </c>
      <c r="I322" s="134">
        <f t="shared" si="44"/>
        <v>0</v>
      </c>
      <c r="J322" s="134">
        <f t="shared" si="44"/>
        <v>0</v>
      </c>
      <c r="K322" s="134">
        <f t="shared" si="44"/>
        <v>0</v>
      </c>
      <c r="L322" s="134">
        <f t="shared" si="44"/>
        <v>0</v>
      </c>
      <c r="M322" s="134">
        <f t="shared" si="44"/>
        <v>0</v>
      </c>
      <c r="N322" s="134">
        <f t="shared" si="44"/>
        <v>0</v>
      </c>
      <c r="O322" s="134">
        <f t="shared" si="44"/>
        <v>0</v>
      </c>
      <c r="P322" s="134">
        <f t="shared" si="44"/>
        <v>-1.0954173480966978</v>
      </c>
      <c r="Q322" s="134">
        <f t="shared" si="44"/>
        <v>-4.3566074873384881</v>
      </c>
      <c r="R322" s="134">
        <f t="shared" si="44"/>
        <v>-9.5890904189961184</v>
      </c>
      <c r="S322" s="134">
        <f t="shared" si="44"/>
        <v>-16.651359042134384</v>
      </c>
      <c r="T322" s="134">
        <f t="shared" si="44"/>
        <v>-25.599235342245429</v>
      </c>
      <c r="U322" s="134">
        <f t="shared" si="44"/>
        <v>-36.488541304820899</v>
      </c>
      <c r="V322" s="134">
        <f t="shared" si="44"/>
        <v>-49.375098915352623</v>
      </c>
      <c r="W322" s="134">
        <f t="shared" si="44"/>
        <v>-64.314730159333394</v>
      </c>
      <c r="X322" s="134">
        <f t="shared" si="44"/>
        <v>-81.363257022254857</v>
      </c>
      <c r="Y322" s="134">
        <f t="shared" si="44"/>
        <v>-100.57650148960818</v>
      </c>
      <c r="Z322" s="134">
        <f t="shared" si="44"/>
        <v>-122.01028554688583</v>
      </c>
      <c r="AA322" s="134">
        <f t="shared" si="44"/>
        <v>-145.72043117958094</v>
      </c>
      <c r="AB322" s="134">
        <f t="shared" si="44"/>
        <v>-171.76276037318468</v>
      </c>
      <c r="AC322" s="134">
        <f t="shared" si="44"/>
        <v>-200.19309511318818</v>
      </c>
      <c r="AD322" s="134">
        <f t="shared" si="44"/>
        <v>-231.06725738508425</v>
      </c>
      <c r="AE322" s="134">
        <f t="shared" si="44"/>
        <v>-264.4410691743654</v>
      </c>
      <c r="AF322" s="134">
        <f t="shared" si="44"/>
        <v>-300.3703524665234</v>
      </c>
      <c r="AG322" s="134">
        <f t="shared" si="44"/>
        <v>-338.91092924704975</v>
      </c>
      <c r="AH322" s="134">
        <f t="shared" si="44"/>
        <v>-380.11862150143628</v>
      </c>
      <c r="AI322" s="134">
        <f t="shared" si="44"/>
        <v>-424.04925121517579</v>
      </c>
      <c r="AJ322" s="134">
        <f t="shared" si="44"/>
        <v>-470.75864037376004</v>
      </c>
      <c r="AK322" s="134">
        <f t="shared" si="44"/>
        <v>-520.30261096268055</v>
      </c>
      <c r="AL322" s="134">
        <f t="shared" si="44"/>
        <v>-572.73698496743009</v>
      </c>
      <c r="AM322" s="134">
        <f t="shared" si="44"/>
        <v>-626.63051617646738</v>
      </c>
      <c r="AN322" s="134">
        <f t="shared" si="44"/>
        <v>-680.52404738550467</v>
      </c>
      <c r="AO322" s="134">
        <f t="shared" si="44"/>
        <v>-734.41757859454196</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1.0954173480966978</v>
      </c>
      <c r="BD322" s="17">
        <f>SUM($AQ321:BD321)</f>
        <v>4.3566074873384881</v>
      </c>
      <c r="BE322" s="17">
        <f>SUM($AQ321:BE321)</f>
        <v>9.5890904189961184</v>
      </c>
      <c r="BF322" s="17">
        <f>SUM($AQ321:BF321)</f>
        <v>16.651359042134384</v>
      </c>
      <c r="BG322" s="17">
        <f>SUM($AQ321:BG321)</f>
        <v>25.599235342245429</v>
      </c>
      <c r="BH322" s="17">
        <f>SUM($AQ321:BH321)</f>
        <v>36.488541304820899</v>
      </c>
      <c r="BI322" s="17">
        <f>SUM($AQ321:BI321)</f>
        <v>49.375098915352623</v>
      </c>
      <c r="BJ322" s="17">
        <f>SUM($AQ321:BJ321)</f>
        <v>64.314730159333394</v>
      </c>
      <c r="BK322" s="17">
        <f>SUM($AQ321:BK321)</f>
        <v>81.363257022254857</v>
      </c>
      <c r="BL322" s="17">
        <f>SUM($AQ321:BL321)</f>
        <v>100.57650148960818</v>
      </c>
      <c r="BM322" s="17">
        <f>SUM($AQ321:BM321)</f>
        <v>122.01028554688583</v>
      </c>
      <c r="BN322" s="17">
        <f>SUM($AQ321:BN321)</f>
        <v>145.72043117958094</v>
      </c>
      <c r="BO322" s="17">
        <f>SUM($AQ321:BO321)</f>
        <v>171.76276037318468</v>
      </c>
      <c r="BP322" s="17">
        <f>SUM($AQ321:BP321)</f>
        <v>200.19309511318818</v>
      </c>
      <c r="BQ322" s="17">
        <f>SUM($AQ321:BQ321)</f>
        <v>231.06725738508425</v>
      </c>
      <c r="BR322" s="17">
        <f>SUM($AQ321:BR321)</f>
        <v>264.4410691743654</v>
      </c>
      <c r="BS322" s="17">
        <f>SUM($AQ321:BS321)</f>
        <v>300.3703524665234</v>
      </c>
      <c r="BT322" s="17">
        <f>SUM($AQ321:BT321)</f>
        <v>338.91092924704975</v>
      </c>
      <c r="BU322" s="17">
        <f>SUM($AQ321:BU321)</f>
        <v>380.11862150143628</v>
      </c>
      <c r="BV322" s="17">
        <f>SUM($AQ321:BV321)</f>
        <v>424.04925121517579</v>
      </c>
      <c r="BW322" s="17">
        <f>SUM($AQ321:BW321)</f>
        <v>470.75864037376004</v>
      </c>
      <c r="BX322" s="17">
        <f>SUM($AQ321:BX321)</f>
        <v>520.30261096268055</v>
      </c>
      <c r="BY322" s="17">
        <f>SUM($AQ321:BY321)</f>
        <v>572.73698496743009</v>
      </c>
      <c r="BZ322" s="17">
        <f>SUM($AQ321:BZ321)</f>
        <v>626.63051617646738</v>
      </c>
      <c r="CA322" s="17">
        <f>SUM($AQ321:CA321)</f>
        <v>680.52404738550467</v>
      </c>
      <c r="CB322" s="17">
        <f>SUM($AQ321:CB321)</f>
        <v>734.41757859454196</v>
      </c>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2" t="s">
        <v>96</v>
      </c>
      <c r="C323" s="135"/>
      <c r="D323" s="134">
        <f t="shared" ref="D323:AO329" si="45">IF(D$320=$B323,0,IF(D$320&gt;$B323,-0.5*D$318-0.5*C$318+C323,0.5*HLOOKUP($B323,$D$317:$AO$318,2,FALSE)+0.5*HLOOKUP($B322,$D$317:$AO$318,2,FALSE)+D322))</f>
        <v>0</v>
      </c>
      <c r="E323" s="134">
        <f t="shared" si="45"/>
        <v>0</v>
      </c>
      <c r="F323" s="134">
        <f t="shared" si="45"/>
        <v>0</v>
      </c>
      <c r="G323" s="134">
        <f t="shared" si="45"/>
        <v>0</v>
      </c>
      <c r="H323" s="134">
        <f t="shared" si="45"/>
        <v>0</v>
      </c>
      <c r="I323" s="134">
        <f t="shared" si="45"/>
        <v>0</v>
      </c>
      <c r="J323" s="134">
        <f t="shared" si="45"/>
        <v>0</v>
      </c>
      <c r="K323" s="134">
        <f t="shared" si="45"/>
        <v>0</v>
      </c>
      <c r="L323" s="134">
        <f t="shared" si="45"/>
        <v>0</v>
      </c>
      <c r="M323" s="134">
        <f t="shared" si="45"/>
        <v>0</v>
      </c>
      <c r="N323" s="134">
        <f t="shared" si="45"/>
        <v>0</v>
      </c>
      <c r="O323" s="134">
        <f t="shared" si="45"/>
        <v>0</v>
      </c>
      <c r="P323" s="134">
        <f t="shared" si="45"/>
        <v>-1.0954173480966978</v>
      </c>
      <c r="Q323" s="134">
        <f t="shared" si="45"/>
        <v>-4.3566074873384881</v>
      </c>
      <c r="R323" s="134">
        <f t="shared" si="45"/>
        <v>-9.5890904189961184</v>
      </c>
      <c r="S323" s="134">
        <f t="shared" si="45"/>
        <v>-16.651359042134384</v>
      </c>
      <c r="T323" s="134">
        <f t="shared" si="45"/>
        <v>-25.599235342245429</v>
      </c>
      <c r="U323" s="134">
        <f t="shared" si="45"/>
        <v>-36.488541304820899</v>
      </c>
      <c r="V323" s="134">
        <f t="shared" si="45"/>
        <v>-49.375098915352623</v>
      </c>
      <c r="W323" s="134">
        <f t="shared" si="45"/>
        <v>-64.314730159333394</v>
      </c>
      <c r="X323" s="134">
        <f t="shared" si="45"/>
        <v>-81.363257022254857</v>
      </c>
      <c r="Y323" s="134">
        <f t="shared" si="45"/>
        <v>-100.57650148960818</v>
      </c>
      <c r="Z323" s="134">
        <f t="shared" si="45"/>
        <v>-122.01028554688583</v>
      </c>
      <c r="AA323" s="134">
        <f t="shared" si="45"/>
        <v>-145.72043117958094</v>
      </c>
      <c r="AB323" s="134">
        <f t="shared" si="45"/>
        <v>-171.76276037318468</v>
      </c>
      <c r="AC323" s="134">
        <f t="shared" si="45"/>
        <v>-200.19309511318818</v>
      </c>
      <c r="AD323" s="134">
        <f t="shared" si="45"/>
        <v>-231.06725738508425</v>
      </c>
      <c r="AE323" s="134">
        <f t="shared" si="45"/>
        <v>-264.4410691743654</v>
      </c>
      <c r="AF323" s="134">
        <f t="shared" si="45"/>
        <v>-300.3703524665234</v>
      </c>
      <c r="AG323" s="134">
        <f t="shared" si="45"/>
        <v>-338.91092924704975</v>
      </c>
      <c r="AH323" s="134">
        <f t="shared" si="45"/>
        <v>-380.11862150143628</v>
      </c>
      <c r="AI323" s="134">
        <f t="shared" si="45"/>
        <v>-424.04925121517579</v>
      </c>
      <c r="AJ323" s="134">
        <f t="shared" si="45"/>
        <v>-470.75864037376004</v>
      </c>
      <c r="AK323" s="134">
        <f t="shared" si="45"/>
        <v>-520.30261096268055</v>
      </c>
      <c r="AL323" s="134">
        <f t="shared" si="45"/>
        <v>-572.73698496743009</v>
      </c>
      <c r="AM323" s="134">
        <f t="shared" si="45"/>
        <v>-626.63051617646738</v>
      </c>
      <c r="AN323" s="134">
        <f t="shared" si="45"/>
        <v>-680.52404738550467</v>
      </c>
      <c r="AO323" s="134">
        <f t="shared" si="45"/>
        <v>-734.41757859454196</v>
      </c>
      <c r="AP323" s="99">
        <f>COUNTIF(AQ323:CB323,TRUE)</f>
        <v>38</v>
      </c>
      <c r="AQ323" s="98" t="b">
        <f>AQ322=-D322</f>
        <v>1</v>
      </c>
      <c r="AR323" s="98" t="b">
        <f t="shared" ref="AR323:CB323" si="46">AR322=-E322</f>
        <v>1</v>
      </c>
      <c r="AS323" s="98" t="b">
        <f t="shared" si="46"/>
        <v>1</v>
      </c>
      <c r="AT323" s="98" t="b">
        <f t="shared" si="46"/>
        <v>1</v>
      </c>
      <c r="AU323" s="98" t="b">
        <f t="shared" si="46"/>
        <v>1</v>
      </c>
      <c r="AV323" s="98" t="b">
        <f t="shared" si="46"/>
        <v>1</v>
      </c>
      <c r="AW323" s="98" t="b">
        <f t="shared" si="46"/>
        <v>1</v>
      </c>
      <c r="AX323" s="98" t="b">
        <f t="shared" si="46"/>
        <v>1</v>
      </c>
      <c r="AY323" s="98" t="b">
        <f t="shared" si="46"/>
        <v>1</v>
      </c>
      <c r="AZ323" s="98" t="b">
        <f t="shared" si="46"/>
        <v>1</v>
      </c>
      <c r="BA323" s="98" t="b">
        <f t="shared" si="46"/>
        <v>1</v>
      </c>
      <c r="BB323" s="98" t="b">
        <f t="shared" si="46"/>
        <v>1</v>
      </c>
      <c r="BC323" s="98" t="b">
        <f t="shared" si="46"/>
        <v>1</v>
      </c>
      <c r="BD323" s="98" t="b">
        <f t="shared" si="46"/>
        <v>1</v>
      </c>
      <c r="BE323" s="98" t="b">
        <f t="shared" si="46"/>
        <v>1</v>
      </c>
      <c r="BF323" s="98" t="b">
        <f t="shared" si="46"/>
        <v>1</v>
      </c>
      <c r="BG323" s="98" t="b">
        <f t="shared" si="46"/>
        <v>1</v>
      </c>
      <c r="BH323" s="98" t="b">
        <f t="shared" si="46"/>
        <v>1</v>
      </c>
      <c r="BI323" s="98" t="b">
        <f t="shared" si="46"/>
        <v>1</v>
      </c>
      <c r="BJ323" s="98" t="b">
        <f t="shared" si="46"/>
        <v>1</v>
      </c>
      <c r="BK323" s="98" t="b">
        <f t="shared" si="46"/>
        <v>1</v>
      </c>
      <c r="BL323" s="98" t="b">
        <f t="shared" si="46"/>
        <v>1</v>
      </c>
      <c r="BM323" s="98" t="b">
        <f t="shared" si="46"/>
        <v>1</v>
      </c>
      <c r="BN323" s="98" t="b">
        <f t="shared" si="46"/>
        <v>1</v>
      </c>
      <c r="BO323" s="98" t="b">
        <f t="shared" si="46"/>
        <v>1</v>
      </c>
      <c r="BP323" s="98" t="b">
        <f t="shared" si="46"/>
        <v>1</v>
      </c>
      <c r="BQ323" s="98" t="b">
        <f t="shared" si="46"/>
        <v>1</v>
      </c>
      <c r="BR323" s="98" t="b">
        <f t="shared" si="46"/>
        <v>1</v>
      </c>
      <c r="BS323" s="98" t="b">
        <f t="shared" si="46"/>
        <v>1</v>
      </c>
      <c r="BT323" s="98" t="b">
        <f t="shared" si="46"/>
        <v>1</v>
      </c>
      <c r="BU323" s="98" t="b">
        <f t="shared" si="46"/>
        <v>1</v>
      </c>
      <c r="BV323" s="98" t="b">
        <f t="shared" si="46"/>
        <v>1</v>
      </c>
      <c r="BW323" s="98" t="b">
        <f t="shared" si="46"/>
        <v>1</v>
      </c>
      <c r="BX323" s="98" t="b">
        <f t="shared" si="46"/>
        <v>1</v>
      </c>
      <c r="BY323" s="98" t="b">
        <f t="shared" si="46"/>
        <v>1</v>
      </c>
      <c r="BZ323" s="98" t="b">
        <f t="shared" si="46"/>
        <v>1</v>
      </c>
      <c r="CA323" s="98" t="b">
        <f t="shared" si="46"/>
        <v>1</v>
      </c>
      <c r="CB323" s="98"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2" t="s">
        <v>97</v>
      </c>
      <c r="C324" s="135"/>
      <c r="D324" s="134">
        <f t="shared" si="45"/>
        <v>0</v>
      </c>
      <c r="E324" s="134">
        <f t="shared" si="45"/>
        <v>0</v>
      </c>
      <c r="F324" s="134">
        <f t="shared" si="45"/>
        <v>0</v>
      </c>
      <c r="G324" s="134">
        <f t="shared" si="45"/>
        <v>0</v>
      </c>
      <c r="H324" s="134">
        <f t="shared" si="45"/>
        <v>0</v>
      </c>
      <c r="I324" s="134">
        <f t="shared" si="45"/>
        <v>0</v>
      </c>
      <c r="J324" s="134">
        <f t="shared" si="45"/>
        <v>0</v>
      </c>
      <c r="K324" s="134">
        <f t="shared" si="45"/>
        <v>0</v>
      </c>
      <c r="L324" s="134">
        <f t="shared" si="45"/>
        <v>0</v>
      </c>
      <c r="M324" s="134">
        <f t="shared" si="45"/>
        <v>0</v>
      </c>
      <c r="N324" s="134">
        <f t="shared" si="45"/>
        <v>0</v>
      </c>
      <c r="O324" s="134">
        <f t="shared" si="45"/>
        <v>0</v>
      </c>
      <c r="P324" s="134">
        <f t="shared" si="45"/>
        <v>-1.0954173480966978</v>
      </c>
      <c r="Q324" s="134">
        <f t="shared" si="45"/>
        <v>-4.3566074873384881</v>
      </c>
      <c r="R324" s="134">
        <f t="shared" si="45"/>
        <v>-9.5890904189961184</v>
      </c>
      <c r="S324" s="134">
        <f t="shared" si="45"/>
        <v>-16.651359042134384</v>
      </c>
      <c r="T324" s="134">
        <f t="shared" si="45"/>
        <v>-25.599235342245429</v>
      </c>
      <c r="U324" s="134">
        <f t="shared" si="45"/>
        <v>-36.488541304820899</v>
      </c>
      <c r="V324" s="134">
        <f t="shared" si="45"/>
        <v>-49.375098915352623</v>
      </c>
      <c r="W324" s="134">
        <f t="shared" si="45"/>
        <v>-64.314730159333394</v>
      </c>
      <c r="X324" s="134">
        <f t="shared" si="45"/>
        <v>-81.363257022254857</v>
      </c>
      <c r="Y324" s="134">
        <f t="shared" si="45"/>
        <v>-100.57650148960818</v>
      </c>
      <c r="Z324" s="134">
        <f t="shared" si="45"/>
        <v>-122.01028554688583</v>
      </c>
      <c r="AA324" s="134">
        <f t="shared" si="45"/>
        <v>-145.72043117958094</v>
      </c>
      <c r="AB324" s="134">
        <f t="shared" si="45"/>
        <v>-171.76276037318468</v>
      </c>
      <c r="AC324" s="134">
        <f t="shared" si="45"/>
        <v>-200.19309511318818</v>
      </c>
      <c r="AD324" s="134">
        <f t="shared" si="45"/>
        <v>-231.06725738508425</v>
      </c>
      <c r="AE324" s="134">
        <f t="shared" si="45"/>
        <v>-264.4410691743654</v>
      </c>
      <c r="AF324" s="134">
        <f t="shared" si="45"/>
        <v>-300.3703524665234</v>
      </c>
      <c r="AG324" s="134">
        <f t="shared" si="45"/>
        <v>-338.91092924704975</v>
      </c>
      <c r="AH324" s="134">
        <f t="shared" si="45"/>
        <v>-380.11862150143628</v>
      </c>
      <c r="AI324" s="134">
        <f t="shared" si="45"/>
        <v>-424.04925121517579</v>
      </c>
      <c r="AJ324" s="134">
        <f t="shared" si="45"/>
        <v>-470.75864037376004</v>
      </c>
      <c r="AK324" s="134">
        <f t="shared" si="45"/>
        <v>-520.30261096268055</v>
      </c>
      <c r="AL324" s="134">
        <f t="shared" si="45"/>
        <v>-572.73698496743009</v>
      </c>
      <c r="AM324" s="134">
        <f t="shared" si="45"/>
        <v>-626.63051617646738</v>
      </c>
      <c r="AN324" s="134">
        <f t="shared" si="45"/>
        <v>-680.52404738550467</v>
      </c>
      <c r="AO324" s="134">
        <f t="shared" si="45"/>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2" t="s">
        <v>98</v>
      </c>
      <c r="C325" s="135"/>
      <c r="D325" s="134">
        <f t="shared" si="45"/>
        <v>0</v>
      </c>
      <c r="E325" s="134">
        <f t="shared" si="45"/>
        <v>0</v>
      </c>
      <c r="F325" s="134">
        <f t="shared" si="45"/>
        <v>0</v>
      </c>
      <c r="G325" s="134">
        <f t="shared" si="45"/>
        <v>0</v>
      </c>
      <c r="H325" s="134">
        <f t="shared" si="45"/>
        <v>0</v>
      </c>
      <c r="I325" s="134">
        <f t="shared" si="45"/>
        <v>0</v>
      </c>
      <c r="J325" s="134">
        <f t="shared" si="45"/>
        <v>0</v>
      </c>
      <c r="K325" s="134">
        <f t="shared" si="45"/>
        <v>0</v>
      </c>
      <c r="L325" s="134">
        <f t="shared" si="45"/>
        <v>0</v>
      </c>
      <c r="M325" s="134">
        <f t="shared" si="45"/>
        <v>0</v>
      </c>
      <c r="N325" s="134">
        <f t="shared" si="45"/>
        <v>0</v>
      </c>
      <c r="O325" s="134">
        <f t="shared" si="45"/>
        <v>0</v>
      </c>
      <c r="P325" s="134">
        <f t="shared" si="45"/>
        <v>-1.0954173480966978</v>
      </c>
      <c r="Q325" s="134">
        <f t="shared" si="45"/>
        <v>-4.3566074873384881</v>
      </c>
      <c r="R325" s="134">
        <f t="shared" si="45"/>
        <v>-9.5890904189961184</v>
      </c>
      <c r="S325" s="134">
        <f t="shared" si="45"/>
        <v>-16.651359042134384</v>
      </c>
      <c r="T325" s="134">
        <f t="shared" si="45"/>
        <v>-25.599235342245429</v>
      </c>
      <c r="U325" s="134">
        <f t="shared" si="45"/>
        <v>-36.488541304820899</v>
      </c>
      <c r="V325" s="134">
        <f t="shared" si="45"/>
        <v>-49.375098915352623</v>
      </c>
      <c r="W325" s="134">
        <f t="shared" si="45"/>
        <v>-64.314730159333394</v>
      </c>
      <c r="X325" s="134">
        <f t="shared" si="45"/>
        <v>-81.363257022254857</v>
      </c>
      <c r="Y325" s="134">
        <f t="shared" si="45"/>
        <v>-100.57650148960818</v>
      </c>
      <c r="Z325" s="134">
        <f t="shared" si="45"/>
        <v>-122.01028554688583</v>
      </c>
      <c r="AA325" s="134">
        <f t="shared" si="45"/>
        <v>-145.72043117958094</v>
      </c>
      <c r="AB325" s="134">
        <f t="shared" si="45"/>
        <v>-171.76276037318468</v>
      </c>
      <c r="AC325" s="134">
        <f t="shared" si="45"/>
        <v>-200.19309511318818</v>
      </c>
      <c r="AD325" s="134">
        <f t="shared" si="45"/>
        <v>-231.06725738508425</v>
      </c>
      <c r="AE325" s="134">
        <f t="shared" si="45"/>
        <v>-264.4410691743654</v>
      </c>
      <c r="AF325" s="134">
        <f t="shared" si="45"/>
        <v>-300.3703524665234</v>
      </c>
      <c r="AG325" s="134">
        <f t="shared" si="45"/>
        <v>-338.91092924704975</v>
      </c>
      <c r="AH325" s="134">
        <f t="shared" si="45"/>
        <v>-380.11862150143628</v>
      </c>
      <c r="AI325" s="134">
        <f t="shared" si="45"/>
        <v>-424.04925121517579</v>
      </c>
      <c r="AJ325" s="134">
        <f t="shared" si="45"/>
        <v>-470.75864037376004</v>
      </c>
      <c r="AK325" s="134">
        <f t="shared" si="45"/>
        <v>-520.30261096268055</v>
      </c>
      <c r="AL325" s="134">
        <f t="shared" si="45"/>
        <v>-572.73698496743009</v>
      </c>
      <c r="AM325" s="134">
        <f t="shared" si="45"/>
        <v>-626.63051617646738</v>
      </c>
      <c r="AN325" s="134">
        <f t="shared" si="45"/>
        <v>-680.52404738550467</v>
      </c>
      <c r="AO325" s="134">
        <f t="shared" si="45"/>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2" t="s">
        <v>99</v>
      </c>
      <c r="C326" s="135"/>
      <c r="D326" s="134">
        <f t="shared" si="45"/>
        <v>0</v>
      </c>
      <c r="E326" s="134">
        <f t="shared" si="45"/>
        <v>0</v>
      </c>
      <c r="F326" s="134">
        <f t="shared" si="45"/>
        <v>0</v>
      </c>
      <c r="G326" s="134">
        <f t="shared" si="45"/>
        <v>0</v>
      </c>
      <c r="H326" s="134">
        <f t="shared" si="45"/>
        <v>0</v>
      </c>
      <c r="I326" s="134">
        <f t="shared" si="45"/>
        <v>0</v>
      </c>
      <c r="J326" s="134">
        <f t="shared" si="45"/>
        <v>0</v>
      </c>
      <c r="K326" s="134">
        <f t="shared" si="45"/>
        <v>0</v>
      </c>
      <c r="L326" s="134">
        <f t="shared" si="45"/>
        <v>0</v>
      </c>
      <c r="M326" s="134">
        <f t="shared" si="45"/>
        <v>0</v>
      </c>
      <c r="N326" s="134">
        <f t="shared" si="45"/>
        <v>0</v>
      </c>
      <c r="O326" s="134">
        <f t="shared" si="45"/>
        <v>0</v>
      </c>
      <c r="P326" s="134">
        <f t="shared" si="45"/>
        <v>-1.0954173480966978</v>
      </c>
      <c r="Q326" s="134">
        <f t="shared" si="45"/>
        <v>-4.3566074873384881</v>
      </c>
      <c r="R326" s="134">
        <f t="shared" si="45"/>
        <v>-9.5890904189961184</v>
      </c>
      <c r="S326" s="134">
        <f t="shared" si="45"/>
        <v>-16.651359042134384</v>
      </c>
      <c r="T326" s="134">
        <f t="shared" si="45"/>
        <v>-25.599235342245429</v>
      </c>
      <c r="U326" s="134">
        <f t="shared" si="45"/>
        <v>-36.488541304820899</v>
      </c>
      <c r="V326" s="134">
        <f t="shared" si="45"/>
        <v>-49.375098915352623</v>
      </c>
      <c r="W326" s="134">
        <f t="shared" si="45"/>
        <v>-64.314730159333394</v>
      </c>
      <c r="X326" s="134">
        <f t="shared" si="45"/>
        <v>-81.363257022254857</v>
      </c>
      <c r="Y326" s="134">
        <f t="shared" si="45"/>
        <v>-100.57650148960818</v>
      </c>
      <c r="Z326" s="134">
        <f t="shared" si="45"/>
        <v>-122.01028554688583</v>
      </c>
      <c r="AA326" s="134">
        <f t="shared" si="45"/>
        <v>-145.72043117958094</v>
      </c>
      <c r="AB326" s="134">
        <f t="shared" si="45"/>
        <v>-171.76276037318468</v>
      </c>
      <c r="AC326" s="134">
        <f t="shared" si="45"/>
        <v>-200.19309511318818</v>
      </c>
      <c r="AD326" s="134">
        <f t="shared" si="45"/>
        <v>-231.06725738508425</v>
      </c>
      <c r="AE326" s="134">
        <f t="shared" si="45"/>
        <v>-264.4410691743654</v>
      </c>
      <c r="AF326" s="134">
        <f t="shared" si="45"/>
        <v>-300.3703524665234</v>
      </c>
      <c r="AG326" s="134">
        <f t="shared" si="45"/>
        <v>-338.91092924704975</v>
      </c>
      <c r="AH326" s="134">
        <f t="shared" si="45"/>
        <v>-380.11862150143628</v>
      </c>
      <c r="AI326" s="134">
        <f t="shared" si="45"/>
        <v>-424.04925121517579</v>
      </c>
      <c r="AJ326" s="134">
        <f t="shared" si="45"/>
        <v>-470.75864037376004</v>
      </c>
      <c r="AK326" s="134">
        <f t="shared" si="45"/>
        <v>-520.30261096268055</v>
      </c>
      <c r="AL326" s="134">
        <f t="shared" si="45"/>
        <v>-572.73698496743009</v>
      </c>
      <c r="AM326" s="134">
        <f t="shared" si="45"/>
        <v>-626.63051617646738</v>
      </c>
      <c r="AN326" s="134">
        <f t="shared" si="45"/>
        <v>-680.52404738550467</v>
      </c>
      <c r="AO326" s="134">
        <f t="shared" si="45"/>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2" t="s">
        <v>100</v>
      </c>
      <c r="C327" s="135"/>
      <c r="D327" s="134">
        <f t="shared" si="45"/>
        <v>0</v>
      </c>
      <c r="E327" s="134">
        <f t="shared" si="45"/>
        <v>0</v>
      </c>
      <c r="F327" s="134">
        <f t="shared" si="45"/>
        <v>0</v>
      </c>
      <c r="G327" s="134">
        <f t="shared" si="45"/>
        <v>0</v>
      </c>
      <c r="H327" s="134">
        <f t="shared" si="45"/>
        <v>0</v>
      </c>
      <c r="I327" s="134">
        <f t="shared" si="45"/>
        <v>0</v>
      </c>
      <c r="J327" s="134">
        <f t="shared" si="45"/>
        <v>0</v>
      </c>
      <c r="K327" s="134">
        <f t="shared" si="45"/>
        <v>0</v>
      </c>
      <c r="L327" s="134">
        <f t="shared" si="45"/>
        <v>0</v>
      </c>
      <c r="M327" s="134">
        <f t="shared" si="45"/>
        <v>0</v>
      </c>
      <c r="N327" s="134">
        <f t="shared" si="45"/>
        <v>0</v>
      </c>
      <c r="O327" s="134">
        <f t="shared" si="45"/>
        <v>0</v>
      </c>
      <c r="P327" s="134">
        <f t="shared" si="45"/>
        <v>-1.0954173480966978</v>
      </c>
      <c r="Q327" s="134">
        <f t="shared" si="45"/>
        <v>-4.3566074873384881</v>
      </c>
      <c r="R327" s="134">
        <f t="shared" si="45"/>
        <v>-9.5890904189961184</v>
      </c>
      <c r="S327" s="134">
        <f t="shared" si="45"/>
        <v>-16.651359042134384</v>
      </c>
      <c r="T327" s="134">
        <f t="shared" si="45"/>
        <v>-25.599235342245429</v>
      </c>
      <c r="U327" s="134">
        <f t="shared" si="45"/>
        <v>-36.488541304820899</v>
      </c>
      <c r="V327" s="134">
        <f t="shared" si="45"/>
        <v>-49.375098915352623</v>
      </c>
      <c r="W327" s="134">
        <f t="shared" si="45"/>
        <v>-64.314730159333394</v>
      </c>
      <c r="X327" s="134">
        <f t="shared" si="45"/>
        <v>-81.363257022254857</v>
      </c>
      <c r="Y327" s="134">
        <f t="shared" si="45"/>
        <v>-100.57650148960818</v>
      </c>
      <c r="Z327" s="134">
        <f t="shared" si="45"/>
        <v>-122.01028554688583</v>
      </c>
      <c r="AA327" s="134">
        <f t="shared" si="45"/>
        <v>-145.72043117958094</v>
      </c>
      <c r="AB327" s="134">
        <f t="shared" si="45"/>
        <v>-171.76276037318468</v>
      </c>
      <c r="AC327" s="134">
        <f t="shared" si="45"/>
        <v>-200.19309511318818</v>
      </c>
      <c r="AD327" s="134">
        <f t="shared" si="45"/>
        <v>-231.06725738508425</v>
      </c>
      <c r="AE327" s="134">
        <f t="shared" si="45"/>
        <v>-264.4410691743654</v>
      </c>
      <c r="AF327" s="134">
        <f t="shared" si="45"/>
        <v>-300.3703524665234</v>
      </c>
      <c r="AG327" s="134">
        <f t="shared" si="45"/>
        <v>-338.91092924704975</v>
      </c>
      <c r="AH327" s="134">
        <f t="shared" si="45"/>
        <v>-380.11862150143628</v>
      </c>
      <c r="AI327" s="134">
        <f t="shared" si="45"/>
        <v>-424.04925121517579</v>
      </c>
      <c r="AJ327" s="134">
        <f t="shared" si="45"/>
        <v>-470.75864037376004</v>
      </c>
      <c r="AK327" s="134">
        <f t="shared" si="45"/>
        <v>-520.30261096268055</v>
      </c>
      <c r="AL327" s="134">
        <f t="shared" si="45"/>
        <v>-572.73698496743009</v>
      </c>
      <c r="AM327" s="134">
        <f t="shared" si="45"/>
        <v>-626.63051617646738</v>
      </c>
      <c r="AN327" s="134">
        <f t="shared" si="45"/>
        <v>-680.52404738550467</v>
      </c>
      <c r="AO327" s="134">
        <f t="shared" si="45"/>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2" t="s">
        <v>101</v>
      </c>
      <c r="C328" s="135"/>
      <c r="D328" s="134">
        <f t="shared" si="45"/>
        <v>0</v>
      </c>
      <c r="E328" s="134">
        <f t="shared" si="45"/>
        <v>0</v>
      </c>
      <c r="F328" s="134">
        <f t="shared" si="45"/>
        <v>0</v>
      </c>
      <c r="G328" s="134">
        <f t="shared" si="45"/>
        <v>0</v>
      </c>
      <c r="H328" s="134">
        <f t="shared" si="45"/>
        <v>0</v>
      </c>
      <c r="I328" s="134">
        <f t="shared" si="45"/>
        <v>0</v>
      </c>
      <c r="J328" s="134">
        <f t="shared" si="45"/>
        <v>0</v>
      </c>
      <c r="K328" s="134">
        <f t="shared" si="45"/>
        <v>0</v>
      </c>
      <c r="L328" s="134">
        <f t="shared" si="45"/>
        <v>0</v>
      </c>
      <c r="M328" s="134">
        <f t="shared" si="45"/>
        <v>0</v>
      </c>
      <c r="N328" s="134">
        <f t="shared" si="45"/>
        <v>0</v>
      </c>
      <c r="O328" s="134">
        <f t="shared" si="45"/>
        <v>0</v>
      </c>
      <c r="P328" s="134">
        <f t="shared" si="45"/>
        <v>-1.0954173480966978</v>
      </c>
      <c r="Q328" s="134">
        <f t="shared" si="45"/>
        <v>-4.3566074873384881</v>
      </c>
      <c r="R328" s="134">
        <f t="shared" si="45"/>
        <v>-9.5890904189961184</v>
      </c>
      <c r="S328" s="134">
        <f t="shared" si="45"/>
        <v>-16.651359042134384</v>
      </c>
      <c r="T328" s="134">
        <f t="shared" si="45"/>
        <v>-25.599235342245429</v>
      </c>
      <c r="U328" s="134">
        <f t="shared" si="45"/>
        <v>-36.488541304820899</v>
      </c>
      <c r="V328" s="134">
        <f t="shared" si="45"/>
        <v>-49.375098915352623</v>
      </c>
      <c r="W328" s="134">
        <f t="shared" si="45"/>
        <v>-64.314730159333394</v>
      </c>
      <c r="X328" s="134">
        <f t="shared" si="45"/>
        <v>-81.363257022254857</v>
      </c>
      <c r="Y328" s="134">
        <f t="shared" si="45"/>
        <v>-100.57650148960818</v>
      </c>
      <c r="Z328" s="134">
        <f t="shared" si="45"/>
        <v>-122.01028554688583</v>
      </c>
      <c r="AA328" s="134">
        <f t="shared" si="45"/>
        <v>-145.72043117958094</v>
      </c>
      <c r="AB328" s="134">
        <f t="shared" si="45"/>
        <v>-171.76276037318468</v>
      </c>
      <c r="AC328" s="134">
        <f t="shared" si="45"/>
        <v>-200.19309511318818</v>
      </c>
      <c r="AD328" s="134">
        <f t="shared" si="45"/>
        <v>-231.06725738508425</v>
      </c>
      <c r="AE328" s="134">
        <f t="shared" si="45"/>
        <v>-264.4410691743654</v>
      </c>
      <c r="AF328" s="134">
        <f t="shared" si="45"/>
        <v>-300.3703524665234</v>
      </c>
      <c r="AG328" s="134">
        <f t="shared" si="45"/>
        <v>-338.91092924704975</v>
      </c>
      <c r="AH328" s="134">
        <f t="shared" si="45"/>
        <v>-380.11862150143628</v>
      </c>
      <c r="AI328" s="134">
        <f t="shared" si="45"/>
        <v>-424.04925121517579</v>
      </c>
      <c r="AJ328" s="134">
        <f t="shared" si="45"/>
        <v>-470.75864037376004</v>
      </c>
      <c r="AK328" s="134">
        <f t="shared" si="45"/>
        <v>-520.30261096268055</v>
      </c>
      <c r="AL328" s="134">
        <f t="shared" si="45"/>
        <v>-572.73698496743009</v>
      </c>
      <c r="AM328" s="134">
        <f t="shared" si="45"/>
        <v>-626.63051617646738</v>
      </c>
      <c r="AN328" s="134">
        <f t="shared" si="45"/>
        <v>-680.52404738550467</v>
      </c>
      <c r="AO328" s="134">
        <f t="shared" si="4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2" t="s">
        <v>102</v>
      </c>
      <c r="C329" s="135"/>
      <c r="D329" s="134">
        <f t="shared" si="45"/>
        <v>0</v>
      </c>
      <c r="E329" s="134">
        <f t="shared" si="45"/>
        <v>0</v>
      </c>
      <c r="F329" s="134">
        <f t="shared" si="45"/>
        <v>0</v>
      </c>
      <c r="G329" s="134">
        <f t="shared" si="45"/>
        <v>0</v>
      </c>
      <c r="H329" s="134">
        <f t="shared" si="45"/>
        <v>0</v>
      </c>
      <c r="I329" s="134">
        <f t="shared" si="45"/>
        <v>0</v>
      </c>
      <c r="J329" s="134">
        <f t="shared" si="45"/>
        <v>0</v>
      </c>
      <c r="K329" s="134">
        <f t="shared" si="45"/>
        <v>0</v>
      </c>
      <c r="L329" s="134">
        <f t="shared" si="45"/>
        <v>0</v>
      </c>
      <c r="M329" s="134">
        <f t="shared" si="45"/>
        <v>0</v>
      </c>
      <c r="N329" s="134">
        <f t="shared" si="45"/>
        <v>0</v>
      </c>
      <c r="O329" s="134">
        <f t="shared" si="45"/>
        <v>0</v>
      </c>
      <c r="P329" s="134">
        <f t="shared" si="45"/>
        <v>-1.0954173480966978</v>
      </c>
      <c r="Q329" s="134">
        <f t="shared" si="45"/>
        <v>-4.3566074873384881</v>
      </c>
      <c r="R329" s="134">
        <f t="shared" si="45"/>
        <v>-9.5890904189961184</v>
      </c>
      <c r="S329" s="134">
        <f t="shared" si="45"/>
        <v>-16.651359042134384</v>
      </c>
      <c r="T329" s="134">
        <f t="shared" si="45"/>
        <v>-25.599235342245429</v>
      </c>
      <c r="U329" s="134">
        <f t="shared" si="45"/>
        <v>-36.488541304820899</v>
      </c>
      <c r="V329" s="134">
        <f t="shared" si="45"/>
        <v>-49.375098915352623</v>
      </c>
      <c r="W329" s="134">
        <f t="shared" si="45"/>
        <v>-64.314730159333394</v>
      </c>
      <c r="X329" s="134">
        <f t="shared" si="45"/>
        <v>-81.363257022254857</v>
      </c>
      <c r="Y329" s="134">
        <f t="shared" si="45"/>
        <v>-100.57650148960818</v>
      </c>
      <c r="Z329" s="134">
        <f t="shared" si="45"/>
        <v>-122.01028554688583</v>
      </c>
      <c r="AA329" s="134">
        <f t="shared" si="45"/>
        <v>-145.72043117958094</v>
      </c>
      <c r="AB329" s="134">
        <f t="shared" si="45"/>
        <v>-171.76276037318468</v>
      </c>
      <c r="AC329" s="134">
        <f t="shared" si="45"/>
        <v>-200.19309511318818</v>
      </c>
      <c r="AD329" s="134">
        <f t="shared" si="45"/>
        <v>-231.06725738508425</v>
      </c>
      <c r="AE329" s="134">
        <f t="shared" ref="AE329:AO329" si="47">IF(AE$320=$B329,0,IF(AE$320&gt;$B329,-0.5*AE$318-0.5*AD$318+AD329,0.5*HLOOKUP($B329,$D$317:$AO$318,2,FALSE)+0.5*HLOOKUP($B328,$D$317:$AO$318,2,FALSE)+AE328))</f>
        <v>-264.4410691743654</v>
      </c>
      <c r="AF329" s="134">
        <f t="shared" si="47"/>
        <v>-300.3703524665234</v>
      </c>
      <c r="AG329" s="134">
        <f t="shared" si="47"/>
        <v>-338.91092924704975</v>
      </c>
      <c r="AH329" s="134">
        <f t="shared" si="47"/>
        <v>-380.11862150143628</v>
      </c>
      <c r="AI329" s="134">
        <f t="shared" si="47"/>
        <v>-424.04925121517579</v>
      </c>
      <c r="AJ329" s="134">
        <f t="shared" si="47"/>
        <v>-470.75864037376004</v>
      </c>
      <c r="AK329" s="134">
        <f t="shared" si="47"/>
        <v>-520.30261096268055</v>
      </c>
      <c r="AL329" s="134">
        <f t="shared" si="47"/>
        <v>-572.73698496743009</v>
      </c>
      <c r="AM329" s="134">
        <f t="shared" si="47"/>
        <v>-626.63051617646738</v>
      </c>
      <c r="AN329" s="134">
        <f t="shared" si="47"/>
        <v>-680.52404738550467</v>
      </c>
      <c r="AO329" s="134">
        <f t="shared" si="47"/>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2"/>
      <c r="B330" s="112" t="s">
        <v>103</v>
      </c>
      <c r="C330" s="135"/>
      <c r="D330" s="134">
        <f t="shared" ref="D330:AO336" si="48">IF(D$320=$B330,0,IF(D$320&gt;$B330,-0.5*D$318-0.5*C$318+C330,0.5*HLOOKUP($B330,$D$317:$AO$318,2,FALSE)+0.5*HLOOKUP($B329,$D$317:$AO$318,2,FALSE)+D329))</f>
        <v>0</v>
      </c>
      <c r="E330" s="134">
        <f t="shared" si="48"/>
        <v>0</v>
      </c>
      <c r="F330" s="134">
        <f t="shared" si="48"/>
        <v>0</v>
      </c>
      <c r="G330" s="134">
        <f t="shared" si="48"/>
        <v>0</v>
      </c>
      <c r="H330" s="134">
        <f t="shared" si="48"/>
        <v>0</v>
      </c>
      <c r="I330" s="134">
        <f t="shared" si="48"/>
        <v>0</v>
      </c>
      <c r="J330" s="134">
        <f t="shared" si="48"/>
        <v>0</v>
      </c>
      <c r="K330" s="134">
        <f t="shared" si="48"/>
        <v>0</v>
      </c>
      <c r="L330" s="134">
        <f t="shared" si="48"/>
        <v>0</v>
      </c>
      <c r="M330" s="134">
        <f t="shared" si="48"/>
        <v>0</v>
      </c>
      <c r="N330" s="134">
        <f t="shared" si="48"/>
        <v>0</v>
      </c>
      <c r="O330" s="134">
        <f t="shared" si="48"/>
        <v>0</v>
      </c>
      <c r="P330" s="134">
        <f t="shared" si="48"/>
        <v>-1.0954173480966978</v>
      </c>
      <c r="Q330" s="134">
        <f t="shared" si="48"/>
        <v>-4.3566074873384881</v>
      </c>
      <c r="R330" s="134">
        <f t="shared" si="48"/>
        <v>-9.5890904189961184</v>
      </c>
      <c r="S330" s="134">
        <f t="shared" si="48"/>
        <v>-16.651359042134384</v>
      </c>
      <c r="T330" s="134">
        <f t="shared" si="48"/>
        <v>-25.599235342245429</v>
      </c>
      <c r="U330" s="134">
        <f t="shared" si="48"/>
        <v>-36.488541304820899</v>
      </c>
      <c r="V330" s="134">
        <f t="shared" si="48"/>
        <v>-49.375098915352623</v>
      </c>
      <c r="W330" s="134">
        <f t="shared" si="48"/>
        <v>-64.314730159333394</v>
      </c>
      <c r="X330" s="134">
        <f t="shared" si="48"/>
        <v>-81.363257022254857</v>
      </c>
      <c r="Y330" s="134">
        <f t="shared" si="48"/>
        <v>-100.57650148960818</v>
      </c>
      <c r="Z330" s="134">
        <f t="shared" si="48"/>
        <v>-122.01028554688583</v>
      </c>
      <c r="AA330" s="134">
        <f t="shared" si="48"/>
        <v>-145.72043117958094</v>
      </c>
      <c r="AB330" s="134">
        <f t="shared" si="48"/>
        <v>-171.76276037318468</v>
      </c>
      <c r="AC330" s="134">
        <f t="shared" si="48"/>
        <v>-200.19309511318818</v>
      </c>
      <c r="AD330" s="134">
        <f t="shared" si="48"/>
        <v>-231.06725738508425</v>
      </c>
      <c r="AE330" s="134">
        <f t="shared" si="48"/>
        <v>-264.4410691743654</v>
      </c>
      <c r="AF330" s="134">
        <f t="shared" si="48"/>
        <v>-300.3703524665234</v>
      </c>
      <c r="AG330" s="134">
        <f t="shared" si="48"/>
        <v>-338.91092924704975</v>
      </c>
      <c r="AH330" s="134">
        <f t="shared" si="48"/>
        <v>-380.11862150143628</v>
      </c>
      <c r="AI330" s="134">
        <f t="shared" si="48"/>
        <v>-424.04925121517579</v>
      </c>
      <c r="AJ330" s="134">
        <f t="shared" si="48"/>
        <v>-470.75864037376004</v>
      </c>
      <c r="AK330" s="134">
        <f t="shared" si="48"/>
        <v>-520.30261096268055</v>
      </c>
      <c r="AL330" s="134">
        <f t="shared" si="48"/>
        <v>-572.73698496743009</v>
      </c>
      <c r="AM330" s="134">
        <f t="shared" si="48"/>
        <v>-626.63051617646738</v>
      </c>
      <c r="AN330" s="134">
        <f t="shared" si="48"/>
        <v>-680.52404738550467</v>
      </c>
      <c r="AO330" s="134">
        <f t="shared" si="48"/>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5">
      <c r="A331" s="102"/>
      <c r="B331" s="112" t="s">
        <v>104</v>
      </c>
      <c r="C331" s="135"/>
      <c r="D331" s="134">
        <f t="shared" si="48"/>
        <v>0</v>
      </c>
      <c r="E331" s="134">
        <f t="shared" si="48"/>
        <v>0</v>
      </c>
      <c r="F331" s="134">
        <f t="shared" si="48"/>
        <v>0</v>
      </c>
      <c r="G331" s="134">
        <f t="shared" si="48"/>
        <v>0</v>
      </c>
      <c r="H331" s="134">
        <f t="shared" si="48"/>
        <v>0</v>
      </c>
      <c r="I331" s="134">
        <f t="shared" si="48"/>
        <v>0</v>
      </c>
      <c r="J331" s="134">
        <f t="shared" si="48"/>
        <v>0</v>
      </c>
      <c r="K331" s="134">
        <f t="shared" si="48"/>
        <v>0</v>
      </c>
      <c r="L331" s="134">
        <f t="shared" si="48"/>
        <v>0</v>
      </c>
      <c r="M331" s="134">
        <f t="shared" si="48"/>
        <v>0</v>
      </c>
      <c r="N331" s="134">
        <f t="shared" si="48"/>
        <v>0</v>
      </c>
      <c r="O331" s="134">
        <f t="shared" si="48"/>
        <v>0</v>
      </c>
      <c r="P331" s="134">
        <f t="shared" si="48"/>
        <v>-1.0954173480966978</v>
      </c>
      <c r="Q331" s="134">
        <f t="shared" si="48"/>
        <v>-4.3566074873384881</v>
      </c>
      <c r="R331" s="134">
        <f t="shared" si="48"/>
        <v>-9.5890904189961184</v>
      </c>
      <c r="S331" s="134">
        <f t="shared" si="48"/>
        <v>-16.651359042134384</v>
      </c>
      <c r="T331" s="134">
        <f t="shared" si="48"/>
        <v>-25.599235342245429</v>
      </c>
      <c r="U331" s="134">
        <f t="shared" si="48"/>
        <v>-36.488541304820899</v>
      </c>
      <c r="V331" s="134">
        <f t="shared" si="48"/>
        <v>-49.375098915352623</v>
      </c>
      <c r="W331" s="134">
        <f t="shared" si="48"/>
        <v>-64.314730159333394</v>
      </c>
      <c r="X331" s="134">
        <f t="shared" si="48"/>
        <v>-81.363257022254857</v>
      </c>
      <c r="Y331" s="134">
        <f t="shared" si="48"/>
        <v>-100.57650148960818</v>
      </c>
      <c r="Z331" s="134">
        <f t="shared" si="48"/>
        <v>-122.01028554688583</v>
      </c>
      <c r="AA331" s="134">
        <f t="shared" si="48"/>
        <v>-145.72043117958094</v>
      </c>
      <c r="AB331" s="134">
        <f t="shared" si="48"/>
        <v>-171.76276037318468</v>
      </c>
      <c r="AC331" s="134">
        <f t="shared" si="48"/>
        <v>-200.19309511318818</v>
      </c>
      <c r="AD331" s="134">
        <f t="shared" si="48"/>
        <v>-231.06725738508425</v>
      </c>
      <c r="AE331" s="134">
        <f t="shared" si="48"/>
        <v>-264.4410691743654</v>
      </c>
      <c r="AF331" s="134">
        <f t="shared" si="48"/>
        <v>-300.3703524665234</v>
      </c>
      <c r="AG331" s="134">
        <f t="shared" si="48"/>
        <v>-338.91092924704975</v>
      </c>
      <c r="AH331" s="134">
        <f t="shared" si="48"/>
        <v>-380.11862150143628</v>
      </c>
      <c r="AI331" s="134">
        <f t="shared" si="48"/>
        <v>-424.04925121517579</v>
      </c>
      <c r="AJ331" s="134">
        <f t="shared" si="48"/>
        <v>-470.75864037376004</v>
      </c>
      <c r="AK331" s="134">
        <f t="shared" si="48"/>
        <v>-520.30261096268055</v>
      </c>
      <c r="AL331" s="134">
        <f t="shared" si="48"/>
        <v>-572.73698496743009</v>
      </c>
      <c r="AM331" s="134">
        <f t="shared" si="48"/>
        <v>-626.63051617646738</v>
      </c>
      <c r="AN331" s="134">
        <f t="shared" si="48"/>
        <v>-680.52404738550467</v>
      </c>
      <c r="AO331" s="134">
        <f t="shared" si="4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5">
      <c r="A332" s="102"/>
      <c r="B332" s="112" t="s">
        <v>105</v>
      </c>
      <c r="C332" s="135"/>
      <c r="D332" s="134">
        <f t="shared" si="48"/>
        <v>0</v>
      </c>
      <c r="E332" s="134">
        <f t="shared" si="48"/>
        <v>0</v>
      </c>
      <c r="F332" s="134">
        <f t="shared" si="48"/>
        <v>0</v>
      </c>
      <c r="G332" s="134">
        <f t="shared" si="48"/>
        <v>0</v>
      </c>
      <c r="H332" s="134">
        <f t="shared" si="48"/>
        <v>0</v>
      </c>
      <c r="I332" s="134">
        <f t="shared" si="48"/>
        <v>0</v>
      </c>
      <c r="J332" s="134">
        <f t="shared" si="48"/>
        <v>0</v>
      </c>
      <c r="K332" s="134">
        <f t="shared" si="48"/>
        <v>0</v>
      </c>
      <c r="L332" s="134">
        <f t="shared" si="48"/>
        <v>0</v>
      </c>
      <c r="M332" s="134">
        <f t="shared" si="48"/>
        <v>0</v>
      </c>
      <c r="N332" s="134">
        <f t="shared" si="48"/>
        <v>0</v>
      </c>
      <c r="O332" s="134">
        <f t="shared" si="48"/>
        <v>0</v>
      </c>
      <c r="P332" s="134">
        <f t="shared" si="48"/>
        <v>-1.0954173480966978</v>
      </c>
      <c r="Q332" s="134">
        <f t="shared" si="48"/>
        <v>-4.3566074873384881</v>
      </c>
      <c r="R332" s="134">
        <f t="shared" si="48"/>
        <v>-9.5890904189961184</v>
      </c>
      <c r="S332" s="134">
        <f t="shared" si="48"/>
        <v>-16.651359042134384</v>
      </c>
      <c r="T332" s="134">
        <f t="shared" si="48"/>
        <v>-25.599235342245429</v>
      </c>
      <c r="U332" s="134">
        <f t="shared" si="48"/>
        <v>-36.488541304820899</v>
      </c>
      <c r="V332" s="134">
        <f t="shared" si="48"/>
        <v>-49.375098915352623</v>
      </c>
      <c r="W332" s="134">
        <f t="shared" si="48"/>
        <v>-64.314730159333394</v>
      </c>
      <c r="X332" s="134">
        <f t="shared" si="48"/>
        <v>-81.363257022254857</v>
      </c>
      <c r="Y332" s="134">
        <f t="shared" si="48"/>
        <v>-100.57650148960818</v>
      </c>
      <c r="Z332" s="134">
        <f t="shared" si="48"/>
        <v>-122.01028554688583</v>
      </c>
      <c r="AA332" s="134">
        <f t="shared" si="48"/>
        <v>-145.72043117958094</v>
      </c>
      <c r="AB332" s="134">
        <f t="shared" si="48"/>
        <v>-171.76276037318468</v>
      </c>
      <c r="AC332" s="134">
        <f t="shared" si="48"/>
        <v>-200.19309511318818</v>
      </c>
      <c r="AD332" s="134">
        <f t="shared" si="48"/>
        <v>-231.06725738508425</v>
      </c>
      <c r="AE332" s="134">
        <f t="shared" si="48"/>
        <v>-264.4410691743654</v>
      </c>
      <c r="AF332" s="134">
        <f t="shared" si="48"/>
        <v>-300.3703524665234</v>
      </c>
      <c r="AG332" s="134">
        <f t="shared" si="48"/>
        <v>-338.91092924704975</v>
      </c>
      <c r="AH332" s="134">
        <f t="shared" si="48"/>
        <v>-380.11862150143628</v>
      </c>
      <c r="AI332" s="134">
        <f t="shared" si="48"/>
        <v>-424.04925121517579</v>
      </c>
      <c r="AJ332" s="134">
        <f t="shared" si="48"/>
        <v>-470.75864037376004</v>
      </c>
      <c r="AK332" s="134">
        <f t="shared" si="48"/>
        <v>-520.30261096268055</v>
      </c>
      <c r="AL332" s="134">
        <f t="shared" si="48"/>
        <v>-572.73698496743009</v>
      </c>
      <c r="AM332" s="134">
        <f t="shared" si="48"/>
        <v>-626.63051617646738</v>
      </c>
      <c r="AN332" s="134">
        <f t="shared" si="48"/>
        <v>-680.52404738550467</v>
      </c>
      <c r="AO332" s="134">
        <f t="shared" si="48"/>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5">
      <c r="A333" s="102"/>
      <c r="B333" s="112" t="s">
        <v>106</v>
      </c>
      <c r="C333" s="135"/>
      <c r="D333" s="134">
        <f t="shared" si="48"/>
        <v>0</v>
      </c>
      <c r="E333" s="134">
        <f t="shared" si="48"/>
        <v>0</v>
      </c>
      <c r="F333" s="134">
        <f t="shared" si="48"/>
        <v>0</v>
      </c>
      <c r="G333" s="134">
        <f t="shared" si="48"/>
        <v>0</v>
      </c>
      <c r="H333" s="134">
        <f t="shared" si="48"/>
        <v>0</v>
      </c>
      <c r="I333" s="134">
        <f t="shared" si="48"/>
        <v>0</v>
      </c>
      <c r="J333" s="134">
        <f t="shared" si="48"/>
        <v>0</v>
      </c>
      <c r="K333" s="134">
        <f t="shared" si="48"/>
        <v>0</v>
      </c>
      <c r="L333" s="134">
        <f t="shared" si="48"/>
        <v>0</v>
      </c>
      <c r="M333" s="134">
        <f t="shared" si="48"/>
        <v>0</v>
      </c>
      <c r="N333" s="134">
        <f t="shared" si="48"/>
        <v>0</v>
      </c>
      <c r="O333" s="134">
        <f t="shared" si="48"/>
        <v>0</v>
      </c>
      <c r="P333" s="134">
        <f t="shared" si="48"/>
        <v>-1.0954173480966978</v>
      </c>
      <c r="Q333" s="134">
        <f t="shared" si="48"/>
        <v>-4.3566074873384881</v>
      </c>
      <c r="R333" s="134">
        <f t="shared" si="48"/>
        <v>-9.5890904189961184</v>
      </c>
      <c r="S333" s="134">
        <f t="shared" si="48"/>
        <v>-16.651359042134384</v>
      </c>
      <c r="T333" s="134">
        <f t="shared" si="48"/>
        <v>-25.599235342245429</v>
      </c>
      <c r="U333" s="134">
        <f t="shared" si="48"/>
        <v>-36.488541304820899</v>
      </c>
      <c r="V333" s="134">
        <f t="shared" si="48"/>
        <v>-49.375098915352623</v>
      </c>
      <c r="W333" s="134">
        <f t="shared" si="48"/>
        <v>-64.314730159333394</v>
      </c>
      <c r="X333" s="134">
        <f t="shared" si="48"/>
        <v>-81.363257022254857</v>
      </c>
      <c r="Y333" s="134">
        <f t="shared" si="48"/>
        <v>-100.57650148960818</v>
      </c>
      <c r="Z333" s="134">
        <f t="shared" si="48"/>
        <v>-122.01028554688583</v>
      </c>
      <c r="AA333" s="134">
        <f t="shared" si="48"/>
        <v>-145.72043117958094</v>
      </c>
      <c r="AB333" s="134">
        <f t="shared" si="48"/>
        <v>-171.76276037318468</v>
      </c>
      <c r="AC333" s="134">
        <f t="shared" si="48"/>
        <v>-200.19309511318818</v>
      </c>
      <c r="AD333" s="134">
        <f t="shared" si="48"/>
        <v>-231.06725738508425</v>
      </c>
      <c r="AE333" s="134">
        <f t="shared" si="48"/>
        <v>-264.4410691743654</v>
      </c>
      <c r="AF333" s="134">
        <f t="shared" si="48"/>
        <v>-300.3703524665234</v>
      </c>
      <c r="AG333" s="134">
        <f t="shared" si="48"/>
        <v>-338.91092924704975</v>
      </c>
      <c r="AH333" s="134">
        <f t="shared" si="48"/>
        <v>-380.11862150143628</v>
      </c>
      <c r="AI333" s="134">
        <f t="shared" si="48"/>
        <v>-424.04925121517579</v>
      </c>
      <c r="AJ333" s="134">
        <f t="shared" si="48"/>
        <v>-470.75864037376004</v>
      </c>
      <c r="AK333" s="134">
        <f t="shared" si="48"/>
        <v>-520.30261096268055</v>
      </c>
      <c r="AL333" s="134">
        <f t="shared" si="48"/>
        <v>-572.73698496743009</v>
      </c>
      <c r="AM333" s="134">
        <f t="shared" si="48"/>
        <v>-626.63051617646738</v>
      </c>
      <c r="AN333" s="134">
        <f t="shared" si="48"/>
        <v>-680.52404738550467</v>
      </c>
      <c r="AO333" s="134">
        <f t="shared" si="48"/>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5">
      <c r="A334" s="102"/>
      <c r="B334" s="112" t="s">
        <v>107</v>
      </c>
      <c r="C334" s="135"/>
      <c r="D334" s="134">
        <f t="shared" si="48"/>
        <v>1.0954173480966978</v>
      </c>
      <c r="E334" s="134">
        <f t="shared" si="48"/>
        <v>1.0954173480966978</v>
      </c>
      <c r="F334" s="134">
        <f t="shared" si="48"/>
        <v>1.0954173480966978</v>
      </c>
      <c r="G334" s="134">
        <f t="shared" si="48"/>
        <v>1.0954173480966978</v>
      </c>
      <c r="H334" s="134">
        <f t="shared" si="48"/>
        <v>1.0954173480966978</v>
      </c>
      <c r="I334" s="134">
        <f t="shared" si="48"/>
        <v>1.0954173480966978</v>
      </c>
      <c r="J334" s="134">
        <f t="shared" si="48"/>
        <v>1.0954173480966978</v>
      </c>
      <c r="K334" s="134">
        <f t="shared" si="48"/>
        <v>1.0954173480966978</v>
      </c>
      <c r="L334" s="134">
        <f t="shared" si="48"/>
        <v>1.0954173480966978</v>
      </c>
      <c r="M334" s="134">
        <f t="shared" si="48"/>
        <v>1.0954173480966978</v>
      </c>
      <c r="N334" s="134">
        <f t="shared" si="48"/>
        <v>1.0954173480966978</v>
      </c>
      <c r="O334" s="134">
        <f t="shared" si="48"/>
        <v>1.0954173480966978</v>
      </c>
      <c r="P334" s="134">
        <f t="shared" si="48"/>
        <v>0</v>
      </c>
      <c r="Q334" s="134">
        <f t="shared" si="48"/>
        <v>-3.2611901392417906</v>
      </c>
      <c r="R334" s="134">
        <f t="shared" si="48"/>
        <v>-8.4936730708994226</v>
      </c>
      <c r="S334" s="134">
        <f t="shared" si="48"/>
        <v>-15.555941694037688</v>
      </c>
      <c r="T334" s="134">
        <f t="shared" si="48"/>
        <v>-24.503817994148733</v>
      </c>
      <c r="U334" s="134">
        <f t="shared" si="48"/>
        <v>-35.39312395672421</v>
      </c>
      <c r="V334" s="134">
        <f t="shared" si="48"/>
        <v>-48.279681567255935</v>
      </c>
      <c r="W334" s="134">
        <f t="shared" si="48"/>
        <v>-63.219312811236698</v>
      </c>
      <c r="X334" s="134">
        <f t="shared" si="48"/>
        <v>-80.267839674158154</v>
      </c>
      <c r="Y334" s="134">
        <f t="shared" si="48"/>
        <v>-99.481084141511474</v>
      </c>
      <c r="Z334" s="134">
        <f t="shared" si="48"/>
        <v>-120.91486819878912</v>
      </c>
      <c r="AA334" s="134">
        <f t="shared" si="48"/>
        <v>-144.62501383148424</v>
      </c>
      <c r="AB334" s="134">
        <f t="shared" si="48"/>
        <v>-170.66734302508797</v>
      </c>
      <c r="AC334" s="134">
        <f t="shared" si="48"/>
        <v>-199.09767776509148</v>
      </c>
      <c r="AD334" s="134">
        <f t="shared" si="48"/>
        <v>-229.97184003698754</v>
      </c>
      <c r="AE334" s="134">
        <f t="shared" si="48"/>
        <v>-263.34565182626869</v>
      </c>
      <c r="AF334" s="134">
        <f t="shared" si="48"/>
        <v>-299.2749351184267</v>
      </c>
      <c r="AG334" s="134">
        <f t="shared" si="48"/>
        <v>-337.81551189895305</v>
      </c>
      <c r="AH334" s="134">
        <f t="shared" si="48"/>
        <v>-379.02320415333958</v>
      </c>
      <c r="AI334" s="134">
        <f t="shared" si="48"/>
        <v>-422.95383386707908</v>
      </c>
      <c r="AJ334" s="134">
        <f t="shared" si="48"/>
        <v>-469.66322302566334</v>
      </c>
      <c r="AK334" s="134">
        <f t="shared" si="48"/>
        <v>-519.20719361458384</v>
      </c>
      <c r="AL334" s="134">
        <f t="shared" si="48"/>
        <v>-571.6415676193335</v>
      </c>
      <c r="AM334" s="134">
        <f t="shared" si="48"/>
        <v>-625.53509882837079</v>
      </c>
      <c r="AN334" s="134">
        <f t="shared" si="48"/>
        <v>-679.42863003740808</v>
      </c>
      <c r="AO334" s="134">
        <f t="shared" si="48"/>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5">
      <c r="A335" s="102"/>
      <c r="B335" s="112" t="s">
        <v>108</v>
      </c>
      <c r="C335" s="135"/>
      <c r="D335" s="134">
        <f t="shared" si="48"/>
        <v>4.3566074873384881</v>
      </c>
      <c r="E335" s="134">
        <f t="shared" si="48"/>
        <v>4.3566074873384881</v>
      </c>
      <c r="F335" s="134">
        <f t="shared" si="48"/>
        <v>4.3566074873384881</v>
      </c>
      <c r="G335" s="134">
        <f t="shared" si="48"/>
        <v>4.3566074873384881</v>
      </c>
      <c r="H335" s="134">
        <f t="shared" si="48"/>
        <v>4.3566074873384881</v>
      </c>
      <c r="I335" s="134">
        <f t="shared" si="48"/>
        <v>4.3566074873384881</v>
      </c>
      <c r="J335" s="134">
        <f t="shared" si="48"/>
        <v>4.3566074873384881</v>
      </c>
      <c r="K335" s="134">
        <f t="shared" si="48"/>
        <v>4.3566074873384881</v>
      </c>
      <c r="L335" s="134">
        <f t="shared" si="48"/>
        <v>4.3566074873384881</v>
      </c>
      <c r="M335" s="134">
        <f t="shared" si="48"/>
        <v>4.3566074873384881</v>
      </c>
      <c r="N335" s="134">
        <f t="shared" si="48"/>
        <v>4.3566074873384881</v>
      </c>
      <c r="O335" s="134">
        <f t="shared" si="48"/>
        <v>4.3566074873384881</v>
      </c>
      <c r="P335" s="134">
        <f t="shared" si="48"/>
        <v>3.2611901392417906</v>
      </c>
      <c r="Q335" s="134">
        <f t="shared" si="48"/>
        <v>0</v>
      </c>
      <c r="R335" s="134">
        <f t="shared" si="48"/>
        <v>-5.2324829316576311</v>
      </c>
      <c r="S335" s="134">
        <f t="shared" si="48"/>
        <v>-12.294751554795898</v>
      </c>
      <c r="T335" s="134">
        <f t="shared" si="48"/>
        <v>-21.242627854906942</v>
      </c>
      <c r="U335" s="134">
        <f t="shared" si="48"/>
        <v>-32.13193381748242</v>
      </c>
      <c r="V335" s="134">
        <f t="shared" si="48"/>
        <v>-45.018491428014144</v>
      </c>
      <c r="W335" s="134">
        <f t="shared" si="48"/>
        <v>-59.958122671994907</v>
      </c>
      <c r="X335" s="134">
        <f t="shared" si="48"/>
        <v>-77.006649534916363</v>
      </c>
      <c r="Y335" s="134">
        <f t="shared" si="48"/>
        <v>-96.219894002269683</v>
      </c>
      <c r="Z335" s="134">
        <f t="shared" si="48"/>
        <v>-117.65367805954733</v>
      </c>
      <c r="AA335" s="134">
        <f t="shared" si="48"/>
        <v>-141.36382369224245</v>
      </c>
      <c r="AB335" s="134">
        <f t="shared" si="48"/>
        <v>-167.40615288584618</v>
      </c>
      <c r="AC335" s="134">
        <f t="shared" si="48"/>
        <v>-195.83648762584968</v>
      </c>
      <c r="AD335" s="134">
        <f t="shared" si="48"/>
        <v>-226.71064989774575</v>
      </c>
      <c r="AE335" s="134">
        <f t="shared" si="48"/>
        <v>-260.08446168702687</v>
      </c>
      <c r="AF335" s="134">
        <f t="shared" si="48"/>
        <v>-296.01374497918488</v>
      </c>
      <c r="AG335" s="134">
        <f t="shared" si="48"/>
        <v>-334.55432175971123</v>
      </c>
      <c r="AH335" s="134">
        <f t="shared" si="48"/>
        <v>-375.76201401409776</v>
      </c>
      <c r="AI335" s="134">
        <f t="shared" si="48"/>
        <v>-419.69264372783721</v>
      </c>
      <c r="AJ335" s="134">
        <f t="shared" si="48"/>
        <v>-466.40203288642147</v>
      </c>
      <c r="AK335" s="134">
        <f t="shared" si="48"/>
        <v>-515.94600347534197</v>
      </c>
      <c r="AL335" s="134">
        <f t="shared" si="48"/>
        <v>-568.38037748009151</v>
      </c>
      <c r="AM335" s="134">
        <f t="shared" si="48"/>
        <v>-622.2739086891288</v>
      </c>
      <c r="AN335" s="134">
        <f t="shared" si="48"/>
        <v>-676.16743989816609</v>
      </c>
      <c r="AO335" s="134">
        <f t="shared" si="48"/>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5">
      <c r="A336" s="102"/>
      <c r="B336" s="112" t="s">
        <v>109</v>
      </c>
      <c r="C336" s="135"/>
      <c r="D336" s="134">
        <f t="shared" si="48"/>
        <v>9.5890904189961184</v>
      </c>
      <c r="E336" s="134">
        <f t="shared" si="48"/>
        <v>9.5890904189961184</v>
      </c>
      <c r="F336" s="134">
        <f t="shared" si="48"/>
        <v>9.5890904189961184</v>
      </c>
      <c r="G336" s="134">
        <f t="shared" si="48"/>
        <v>9.5890904189961184</v>
      </c>
      <c r="H336" s="134">
        <f t="shared" si="48"/>
        <v>9.5890904189961184</v>
      </c>
      <c r="I336" s="134">
        <f t="shared" si="48"/>
        <v>9.5890904189961184</v>
      </c>
      <c r="J336" s="134">
        <f t="shared" si="48"/>
        <v>9.5890904189961184</v>
      </c>
      <c r="K336" s="134">
        <f t="shared" si="48"/>
        <v>9.5890904189961184</v>
      </c>
      <c r="L336" s="134">
        <f t="shared" si="48"/>
        <v>9.5890904189961184</v>
      </c>
      <c r="M336" s="134">
        <f t="shared" si="48"/>
        <v>9.5890904189961184</v>
      </c>
      <c r="N336" s="134">
        <f t="shared" si="48"/>
        <v>9.5890904189961184</v>
      </c>
      <c r="O336" s="134">
        <f t="shared" si="48"/>
        <v>9.5890904189961184</v>
      </c>
      <c r="P336" s="134">
        <f t="shared" si="48"/>
        <v>8.4936730708994226</v>
      </c>
      <c r="Q336" s="134">
        <f t="shared" si="48"/>
        <v>5.2324829316576311</v>
      </c>
      <c r="R336" s="134">
        <f t="shared" si="48"/>
        <v>0</v>
      </c>
      <c r="S336" s="134">
        <f t="shared" si="48"/>
        <v>-7.0622686231382659</v>
      </c>
      <c r="T336" s="134">
        <f t="shared" si="48"/>
        <v>-16.01014492324931</v>
      </c>
      <c r="U336" s="134">
        <f t="shared" si="48"/>
        <v>-26.899450885824784</v>
      </c>
      <c r="V336" s="134">
        <f t="shared" si="48"/>
        <v>-39.786008496356501</v>
      </c>
      <c r="W336" s="134">
        <f t="shared" si="48"/>
        <v>-54.725639740337265</v>
      </c>
      <c r="X336" s="134">
        <f t="shared" si="48"/>
        <v>-71.77416660325872</v>
      </c>
      <c r="Y336" s="134">
        <f t="shared" si="48"/>
        <v>-90.98741107061204</v>
      </c>
      <c r="Z336" s="134">
        <f t="shared" si="48"/>
        <v>-112.42119512788969</v>
      </c>
      <c r="AA336" s="134">
        <f t="shared" si="48"/>
        <v>-136.13134076058481</v>
      </c>
      <c r="AB336" s="134">
        <f t="shared" si="48"/>
        <v>-162.17366995418854</v>
      </c>
      <c r="AC336" s="134">
        <f t="shared" si="48"/>
        <v>-190.60400469419204</v>
      </c>
      <c r="AD336" s="134">
        <f t="shared" si="48"/>
        <v>-221.47816696608811</v>
      </c>
      <c r="AE336" s="134">
        <f t="shared" ref="AE336:AO336" si="49">IF(AE$320=$B336,0,IF(AE$320&gt;$B336,-0.5*AE$318-0.5*AD$318+AD336,0.5*HLOOKUP($B336,$D$317:$AO$318,2,FALSE)+0.5*HLOOKUP($B335,$D$317:$AO$318,2,FALSE)+AE335))</f>
        <v>-254.85197875536923</v>
      </c>
      <c r="AF336" s="134">
        <f t="shared" si="49"/>
        <v>-290.78126204752721</v>
      </c>
      <c r="AG336" s="134">
        <f t="shared" si="49"/>
        <v>-329.32183882805356</v>
      </c>
      <c r="AH336" s="134">
        <f t="shared" si="49"/>
        <v>-370.52953108244009</v>
      </c>
      <c r="AI336" s="134">
        <f t="shared" si="49"/>
        <v>-414.46016079617959</v>
      </c>
      <c r="AJ336" s="134">
        <f t="shared" si="49"/>
        <v>-461.16954995476385</v>
      </c>
      <c r="AK336" s="134">
        <f t="shared" si="49"/>
        <v>-510.71352054368435</v>
      </c>
      <c r="AL336" s="134">
        <f t="shared" si="49"/>
        <v>-563.1478945484339</v>
      </c>
      <c r="AM336" s="134">
        <f t="shared" si="49"/>
        <v>-617.04142575747119</v>
      </c>
      <c r="AN336" s="134">
        <f t="shared" si="49"/>
        <v>-670.93495696650848</v>
      </c>
      <c r="AO336" s="134">
        <f t="shared" si="49"/>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5">
      <c r="A337" s="102"/>
      <c r="B337" s="112" t="s">
        <v>110</v>
      </c>
      <c r="C337" s="135"/>
      <c r="D337" s="134">
        <f t="shared" ref="D337:AO343" si="50">IF(D$320=$B337,0,IF(D$320&gt;$B337,-0.5*D$318-0.5*C$318+C337,0.5*HLOOKUP($B337,$D$317:$AO$318,2,FALSE)+0.5*HLOOKUP($B336,$D$317:$AO$318,2,FALSE)+D336))</f>
        <v>16.651359042134384</v>
      </c>
      <c r="E337" s="134">
        <f t="shared" si="50"/>
        <v>16.651359042134384</v>
      </c>
      <c r="F337" s="134">
        <f t="shared" si="50"/>
        <v>16.651359042134384</v>
      </c>
      <c r="G337" s="134">
        <f t="shared" si="50"/>
        <v>16.651359042134384</v>
      </c>
      <c r="H337" s="134">
        <f t="shared" si="50"/>
        <v>16.651359042134384</v>
      </c>
      <c r="I337" s="134">
        <f t="shared" si="50"/>
        <v>16.651359042134384</v>
      </c>
      <c r="J337" s="134">
        <f t="shared" si="50"/>
        <v>16.651359042134384</v>
      </c>
      <c r="K337" s="134">
        <f t="shared" si="50"/>
        <v>16.651359042134384</v>
      </c>
      <c r="L337" s="134">
        <f t="shared" si="50"/>
        <v>16.651359042134384</v>
      </c>
      <c r="M337" s="134">
        <f t="shared" si="50"/>
        <v>16.651359042134384</v>
      </c>
      <c r="N337" s="134">
        <f t="shared" si="50"/>
        <v>16.651359042134384</v>
      </c>
      <c r="O337" s="134">
        <f t="shared" si="50"/>
        <v>16.651359042134384</v>
      </c>
      <c r="P337" s="134">
        <f t="shared" si="50"/>
        <v>15.555941694037688</v>
      </c>
      <c r="Q337" s="134">
        <f t="shared" si="50"/>
        <v>12.294751554795898</v>
      </c>
      <c r="R337" s="134">
        <f t="shared" si="50"/>
        <v>7.0622686231382659</v>
      </c>
      <c r="S337" s="134">
        <f t="shared" si="50"/>
        <v>0</v>
      </c>
      <c r="T337" s="134">
        <f t="shared" si="50"/>
        <v>-8.9478763001110444</v>
      </c>
      <c r="U337" s="134">
        <f t="shared" si="50"/>
        <v>-19.837182262686518</v>
      </c>
      <c r="V337" s="134">
        <f t="shared" si="50"/>
        <v>-32.723739873218236</v>
      </c>
      <c r="W337" s="134">
        <f t="shared" si="50"/>
        <v>-47.663371117198999</v>
      </c>
      <c r="X337" s="134">
        <f t="shared" si="50"/>
        <v>-64.711897980120455</v>
      </c>
      <c r="Y337" s="134">
        <f t="shared" si="50"/>
        <v>-83.925142447473775</v>
      </c>
      <c r="Z337" s="134">
        <f t="shared" si="50"/>
        <v>-105.35892650475142</v>
      </c>
      <c r="AA337" s="134">
        <f t="shared" si="50"/>
        <v>-129.06907213744654</v>
      </c>
      <c r="AB337" s="134">
        <f t="shared" si="50"/>
        <v>-155.11140133105027</v>
      </c>
      <c r="AC337" s="134">
        <f t="shared" si="50"/>
        <v>-183.54173607105378</v>
      </c>
      <c r="AD337" s="134">
        <f t="shared" si="50"/>
        <v>-214.41589834294984</v>
      </c>
      <c r="AE337" s="134">
        <f t="shared" si="50"/>
        <v>-247.78971013223097</v>
      </c>
      <c r="AF337" s="134">
        <f t="shared" si="50"/>
        <v>-283.71899342438894</v>
      </c>
      <c r="AG337" s="134">
        <f t="shared" si="50"/>
        <v>-322.25957020491529</v>
      </c>
      <c r="AH337" s="134">
        <f t="shared" si="50"/>
        <v>-363.46726245930182</v>
      </c>
      <c r="AI337" s="134">
        <f t="shared" si="50"/>
        <v>-407.39789217304133</v>
      </c>
      <c r="AJ337" s="134">
        <f t="shared" si="50"/>
        <v>-454.10728133162559</v>
      </c>
      <c r="AK337" s="134">
        <f t="shared" si="50"/>
        <v>-503.65125192054609</v>
      </c>
      <c r="AL337" s="134">
        <f t="shared" si="50"/>
        <v>-556.08562592529574</v>
      </c>
      <c r="AM337" s="134">
        <f t="shared" si="50"/>
        <v>-609.97915713433304</v>
      </c>
      <c r="AN337" s="134">
        <f t="shared" si="50"/>
        <v>-663.87268834337033</v>
      </c>
      <c r="AO337" s="134">
        <f t="shared" si="50"/>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5">
      <c r="A338" s="102"/>
      <c r="B338" s="112" t="s">
        <v>111</v>
      </c>
      <c r="C338" s="135"/>
      <c r="D338" s="134">
        <f t="shared" si="50"/>
        <v>25.599235342245429</v>
      </c>
      <c r="E338" s="134">
        <f t="shared" si="50"/>
        <v>25.599235342245429</v>
      </c>
      <c r="F338" s="134">
        <f t="shared" si="50"/>
        <v>25.599235342245429</v>
      </c>
      <c r="G338" s="134">
        <f t="shared" si="50"/>
        <v>25.599235342245429</v>
      </c>
      <c r="H338" s="134">
        <f t="shared" si="50"/>
        <v>25.599235342245429</v>
      </c>
      <c r="I338" s="134">
        <f t="shared" si="50"/>
        <v>25.599235342245429</v>
      </c>
      <c r="J338" s="134">
        <f t="shared" si="50"/>
        <v>25.599235342245429</v>
      </c>
      <c r="K338" s="134">
        <f t="shared" si="50"/>
        <v>25.599235342245429</v>
      </c>
      <c r="L338" s="134">
        <f t="shared" si="50"/>
        <v>25.599235342245429</v>
      </c>
      <c r="M338" s="134">
        <f t="shared" si="50"/>
        <v>25.599235342245429</v>
      </c>
      <c r="N338" s="134">
        <f t="shared" si="50"/>
        <v>25.599235342245429</v>
      </c>
      <c r="O338" s="134">
        <f t="shared" si="50"/>
        <v>25.599235342245429</v>
      </c>
      <c r="P338" s="134">
        <f t="shared" si="50"/>
        <v>24.503817994148733</v>
      </c>
      <c r="Q338" s="134">
        <f t="shared" si="50"/>
        <v>21.242627854906942</v>
      </c>
      <c r="R338" s="134">
        <f t="shared" si="50"/>
        <v>16.01014492324931</v>
      </c>
      <c r="S338" s="134">
        <f t="shared" si="50"/>
        <v>8.9478763001110444</v>
      </c>
      <c r="T338" s="134">
        <f t="shared" si="50"/>
        <v>0</v>
      </c>
      <c r="U338" s="134">
        <f t="shared" si="50"/>
        <v>-10.889305962575474</v>
      </c>
      <c r="V338" s="134">
        <f t="shared" si="50"/>
        <v>-23.775863573107195</v>
      </c>
      <c r="W338" s="134">
        <f t="shared" si="50"/>
        <v>-38.715494817087958</v>
      </c>
      <c r="X338" s="134">
        <f t="shared" si="50"/>
        <v>-55.764021680009421</v>
      </c>
      <c r="Y338" s="134">
        <f t="shared" si="50"/>
        <v>-74.977266147362741</v>
      </c>
      <c r="Z338" s="134">
        <f t="shared" si="50"/>
        <v>-96.411050204640389</v>
      </c>
      <c r="AA338" s="134">
        <f t="shared" si="50"/>
        <v>-120.12119583733551</v>
      </c>
      <c r="AB338" s="134">
        <f t="shared" si="50"/>
        <v>-146.16352503093924</v>
      </c>
      <c r="AC338" s="134">
        <f t="shared" si="50"/>
        <v>-174.59385977094274</v>
      </c>
      <c r="AD338" s="134">
        <f t="shared" si="50"/>
        <v>-205.46802204283881</v>
      </c>
      <c r="AE338" s="134">
        <f t="shared" si="50"/>
        <v>-238.84183383211993</v>
      </c>
      <c r="AF338" s="134">
        <f t="shared" si="50"/>
        <v>-274.77111712427791</v>
      </c>
      <c r="AG338" s="134">
        <f t="shared" si="50"/>
        <v>-313.31169390480426</v>
      </c>
      <c r="AH338" s="134">
        <f t="shared" si="50"/>
        <v>-354.51938615919079</v>
      </c>
      <c r="AI338" s="134">
        <f t="shared" si="50"/>
        <v>-398.45001587293029</v>
      </c>
      <c r="AJ338" s="134">
        <f t="shared" si="50"/>
        <v>-445.15940503151455</v>
      </c>
      <c r="AK338" s="134">
        <f t="shared" si="50"/>
        <v>-494.70337562043505</v>
      </c>
      <c r="AL338" s="134">
        <f t="shared" si="50"/>
        <v>-547.1377496251846</v>
      </c>
      <c r="AM338" s="134">
        <f t="shared" si="50"/>
        <v>-601.03128083422189</v>
      </c>
      <c r="AN338" s="134">
        <f t="shared" si="50"/>
        <v>-654.92481204325918</v>
      </c>
      <c r="AO338" s="134">
        <f t="shared" si="50"/>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5">
      <c r="A339" s="102"/>
      <c r="B339" s="112" t="s">
        <v>112</v>
      </c>
      <c r="C339" s="135"/>
      <c r="D339" s="134">
        <f t="shared" si="50"/>
        <v>36.488541304820899</v>
      </c>
      <c r="E339" s="134">
        <f t="shared" si="50"/>
        <v>36.488541304820899</v>
      </c>
      <c r="F339" s="134">
        <f t="shared" si="50"/>
        <v>36.488541304820899</v>
      </c>
      <c r="G339" s="134">
        <f t="shared" si="50"/>
        <v>36.488541304820899</v>
      </c>
      <c r="H339" s="134">
        <f t="shared" si="50"/>
        <v>36.488541304820899</v>
      </c>
      <c r="I339" s="134">
        <f t="shared" si="50"/>
        <v>36.488541304820899</v>
      </c>
      <c r="J339" s="134">
        <f t="shared" si="50"/>
        <v>36.488541304820899</v>
      </c>
      <c r="K339" s="134">
        <f t="shared" si="50"/>
        <v>36.488541304820899</v>
      </c>
      <c r="L339" s="134">
        <f t="shared" si="50"/>
        <v>36.488541304820899</v>
      </c>
      <c r="M339" s="134">
        <f t="shared" si="50"/>
        <v>36.488541304820899</v>
      </c>
      <c r="N339" s="134">
        <f t="shared" si="50"/>
        <v>36.488541304820899</v>
      </c>
      <c r="O339" s="134">
        <f t="shared" si="50"/>
        <v>36.488541304820899</v>
      </c>
      <c r="P339" s="134">
        <f t="shared" si="50"/>
        <v>35.39312395672421</v>
      </c>
      <c r="Q339" s="134">
        <f t="shared" si="50"/>
        <v>32.13193381748242</v>
      </c>
      <c r="R339" s="134">
        <f t="shared" si="50"/>
        <v>26.899450885824784</v>
      </c>
      <c r="S339" s="134">
        <f t="shared" si="50"/>
        <v>19.837182262686518</v>
      </c>
      <c r="T339" s="134">
        <f t="shared" si="50"/>
        <v>10.889305962575474</v>
      </c>
      <c r="U339" s="134">
        <f t="shared" si="50"/>
        <v>0</v>
      </c>
      <c r="V339" s="134">
        <f t="shared" si="50"/>
        <v>-12.886557610531721</v>
      </c>
      <c r="W339" s="134">
        <f t="shared" si="50"/>
        <v>-27.826188854512488</v>
      </c>
      <c r="X339" s="134">
        <f t="shared" si="50"/>
        <v>-44.874715717433951</v>
      </c>
      <c r="Y339" s="134">
        <f t="shared" si="50"/>
        <v>-64.087960184787278</v>
      </c>
      <c r="Z339" s="134">
        <f t="shared" si="50"/>
        <v>-85.521744242064926</v>
      </c>
      <c r="AA339" s="134">
        <f t="shared" si="50"/>
        <v>-109.23188987476004</v>
      </c>
      <c r="AB339" s="134">
        <f t="shared" si="50"/>
        <v>-135.27421906836378</v>
      </c>
      <c r="AC339" s="134">
        <f t="shared" si="50"/>
        <v>-163.70455380836728</v>
      </c>
      <c r="AD339" s="134">
        <f t="shared" si="50"/>
        <v>-194.57871608026335</v>
      </c>
      <c r="AE339" s="134">
        <f t="shared" si="50"/>
        <v>-227.95252786954447</v>
      </c>
      <c r="AF339" s="134">
        <f t="shared" si="50"/>
        <v>-263.88181116170244</v>
      </c>
      <c r="AG339" s="134">
        <f t="shared" si="50"/>
        <v>-302.4223879422288</v>
      </c>
      <c r="AH339" s="134">
        <f t="shared" si="50"/>
        <v>-343.63008019661532</v>
      </c>
      <c r="AI339" s="134">
        <f t="shared" si="50"/>
        <v>-387.56070991035483</v>
      </c>
      <c r="AJ339" s="134">
        <f t="shared" si="50"/>
        <v>-434.27009906893909</v>
      </c>
      <c r="AK339" s="134">
        <f t="shared" si="50"/>
        <v>-483.81406965785959</v>
      </c>
      <c r="AL339" s="134">
        <f t="shared" si="50"/>
        <v>-536.24844366260913</v>
      </c>
      <c r="AM339" s="134">
        <f t="shared" si="50"/>
        <v>-590.14197487164643</v>
      </c>
      <c r="AN339" s="134">
        <f t="shared" si="50"/>
        <v>-644.03550608068372</v>
      </c>
      <c r="AO339" s="134">
        <f t="shared" si="50"/>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5">
      <c r="A340" s="102"/>
      <c r="B340" s="112" t="s">
        <v>113</v>
      </c>
      <c r="C340" s="135"/>
      <c r="D340" s="134">
        <f t="shared" si="50"/>
        <v>49.375098915352623</v>
      </c>
      <c r="E340" s="134">
        <f t="shared" si="50"/>
        <v>49.375098915352623</v>
      </c>
      <c r="F340" s="134">
        <f t="shared" si="50"/>
        <v>49.375098915352623</v>
      </c>
      <c r="G340" s="134">
        <f t="shared" si="50"/>
        <v>49.375098915352623</v>
      </c>
      <c r="H340" s="134">
        <f t="shared" si="50"/>
        <v>49.375098915352623</v>
      </c>
      <c r="I340" s="134">
        <f t="shared" si="50"/>
        <v>49.375098915352623</v>
      </c>
      <c r="J340" s="134">
        <f t="shared" si="50"/>
        <v>49.375098915352623</v>
      </c>
      <c r="K340" s="134">
        <f t="shared" si="50"/>
        <v>49.375098915352623</v>
      </c>
      <c r="L340" s="134">
        <f t="shared" si="50"/>
        <v>49.375098915352623</v>
      </c>
      <c r="M340" s="134">
        <f t="shared" si="50"/>
        <v>49.375098915352623</v>
      </c>
      <c r="N340" s="134">
        <f t="shared" si="50"/>
        <v>49.375098915352623</v>
      </c>
      <c r="O340" s="134">
        <f t="shared" si="50"/>
        <v>49.375098915352623</v>
      </c>
      <c r="P340" s="134">
        <f t="shared" si="50"/>
        <v>48.279681567255935</v>
      </c>
      <c r="Q340" s="134">
        <f t="shared" si="50"/>
        <v>45.018491428014144</v>
      </c>
      <c r="R340" s="134">
        <f t="shared" si="50"/>
        <v>39.786008496356501</v>
      </c>
      <c r="S340" s="134">
        <f t="shared" si="50"/>
        <v>32.723739873218236</v>
      </c>
      <c r="T340" s="134">
        <f t="shared" si="50"/>
        <v>23.775863573107195</v>
      </c>
      <c r="U340" s="134">
        <f t="shared" si="50"/>
        <v>12.886557610531721</v>
      </c>
      <c r="V340" s="134">
        <f t="shared" si="50"/>
        <v>0</v>
      </c>
      <c r="W340" s="134">
        <f t="shared" si="50"/>
        <v>-14.939631243980765</v>
      </c>
      <c r="X340" s="134">
        <f t="shared" si="50"/>
        <v>-31.988158106902226</v>
      </c>
      <c r="Y340" s="134">
        <f t="shared" si="50"/>
        <v>-51.201402574255546</v>
      </c>
      <c r="Z340" s="134">
        <f t="shared" si="50"/>
        <v>-72.635186631533202</v>
      </c>
      <c r="AA340" s="134">
        <f t="shared" si="50"/>
        <v>-96.345332264228318</v>
      </c>
      <c r="AB340" s="134">
        <f t="shared" si="50"/>
        <v>-122.38766145783204</v>
      </c>
      <c r="AC340" s="134">
        <f t="shared" si="50"/>
        <v>-150.81799619783555</v>
      </c>
      <c r="AD340" s="134">
        <f t="shared" si="50"/>
        <v>-181.69215846973162</v>
      </c>
      <c r="AE340" s="134">
        <f t="shared" si="50"/>
        <v>-215.06597025901274</v>
      </c>
      <c r="AF340" s="134">
        <f t="shared" si="50"/>
        <v>-250.99525355117072</v>
      </c>
      <c r="AG340" s="134">
        <f t="shared" si="50"/>
        <v>-289.53583033169707</v>
      </c>
      <c r="AH340" s="134">
        <f t="shared" si="50"/>
        <v>-330.7435225860836</v>
      </c>
      <c r="AI340" s="134">
        <f t="shared" si="50"/>
        <v>-374.67415229982305</v>
      </c>
      <c r="AJ340" s="134">
        <f t="shared" si="50"/>
        <v>-421.38354145840731</v>
      </c>
      <c r="AK340" s="134">
        <f t="shared" si="50"/>
        <v>-470.92751204732781</v>
      </c>
      <c r="AL340" s="134">
        <f t="shared" si="50"/>
        <v>-523.36188605207735</v>
      </c>
      <c r="AM340" s="134">
        <f t="shared" si="50"/>
        <v>-577.25541726111464</v>
      </c>
      <c r="AN340" s="134">
        <f t="shared" si="50"/>
        <v>-631.14894847015194</v>
      </c>
      <c r="AO340" s="134">
        <f t="shared" si="50"/>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5">
      <c r="A341" s="102"/>
      <c r="B341" s="112" t="s">
        <v>114</v>
      </c>
      <c r="C341" s="135"/>
      <c r="D341" s="134">
        <f t="shared" si="50"/>
        <v>64.314730159333394</v>
      </c>
      <c r="E341" s="134">
        <f t="shared" si="50"/>
        <v>64.314730159333394</v>
      </c>
      <c r="F341" s="134">
        <f t="shared" si="50"/>
        <v>64.314730159333394</v>
      </c>
      <c r="G341" s="134">
        <f t="shared" si="50"/>
        <v>64.314730159333394</v>
      </c>
      <c r="H341" s="134">
        <f t="shared" si="50"/>
        <v>64.314730159333394</v>
      </c>
      <c r="I341" s="134">
        <f t="shared" si="50"/>
        <v>64.314730159333394</v>
      </c>
      <c r="J341" s="134">
        <f t="shared" si="50"/>
        <v>64.314730159333394</v>
      </c>
      <c r="K341" s="134">
        <f t="shared" si="50"/>
        <v>64.314730159333394</v>
      </c>
      <c r="L341" s="134">
        <f t="shared" si="50"/>
        <v>64.314730159333394</v>
      </c>
      <c r="M341" s="134">
        <f t="shared" si="50"/>
        <v>64.314730159333394</v>
      </c>
      <c r="N341" s="134">
        <f t="shared" si="50"/>
        <v>64.314730159333394</v>
      </c>
      <c r="O341" s="134">
        <f t="shared" si="50"/>
        <v>64.314730159333394</v>
      </c>
      <c r="P341" s="134">
        <f t="shared" si="50"/>
        <v>63.219312811236698</v>
      </c>
      <c r="Q341" s="134">
        <f t="shared" si="50"/>
        <v>59.958122671994907</v>
      </c>
      <c r="R341" s="134">
        <f t="shared" si="50"/>
        <v>54.725639740337265</v>
      </c>
      <c r="S341" s="134">
        <f t="shared" si="50"/>
        <v>47.663371117198999</v>
      </c>
      <c r="T341" s="134">
        <f t="shared" si="50"/>
        <v>38.715494817087958</v>
      </c>
      <c r="U341" s="134">
        <f t="shared" si="50"/>
        <v>27.826188854512488</v>
      </c>
      <c r="V341" s="134">
        <f t="shared" si="50"/>
        <v>14.939631243980765</v>
      </c>
      <c r="W341" s="134">
        <f t="shared" si="50"/>
        <v>0</v>
      </c>
      <c r="X341" s="134">
        <f t="shared" si="50"/>
        <v>-17.048526862921463</v>
      </c>
      <c r="Y341" s="134">
        <f t="shared" si="50"/>
        <v>-36.261771330274783</v>
      </c>
      <c r="Z341" s="134">
        <f t="shared" si="50"/>
        <v>-57.695555387552432</v>
      </c>
      <c r="AA341" s="134">
        <f t="shared" si="50"/>
        <v>-81.405701020247534</v>
      </c>
      <c r="AB341" s="134">
        <f t="shared" si="50"/>
        <v>-107.44803021385125</v>
      </c>
      <c r="AC341" s="134">
        <f t="shared" si="50"/>
        <v>-135.87836495385477</v>
      </c>
      <c r="AD341" s="134">
        <f t="shared" si="50"/>
        <v>-166.75252722575084</v>
      </c>
      <c r="AE341" s="134">
        <f t="shared" si="50"/>
        <v>-200.12633901503196</v>
      </c>
      <c r="AF341" s="134">
        <f t="shared" si="50"/>
        <v>-236.05562230718994</v>
      </c>
      <c r="AG341" s="134">
        <f t="shared" si="50"/>
        <v>-274.59619908771629</v>
      </c>
      <c r="AH341" s="134">
        <f t="shared" si="50"/>
        <v>-315.80389134210282</v>
      </c>
      <c r="AI341" s="134">
        <f t="shared" si="50"/>
        <v>-359.73452105584227</v>
      </c>
      <c r="AJ341" s="134">
        <f t="shared" si="50"/>
        <v>-406.44391021442652</v>
      </c>
      <c r="AK341" s="134">
        <f t="shared" si="50"/>
        <v>-455.98788080334702</v>
      </c>
      <c r="AL341" s="134">
        <f t="shared" si="50"/>
        <v>-508.42225480809662</v>
      </c>
      <c r="AM341" s="134">
        <f t="shared" si="50"/>
        <v>-562.31578601713397</v>
      </c>
      <c r="AN341" s="134">
        <f t="shared" si="50"/>
        <v>-616.20931722617127</v>
      </c>
      <c r="AO341" s="134">
        <f t="shared" si="50"/>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5">
      <c r="A342" s="102"/>
      <c r="B342" s="112" t="s">
        <v>115</v>
      </c>
      <c r="C342" s="135"/>
      <c r="D342" s="134">
        <f t="shared" si="50"/>
        <v>81.363257022254857</v>
      </c>
      <c r="E342" s="134">
        <f t="shared" si="50"/>
        <v>81.363257022254857</v>
      </c>
      <c r="F342" s="134">
        <f t="shared" si="50"/>
        <v>81.363257022254857</v>
      </c>
      <c r="G342" s="134">
        <f t="shared" si="50"/>
        <v>81.363257022254857</v>
      </c>
      <c r="H342" s="134">
        <f t="shared" si="50"/>
        <v>81.363257022254857</v>
      </c>
      <c r="I342" s="134">
        <f t="shared" si="50"/>
        <v>81.363257022254857</v>
      </c>
      <c r="J342" s="134">
        <f t="shared" si="50"/>
        <v>81.363257022254857</v>
      </c>
      <c r="K342" s="134">
        <f t="shared" si="50"/>
        <v>81.363257022254857</v>
      </c>
      <c r="L342" s="134">
        <f t="shared" si="50"/>
        <v>81.363257022254857</v>
      </c>
      <c r="M342" s="134">
        <f t="shared" si="50"/>
        <v>81.363257022254857</v>
      </c>
      <c r="N342" s="134">
        <f t="shared" si="50"/>
        <v>81.363257022254857</v>
      </c>
      <c r="O342" s="134">
        <f t="shared" si="50"/>
        <v>81.363257022254857</v>
      </c>
      <c r="P342" s="134">
        <f t="shared" si="50"/>
        <v>80.267839674158154</v>
      </c>
      <c r="Q342" s="134">
        <f t="shared" si="50"/>
        <v>77.006649534916363</v>
      </c>
      <c r="R342" s="134">
        <f t="shared" si="50"/>
        <v>71.77416660325872</v>
      </c>
      <c r="S342" s="134">
        <f t="shared" si="50"/>
        <v>64.711897980120455</v>
      </c>
      <c r="T342" s="134">
        <f t="shared" si="50"/>
        <v>55.764021680009421</v>
      </c>
      <c r="U342" s="134">
        <f t="shared" si="50"/>
        <v>44.874715717433951</v>
      </c>
      <c r="V342" s="134">
        <f t="shared" si="50"/>
        <v>31.988158106902226</v>
      </c>
      <c r="W342" s="134">
        <f t="shared" si="50"/>
        <v>17.048526862921463</v>
      </c>
      <c r="X342" s="134">
        <f t="shared" si="50"/>
        <v>0</v>
      </c>
      <c r="Y342" s="134">
        <f t="shared" si="50"/>
        <v>-19.21324446735332</v>
      </c>
      <c r="Z342" s="134">
        <f t="shared" si="50"/>
        <v>-40.647028524630969</v>
      </c>
      <c r="AA342" s="134">
        <f t="shared" si="50"/>
        <v>-64.357174157326085</v>
      </c>
      <c r="AB342" s="134">
        <f t="shared" si="50"/>
        <v>-90.399503350929805</v>
      </c>
      <c r="AC342" s="134">
        <f t="shared" si="50"/>
        <v>-118.82983809093331</v>
      </c>
      <c r="AD342" s="134">
        <f t="shared" si="50"/>
        <v>-149.70400036282939</v>
      </c>
      <c r="AE342" s="134">
        <f t="shared" si="50"/>
        <v>-183.07781215211051</v>
      </c>
      <c r="AF342" s="134">
        <f t="shared" si="50"/>
        <v>-219.00709544426849</v>
      </c>
      <c r="AG342" s="134">
        <f t="shared" si="50"/>
        <v>-257.54767222479484</v>
      </c>
      <c r="AH342" s="134">
        <f t="shared" si="50"/>
        <v>-298.75536447918137</v>
      </c>
      <c r="AI342" s="134">
        <f t="shared" si="50"/>
        <v>-342.68599419292082</v>
      </c>
      <c r="AJ342" s="134">
        <f t="shared" si="50"/>
        <v>-389.39538335150507</v>
      </c>
      <c r="AK342" s="134">
        <f t="shared" si="50"/>
        <v>-438.93935394042558</v>
      </c>
      <c r="AL342" s="134">
        <f t="shared" si="50"/>
        <v>-491.37372794517518</v>
      </c>
      <c r="AM342" s="134">
        <f t="shared" si="50"/>
        <v>-545.26725915421252</v>
      </c>
      <c r="AN342" s="134">
        <f t="shared" si="50"/>
        <v>-599.16079036324982</v>
      </c>
      <c r="AO342" s="134">
        <f t="shared" si="50"/>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5">
      <c r="A343" s="102"/>
      <c r="B343" s="112" t="s">
        <v>116</v>
      </c>
      <c r="C343" s="135"/>
      <c r="D343" s="134">
        <f t="shared" si="50"/>
        <v>100.57650148960818</v>
      </c>
      <c r="E343" s="134">
        <f t="shared" si="50"/>
        <v>100.57650148960818</v>
      </c>
      <c r="F343" s="134">
        <f t="shared" si="50"/>
        <v>100.57650148960818</v>
      </c>
      <c r="G343" s="134">
        <f t="shared" si="50"/>
        <v>100.57650148960818</v>
      </c>
      <c r="H343" s="134">
        <f t="shared" si="50"/>
        <v>100.57650148960818</v>
      </c>
      <c r="I343" s="134">
        <f t="shared" si="50"/>
        <v>100.57650148960818</v>
      </c>
      <c r="J343" s="134">
        <f t="shared" si="50"/>
        <v>100.57650148960818</v>
      </c>
      <c r="K343" s="134">
        <f t="shared" si="50"/>
        <v>100.57650148960818</v>
      </c>
      <c r="L343" s="134">
        <f t="shared" si="50"/>
        <v>100.57650148960818</v>
      </c>
      <c r="M343" s="134">
        <f t="shared" si="50"/>
        <v>100.57650148960818</v>
      </c>
      <c r="N343" s="134">
        <f t="shared" si="50"/>
        <v>100.57650148960818</v>
      </c>
      <c r="O343" s="134">
        <f t="shared" si="50"/>
        <v>100.57650148960818</v>
      </c>
      <c r="P343" s="134">
        <f t="shared" si="50"/>
        <v>99.481084141511474</v>
      </c>
      <c r="Q343" s="134">
        <f t="shared" si="50"/>
        <v>96.219894002269683</v>
      </c>
      <c r="R343" s="134">
        <f t="shared" si="50"/>
        <v>90.98741107061204</v>
      </c>
      <c r="S343" s="134">
        <f t="shared" si="50"/>
        <v>83.925142447473775</v>
      </c>
      <c r="T343" s="134">
        <f t="shared" si="50"/>
        <v>74.977266147362741</v>
      </c>
      <c r="U343" s="134">
        <f t="shared" si="50"/>
        <v>64.087960184787278</v>
      </c>
      <c r="V343" s="134">
        <f t="shared" si="50"/>
        <v>51.201402574255546</v>
      </c>
      <c r="W343" s="134">
        <f t="shared" si="50"/>
        <v>36.261771330274783</v>
      </c>
      <c r="X343" s="134">
        <f t="shared" si="50"/>
        <v>19.21324446735332</v>
      </c>
      <c r="Y343" s="134">
        <f t="shared" si="50"/>
        <v>0</v>
      </c>
      <c r="Z343" s="134">
        <f t="shared" si="50"/>
        <v>-21.433784057277649</v>
      </c>
      <c r="AA343" s="134">
        <f t="shared" si="50"/>
        <v>-45.143929689972758</v>
      </c>
      <c r="AB343" s="134">
        <f t="shared" si="50"/>
        <v>-71.186258883576485</v>
      </c>
      <c r="AC343" s="134">
        <f t="shared" si="50"/>
        <v>-99.616593623579988</v>
      </c>
      <c r="AD343" s="134">
        <f t="shared" si="50"/>
        <v>-130.49075589547607</v>
      </c>
      <c r="AE343" s="134">
        <f t="shared" ref="AE343:AO343" si="51">IF(AE$320=$B343,0,IF(AE$320&gt;$B343,-0.5*AE$318-0.5*AD$318+AD343,0.5*HLOOKUP($B343,$D$317:$AO$318,2,FALSE)+0.5*HLOOKUP($B342,$D$317:$AO$318,2,FALSE)+AE342))</f>
        <v>-163.86456768475719</v>
      </c>
      <c r="AF343" s="134">
        <f t="shared" si="51"/>
        <v>-199.79385097691517</v>
      </c>
      <c r="AG343" s="134">
        <f t="shared" si="51"/>
        <v>-238.33442775744152</v>
      </c>
      <c r="AH343" s="134">
        <f t="shared" si="51"/>
        <v>-279.54212001182805</v>
      </c>
      <c r="AI343" s="134">
        <f t="shared" si="51"/>
        <v>-323.4727497255675</v>
      </c>
      <c r="AJ343" s="134">
        <f t="shared" si="51"/>
        <v>-370.18213888415175</v>
      </c>
      <c r="AK343" s="134">
        <f t="shared" si="51"/>
        <v>-419.72610947307226</v>
      </c>
      <c r="AL343" s="134">
        <f t="shared" si="51"/>
        <v>-472.16048347782186</v>
      </c>
      <c r="AM343" s="134">
        <f t="shared" si="51"/>
        <v>-526.0540146868592</v>
      </c>
      <c r="AN343" s="134">
        <f t="shared" si="51"/>
        <v>-579.9475458958965</v>
      </c>
      <c r="AO343" s="134">
        <f t="shared" si="51"/>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5">
      <c r="A344" s="102"/>
      <c r="B344" s="112" t="s">
        <v>117</v>
      </c>
      <c r="C344" s="135"/>
      <c r="D344" s="134">
        <f t="shared" ref="D344:AO350" si="52">IF(D$320=$B344,0,IF(D$320&gt;$B344,-0.5*D$318-0.5*C$318+C344,0.5*HLOOKUP($B344,$D$317:$AO$318,2,FALSE)+0.5*HLOOKUP($B343,$D$317:$AO$318,2,FALSE)+D343))</f>
        <v>122.01028554688583</v>
      </c>
      <c r="E344" s="134">
        <f t="shared" si="52"/>
        <v>122.01028554688583</v>
      </c>
      <c r="F344" s="134">
        <f t="shared" si="52"/>
        <v>122.01028554688583</v>
      </c>
      <c r="G344" s="134">
        <f t="shared" si="52"/>
        <v>122.01028554688583</v>
      </c>
      <c r="H344" s="134">
        <f t="shared" si="52"/>
        <v>122.01028554688583</v>
      </c>
      <c r="I344" s="134">
        <f t="shared" si="52"/>
        <v>122.01028554688583</v>
      </c>
      <c r="J344" s="134">
        <f t="shared" si="52"/>
        <v>122.01028554688583</v>
      </c>
      <c r="K344" s="134">
        <f t="shared" si="52"/>
        <v>122.01028554688583</v>
      </c>
      <c r="L344" s="134">
        <f t="shared" si="52"/>
        <v>122.01028554688583</v>
      </c>
      <c r="M344" s="134">
        <f t="shared" si="52"/>
        <v>122.01028554688583</v>
      </c>
      <c r="N344" s="134">
        <f t="shared" si="52"/>
        <v>122.01028554688583</v>
      </c>
      <c r="O344" s="134">
        <f t="shared" si="52"/>
        <v>122.01028554688583</v>
      </c>
      <c r="P344" s="134">
        <f t="shared" si="52"/>
        <v>120.91486819878912</v>
      </c>
      <c r="Q344" s="134">
        <f t="shared" si="52"/>
        <v>117.65367805954733</v>
      </c>
      <c r="R344" s="134">
        <f t="shared" si="52"/>
        <v>112.42119512788969</v>
      </c>
      <c r="S344" s="134">
        <f t="shared" si="52"/>
        <v>105.35892650475142</v>
      </c>
      <c r="T344" s="134">
        <f t="shared" si="52"/>
        <v>96.411050204640389</v>
      </c>
      <c r="U344" s="134">
        <f t="shared" si="52"/>
        <v>85.521744242064926</v>
      </c>
      <c r="V344" s="134">
        <f t="shared" si="52"/>
        <v>72.635186631533202</v>
      </c>
      <c r="W344" s="134">
        <f t="shared" si="52"/>
        <v>57.695555387552432</v>
      </c>
      <c r="X344" s="134">
        <f t="shared" si="52"/>
        <v>40.647028524630969</v>
      </c>
      <c r="Y344" s="134">
        <f t="shared" si="52"/>
        <v>21.433784057277649</v>
      </c>
      <c r="Z344" s="134">
        <f t="shared" si="52"/>
        <v>0</v>
      </c>
      <c r="AA344" s="134">
        <f t="shared" si="52"/>
        <v>-23.710145632695109</v>
      </c>
      <c r="AB344" s="134">
        <f t="shared" si="52"/>
        <v>-49.752474826298837</v>
      </c>
      <c r="AC344" s="134">
        <f t="shared" si="52"/>
        <v>-78.182809566302339</v>
      </c>
      <c r="AD344" s="134">
        <f t="shared" si="52"/>
        <v>-109.05697183819842</v>
      </c>
      <c r="AE344" s="134">
        <f t="shared" si="52"/>
        <v>-142.43078362747954</v>
      </c>
      <c r="AF344" s="134">
        <f t="shared" si="52"/>
        <v>-178.36006691963752</v>
      </c>
      <c r="AG344" s="134">
        <f t="shared" si="52"/>
        <v>-216.90064370016387</v>
      </c>
      <c r="AH344" s="134">
        <f t="shared" si="52"/>
        <v>-258.1083359545504</v>
      </c>
      <c r="AI344" s="134">
        <f t="shared" si="52"/>
        <v>-302.03896566828985</v>
      </c>
      <c r="AJ344" s="134">
        <f t="shared" si="52"/>
        <v>-348.74835482687411</v>
      </c>
      <c r="AK344" s="134">
        <f t="shared" si="52"/>
        <v>-398.29232541579461</v>
      </c>
      <c r="AL344" s="134">
        <f t="shared" si="52"/>
        <v>-450.72669942054421</v>
      </c>
      <c r="AM344" s="134">
        <f t="shared" si="52"/>
        <v>-504.62023062958156</v>
      </c>
      <c r="AN344" s="134">
        <f t="shared" si="52"/>
        <v>-558.51376183861885</v>
      </c>
      <c r="AO344" s="134">
        <f t="shared" si="52"/>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5">
      <c r="A345" s="102"/>
      <c r="B345" s="112" t="s">
        <v>118</v>
      </c>
      <c r="C345" s="135"/>
      <c r="D345" s="134">
        <f t="shared" si="52"/>
        <v>145.72043117958094</v>
      </c>
      <c r="E345" s="134">
        <f t="shared" si="52"/>
        <v>145.72043117958094</v>
      </c>
      <c r="F345" s="134">
        <f t="shared" si="52"/>
        <v>145.72043117958094</v>
      </c>
      <c r="G345" s="134">
        <f t="shared" si="52"/>
        <v>145.72043117958094</v>
      </c>
      <c r="H345" s="134">
        <f t="shared" si="52"/>
        <v>145.72043117958094</v>
      </c>
      <c r="I345" s="134">
        <f t="shared" si="52"/>
        <v>145.72043117958094</v>
      </c>
      <c r="J345" s="134">
        <f t="shared" si="52"/>
        <v>145.72043117958094</v>
      </c>
      <c r="K345" s="134">
        <f t="shared" si="52"/>
        <v>145.72043117958094</v>
      </c>
      <c r="L345" s="134">
        <f t="shared" si="52"/>
        <v>145.72043117958094</v>
      </c>
      <c r="M345" s="134">
        <f t="shared" si="52"/>
        <v>145.72043117958094</v>
      </c>
      <c r="N345" s="134">
        <f t="shared" si="52"/>
        <v>145.72043117958094</v>
      </c>
      <c r="O345" s="134">
        <f t="shared" si="52"/>
        <v>145.72043117958094</v>
      </c>
      <c r="P345" s="134">
        <f t="shared" si="52"/>
        <v>144.62501383148424</v>
      </c>
      <c r="Q345" s="134">
        <f t="shared" si="52"/>
        <v>141.36382369224245</v>
      </c>
      <c r="R345" s="134">
        <f t="shared" si="52"/>
        <v>136.13134076058481</v>
      </c>
      <c r="S345" s="134">
        <f t="shared" si="52"/>
        <v>129.06907213744654</v>
      </c>
      <c r="T345" s="134">
        <f t="shared" si="52"/>
        <v>120.12119583733551</v>
      </c>
      <c r="U345" s="134">
        <f t="shared" si="52"/>
        <v>109.23188987476004</v>
      </c>
      <c r="V345" s="134">
        <f t="shared" si="52"/>
        <v>96.345332264228318</v>
      </c>
      <c r="W345" s="134">
        <f t="shared" si="52"/>
        <v>81.405701020247534</v>
      </c>
      <c r="X345" s="134">
        <f t="shared" si="52"/>
        <v>64.357174157326085</v>
      </c>
      <c r="Y345" s="134">
        <f t="shared" si="52"/>
        <v>45.143929689972758</v>
      </c>
      <c r="Z345" s="134">
        <f t="shared" si="52"/>
        <v>23.710145632695109</v>
      </c>
      <c r="AA345" s="134">
        <f t="shared" si="52"/>
        <v>0</v>
      </c>
      <c r="AB345" s="134">
        <f t="shared" si="52"/>
        <v>-26.042329193603724</v>
      </c>
      <c r="AC345" s="134">
        <f t="shared" si="52"/>
        <v>-54.472663933607222</v>
      </c>
      <c r="AD345" s="134">
        <f t="shared" si="52"/>
        <v>-85.346826205503305</v>
      </c>
      <c r="AE345" s="134">
        <f t="shared" si="52"/>
        <v>-118.72063799478443</v>
      </c>
      <c r="AF345" s="134">
        <f t="shared" si="52"/>
        <v>-154.6499212869424</v>
      </c>
      <c r="AG345" s="134">
        <f t="shared" si="52"/>
        <v>-193.19049806746875</v>
      </c>
      <c r="AH345" s="134">
        <f t="shared" si="52"/>
        <v>-234.39819032185525</v>
      </c>
      <c r="AI345" s="134">
        <f t="shared" si="52"/>
        <v>-278.32882003559473</v>
      </c>
      <c r="AJ345" s="134">
        <f t="shared" si="52"/>
        <v>-325.03820919417899</v>
      </c>
      <c r="AK345" s="134">
        <f t="shared" si="52"/>
        <v>-374.58217978309949</v>
      </c>
      <c r="AL345" s="134">
        <f t="shared" si="52"/>
        <v>-427.01655378784909</v>
      </c>
      <c r="AM345" s="134">
        <f t="shared" si="52"/>
        <v>-480.91008499688644</v>
      </c>
      <c r="AN345" s="134">
        <f t="shared" si="52"/>
        <v>-534.80361620592373</v>
      </c>
      <c r="AO345" s="134">
        <f t="shared" si="5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5">
      <c r="A346" s="102"/>
      <c r="B346" s="112" t="s">
        <v>119</v>
      </c>
      <c r="C346" s="135"/>
      <c r="D346" s="134">
        <f t="shared" si="52"/>
        <v>171.76276037318468</v>
      </c>
      <c r="E346" s="134">
        <f t="shared" si="52"/>
        <v>171.76276037318468</v>
      </c>
      <c r="F346" s="134">
        <f t="shared" si="52"/>
        <v>171.76276037318468</v>
      </c>
      <c r="G346" s="134">
        <f t="shared" si="52"/>
        <v>171.76276037318468</v>
      </c>
      <c r="H346" s="134">
        <f t="shared" si="52"/>
        <v>171.76276037318468</v>
      </c>
      <c r="I346" s="134">
        <f t="shared" si="52"/>
        <v>171.76276037318468</v>
      </c>
      <c r="J346" s="134">
        <f t="shared" si="52"/>
        <v>171.76276037318468</v>
      </c>
      <c r="K346" s="134">
        <f t="shared" si="52"/>
        <v>171.76276037318468</v>
      </c>
      <c r="L346" s="134">
        <f t="shared" si="52"/>
        <v>171.76276037318468</v>
      </c>
      <c r="M346" s="134">
        <f t="shared" si="52"/>
        <v>171.76276037318468</v>
      </c>
      <c r="N346" s="134">
        <f t="shared" si="52"/>
        <v>171.76276037318468</v>
      </c>
      <c r="O346" s="134">
        <f t="shared" si="52"/>
        <v>171.76276037318468</v>
      </c>
      <c r="P346" s="134">
        <f t="shared" si="52"/>
        <v>170.66734302508797</v>
      </c>
      <c r="Q346" s="134">
        <f t="shared" si="52"/>
        <v>167.40615288584618</v>
      </c>
      <c r="R346" s="134">
        <f t="shared" si="52"/>
        <v>162.17366995418854</v>
      </c>
      <c r="S346" s="134">
        <f t="shared" si="52"/>
        <v>155.11140133105027</v>
      </c>
      <c r="T346" s="134">
        <f t="shared" si="52"/>
        <v>146.16352503093924</v>
      </c>
      <c r="U346" s="134">
        <f t="shared" si="52"/>
        <v>135.27421906836378</v>
      </c>
      <c r="V346" s="134">
        <f t="shared" si="52"/>
        <v>122.38766145783204</v>
      </c>
      <c r="W346" s="134">
        <f t="shared" si="52"/>
        <v>107.44803021385125</v>
      </c>
      <c r="X346" s="134">
        <f t="shared" si="52"/>
        <v>90.399503350929805</v>
      </c>
      <c r="Y346" s="134">
        <f t="shared" si="52"/>
        <v>71.186258883576485</v>
      </c>
      <c r="Z346" s="134">
        <f t="shared" si="52"/>
        <v>49.752474826298837</v>
      </c>
      <c r="AA346" s="134">
        <f t="shared" si="52"/>
        <v>26.042329193603724</v>
      </c>
      <c r="AB346" s="134">
        <f t="shared" si="52"/>
        <v>0</v>
      </c>
      <c r="AC346" s="134">
        <f t="shared" si="52"/>
        <v>-28.430334740003502</v>
      </c>
      <c r="AD346" s="134">
        <f t="shared" si="52"/>
        <v>-59.304497011899578</v>
      </c>
      <c r="AE346" s="134">
        <f t="shared" si="52"/>
        <v>-92.678308801180705</v>
      </c>
      <c r="AF346" s="134">
        <f t="shared" si="52"/>
        <v>-128.6075920933387</v>
      </c>
      <c r="AG346" s="134">
        <f t="shared" si="52"/>
        <v>-167.14816887386502</v>
      </c>
      <c r="AH346" s="134">
        <f t="shared" si="52"/>
        <v>-208.35586112825152</v>
      </c>
      <c r="AI346" s="134">
        <f t="shared" si="52"/>
        <v>-252.286490841991</v>
      </c>
      <c r="AJ346" s="134">
        <f t="shared" si="52"/>
        <v>-298.99588000057526</v>
      </c>
      <c r="AK346" s="134">
        <f t="shared" si="52"/>
        <v>-348.53985058949581</v>
      </c>
      <c r="AL346" s="134">
        <f t="shared" si="52"/>
        <v>-400.97422459424541</v>
      </c>
      <c r="AM346" s="134">
        <f t="shared" si="52"/>
        <v>-454.86775580328276</v>
      </c>
      <c r="AN346" s="134">
        <f t="shared" si="52"/>
        <v>-508.76128701232005</v>
      </c>
      <c r="AO346" s="134">
        <f t="shared" si="52"/>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5">
      <c r="A347" s="102"/>
      <c r="B347" s="112" t="s">
        <v>120</v>
      </c>
      <c r="C347" s="135"/>
      <c r="D347" s="134">
        <f t="shared" si="52"/>
        <v>200.19309511318818</v>
      </c>
      <c r="E347" s="134">
        <f t="shared" si="52"/>
        <v>200.19309511318818</v>
      </c>
      <c r="F347" s="134">
        <f t="shared" si="52"/>
        <v>200.19309511318818</v>
      </c>
      <c r="G347" s="134">
        <f t="shared" si="52"/>
        <v>200.19309511318818</v>
      </c>
      <c r="H347" s="134">
        <f t="shared" si="52"/>
        <v>200.19309511318818</v>
      </c>
      <c r="I347" s="134">
        <f t="shared" si="52"/>
        <v>200.19309511318818</v>
      </c>
      <c r="J347" s="134">
        <f t="shared" si="52"/>
        <v>200.19309511318818</v>
      </c>
      <c r="K347" s="134">
        <f t="shared" si="52"/>
        <v>200.19309511318818</v>
      </c>
      <c r="L347" s="134">
        <f t="shared" si="52"/>
        <v>200.19309511318818</v>
      </c>
      <c r="M347" s="134">
        <f t="shared" si="52"/>
        <v>200.19309511318818</v>
      </c>
      <c r="N347" s="134">
        <f t="shared" si="52"/>
        <v>200.19309511318818</v>
      </c>
      <c r="O347" s="134">
        <f t="shared" si="52"/>
        <v>200.19309511318818</v>
      </c>
      <c r="P347" s="134">
        <f t="shared" si="52"/>
        <v>199.09767776509148</v>
      </c>
      <c r="Q347" s="134">
        <f t="shared" si="52"/>
        <v>195.83648762584968</v>
      </c>
      <c r="R347" s="134">
        <f t="shared" si="52"/>
        <v>190.60400469419204</v>
      </c>
      <c r="S347" s="134">
        <f t="shared" si="52"/>
        <v>183.54173607105378</v>
      </c>
      <c r="T347" s="134">
        <f t="shared" si="52"/>
        <v>174.59385977094274</v>
      </c>
      <c r="U347" s="134">
        <f t="shared" si="52"/>
        <v>163.70455380836728</v>
      </c>
      <c r="V347" s="134">
        <f t="shared" si="52"/>
        <v>150.81799619783555</v>
      </c>
      <c r="W347" s="134">
        <f t="shared" si="52"/>
        <v>135.87836495385477</v>
      </c>
      <c r="X347" s="134">
        <f t="shared" si="52"/>
        <v>118.82983809093331</v>
      </c>
      <c r="Y347" s="134">
        <f t="shared" si="52"/>
        <v>99.616593623579988</v>
      </c>
      <c r="Z347" s="134">
        <f t="shared" si="52"/>
        <v>78.182809566302339</v>
      </c>
      <c r="AA347" s="134">
        <f t="shared" si="52"/>
        <v>54.472663933607222</v>
      </c>
      <c r="AB347" s="134">
        <f t="shared" si="52"/>
        <v>28.430334740003502</v>
      </c>
      <c r="AC347" s="134">
        <f t="shared" si="52"/>
        <v>0</v>
      </c>
      <c r="AD347" s="134">
        <f t="shared" si="52"/>
        <v>-30.874162271896076</v>
      </c>
      <c r="AE347" s="134">
        <f t="shared" si="52"/>
        <v>-64.247974061177203</v>
      </c>
      <c r="AF347" s="134">
        <f t="shared" si="52"/>
        <v>-100.17725735333519</v>
      </c>
      <c r="AG347" s="134">
        <f t="shared" si="52"/>
        <v>-138.71783413386152</v>
      </c>
      <c r="AH347" s="134">
        <f t="shared" si="52"/>
        <v>-179.92552638824802</v>
      </c>
      <c r="AI347" s="134">
        <f t="shared" si="52"/>
        <v>-223.85615610198749</v>
      </c>
      <c r="AJ347" s="134">
        <f t="shared" si="52"/>
        <v>-270.56554526057175</v>
      </c>
      <c r="AK347" s="134">
        <f t="shared" si="52"/>
        <v>-320.10951584949225</v>
      </c>
      <c r="AL347" s="134">
        <f t="shared" si="52"/>
        <v>-372.54388985424185</v>
      </c>
      <c r="AM347" s="134">
        <f t="shared" si="52"/>
        <v>-426.4374210632792</v>
      </c>
      <c r="AN347" s="134">
        <f t="shared" si="52"/>
        <v>-480.33095227231649</v>
      </c>
      <c r="AO347" s="134">
        <f t="shared" si="52"/>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5">
      <c r="A348" s="102"/>
      <c r="B348" s="112" t="s">
        <v>121</v>
      </c>
      <c r="C348" s="135"/>
      <c r="D348" s="134">
        <f t="shared" si="52"/>
        <v>231.06725738508425</v>
      </c>
      <c r="E348" s="134">
        <f t="shared" si="52"/>
        <v>231.06725738508425</v>
      </c>
      <c r="F348" s="134">
        <f t="shared" si="52"/>
        <v>231.06725738508425</v>
      </c>
      <c r="G348" s="134">
        <f t="shared" si="52"/>
        <v>231.06725738508425</v>
      </c>
      <c r="H348" s="134">
        <f t="shared" si="52"/>
        <v>231.06725738508425</v>
      </c>
      <c r="I348" s="134">
        <f t="shared" si="52"/>
        <v>231.06725738508425</v>
      </c>
      <c r="J348" s="134">
        <f t="shared" si="52"/>
        <v>231.06725738508425</v>
      </c>
      <c r="K348" s="134">
        <f t="shared" si="52"/>
        <v>231.06725738508425</v>
      </c>
      <c r="L348" s="134">
        <f t="shared" si="52"/>
        <v>231.06725738508425</v>
      </c>
      <c r="M348" s="134">
        <f t="shared" si="52"/>
        <v>231.06725738508425</v>
      </c>
      <c r="N348" s="134">
        <f t="shared" si="52"/>
        <v>231.06725738508425</v>
      </c>
      <c r="O348" s="134">
        <f t="shared" si="52"/>
        <v>231.06725738508425</v>
      </c>
      <c r="P348" s="134">
        <f t="shared" si="52"/>
        <v>229.97184003698754</v>
      </c>
      <c r="Q348" s="134">
        <f t="shared" si="52"/>
        <v>226.71064989774575</v>
      </c>
      <c r="R348" s="134">
        <f t="shared" si="52"/>
        <v>221.47816696608811</v>
      </c>
      <c r="S348" s="134">
        <f t="shared" si="52"/>
        <v>214.41589834294984</v>
      </c>
      <c r="T348" s="134">
        <f t="shared" si="52"/>
        <v>205.46802204283881</v>
      </c>
      <c r="U348" s="134">
        <f t="shared" si="52"/>
        <v>194.57871608026335</v>
      </c>
      <c r="V348" s="134">
        <f t="shared" si="52"/>
        <v>181.69215846973162</v>
      </c>
      <c r="W348" s="134">
        <f t="shared" si="52"/>
        <v>166.75252722575084</v>
      </c>
      <c r="X348" s="134">
        <f t="shared" si="52"/>
        <v>149.70400036282939</v>
      </c>
      <c r="Y348" s="134">
        <f t="shared" si="52"/>
        <v>130.49075589547607</v>
      </c>
      <c r="Z348" s="134">
        <f t="shared" si="52"/>
        <v>109.05697183819842</v>
      </c>
      <c r="AA348" s="134">
        <f t="shared" si="52"/>
        <v>85.346826205503305</v>
      </c>
      <c r="AB348" s="134">
        <f t="shared" si="52"/>
        <v>59.304497011899578</v>
      </c>
      <c r="AC348" s="134">
        <f t="shared" si="52"/>
        <v>30.874162271896076</v>
      </c>
      <c r="AD348" s="134">
        <f t="shared" si="52"/>
        <v>0</v>
      </c>
      <c r="AE348" s="134">
        <f t="shared" si="52"/>
        <v>-33.373811789281127</v>
      </c>
      <c r="AF348" s="134">
        <f t="shared" si="52"/>
        <v>-69.303095081439125</v>
      </c>
      <c r="AG348" s="134">
        <f t="shared" si="52"/>
        <v>-107.84367186196546</v>
      </c>
      <c r="AH348" s="134">
        <f t="shared" si="52"/>
        <v>-149.05136411635198</v>
      </c>
      <c r="AI348" s="134">
        <f t="shared" si="52"/>
        <v>-192.98199383009145</v>
      </c>
      <c r="AJ348" s="134">
        <f t="shared" si="52"/>
        <v>-239.69138298867571</v>
      </c>
      <c r="AK348" s="134">
        <f t="shared" si="52"/>
        <v>-289.23535357759624</v>
      </c>
      <c r="AL348" s="134">
        <f t="shared" si="52"/>
        <v>-341.66972758234584</v>
      </c>
      <c r="AM348" s="134">
        <f t="shared" si="52"/>
        <v>-395.56325879138319</v>
      </c>
      <c r="AN348" s="134">
        <f t="shared" si="52"/>
        <v>-449.45679000042048</v>
      </c>
      <c r="AO348" s="134">
        <f t="shared" si="52"/>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5">
      <c r="A349" s="102"/>
      <c r="B349" s="112" t="s">
        <v>122</v>
      </c>
      <c r="C349" s="135"/>
      <c r="D349" s="134">
        <f t="shared" si="52"/>
        <v>264.4410691743654</v>
      </c>
      <c r="E349" s="134">
        <f t="shared" si="52"/>
        <v>264.4410691743654</v>
      </c>
      <c r="F349" s="134">
        <f t="shared" si="52"/>
        <v>264.4410691743654</v>
      </c>
      <c r="G349" s="134">
        <f t="shared" si="52"/>
        <v>264.4410691743654</v>
      </c>
      <c r="H349" s="134">
        <f t="shared" si="52"/>
        <v>264.4410691743654</v>
      </c>
      <c r="I349" s="134">
        <f t="shared" si="52"/>
        <v>264.4410691743654</v>
      </c>
      <c r="J349" s="134">
        <f t="shared" si="52"/>
        <v>264.4410691743654</v>
      </c>
      <c r="K349" s="134">
        <f t="shared" si="52"/>
        <v>264.4410691743654</v>
      </c>
      <c r="L349" s="134">
        <f t="shared" si="52"/>
        <v>264.4410691743654</v>
      </c>
      <c r="M349" s="134">
        <f t="shared" si="52"/>
        <v>264.4410691743654</v>
      </c>
      <c r="N349" s="134">
        <f t="shared" si="52"/>
        <v>264.4410691743654</v>
      </c>
      <c r="O349" s="134">
        <f t="shared" si="52"/>
        <v>264.4410691743654</v>
      </c>
      <c r="P349" s="134">
        <f t="shared" si="52"/>
        <v>263.34565182626869</v>
      </c>
      <c r="Q349" s="134">
        <f t="shared" si="52"/>
        <v>260.08446168702687</v>
      </c>
      <c r="R349" s="134">
        <f t="shared" si="52"/>
        <v>254.85197875536923</v>
      </c>
      <c r="S349" s="134">
        <f t="shared" si="52"/>
        <v>247.78971013223097</v>
      </c>
      <c r="T349" s="134">
        <f t="shared" si="52"/>
        <v>238.84183383211993</v>
      </c>
      <c r="U349" s="134">
        <f t="shared" si="52"/>
        <v>227.95252786954447</v>
      </c>
      <c r="V349" s="134">
        <f t="shared" si="52"/>
        <v>215.06597025901274</v>
      </c>
      <c r="W349" s="134">
        <f t="shared" si="52"/>
        <v>200.12633901503196</v>
      </c>
      <c r="X349" s="134">
        <f t="shared" si="52"/>
        <v>183.07781215211051</v>
      </c>
      <c r="Y349" s="134">
        <f t="shared" si="52"/>
        <v>163.86456768475719</v>
      </c>
      <c r="Z349" s="134">
        <f t="shared" si="52"/>
        <v>142.43078362747954</v>
      </c>
      <c r="AA349" s="134">
        <f t="shared" si="52"/>
        <v>118.72063799478443</v>
      </c>
      <c r="AB349" s="134">
        <f t="shared" si="52"/>
        <v>92.678308801180705</v>
      </c>
      <c r="AC349" s="134">
        <f t="shared" si="52"/>
        <v>64.247974061177203</v>
      </c>
      <c r="AD349" s="134">
        <f t="shared" si="52"/>
        <v>33.373811789281127</v>
      </c>
      <c r="AE349" s="134">
        <f t="shared" si="52"/>
        <v>0</v>
      </c>
      <c r="AF349" s="134">
        <f t="shared" si="52"/>
        <v>-35.92928329215799</v>
      </c>
      <c r="AG349" s="134">
        <f t="shared" si="52"/>
        <v>-74.469860072684327</v>
      </c>
      <c r="AH349" s="134">
        <f t="shared" si="52"/>
        <v>-115.67755232707083</v>
      </c>
      <c r="AI349" s="134">
        <f t="shared" si="52"/>
        <v>-159.60818204081031</v>
      </c>
      <c r="AJ349" s="134">
        <f t="shared" si="52"/>
        <v>-206.31757119939456</v>
      </c>
      <c r="AK349" s="134">
        <f t="shared" si="52"/>
        <v>-255.86154178831509</v>
      </c>
      <c r="AL349" s="134">
        <f t="shared" si="52"/>
        <v>-308.29591579306469</v>
      </c>
      <c r="AM349" s="134">
        <f t="shared" si="52"/>
        <v>-362.18944700210204</v>
      </c>
      <c r="AN349" s="134">
        <f t="shared" si="52"/>
        <v>-416.08297821113933</v>
      </c>
      <c r="AO349" s="134">
        <f t="shared" si="52"/>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5">
      <c r="A350" s="102"/>
      <c r="B350" s="112" t="s">
        <v>123</v>
      </c>
      <c r="C350" s="135"/>
      <c r="D350" s="134">
        <f t="shared" si="52"/>
        <v>300.3703524665234</v>
      </c>
      <c r="E350" s="134">
        <f t="shared" si="52"/>
        <v>300.3703524665234</v>
      </c>
      <c r="F350" s="134">
        <f t="shared" si="52"/>
        <v>300.3703524665234</v>
      </c>
      <c r="G350" s="134">
        <f t="shared" si="52"/>
        <v>300.3703524665234</v>
      </c>
      <c r="H350" s="134">
        <f t="shared" si="52"/>
        <v>300.3703524665234</v>
      </c>
      <c r="I350" s="134">
        <f t="shared" si="52"/>
        <v>300.3703524665234</v>
      </c>
      <c r="J350" s="134">
        <f t="shared" si="52"/>
        <v>300.3703524665234</v>
      </c>
      <c r="K350" s="134">
        <f t="shared" si="52"/>
        <v>300.3703524665234</v>
      </c>
      <c r="L350" s="134">
        <f t="shared" si="52"/>
        <v>300.3703524665234</v>
      </c>
      <c r="M350" s="134">
        <f t="shared" si="52"/>
        <v>300.3703524665234</v>
      </c>
      <c r="N350" s="134">
        <f t="shared" si="52"/>
        <v>300.3703524665234</v>
      </c>
      <c r="O350" s="134">
        <f t="shared" si="52"/>
        <v>300.3703524665234</v>
      </c>
      <c r="P350" s="134">
        <f t="shared" si="52"/>
        <v>299.2749351184267</v>
      </c>
      <c r="Q350" s="134">
        <f t="shared" si="52"/>
        <v>296.01374497918488</v>
      </c>
      <c r="R350" s="134">
        <f t="shared" si="52"/>
        <v>290.78126204752721</v>
      </c>
      <c r="S350" s="134">
        <f t="shared" si="52"/>
        <v>283.71899342438894</v>
      </c>
      <c r="T350" s="134">
        <f t="shared" si="52"/>
        <v>274.77111712427791</v>
      </c>
      <c r="U350" s="134">
        <f t="shared" si="52"/>
        <v>263.88181116170244</v>
      </c>
      <c r="V350" s="134">
        <f t="shared" si="52"/>
        <v>250.99525355117072</v>
      </c>
      <c r="W350" s="134">
        <f t="shared" si="52"/>
        <v>236.05562230718994</v>
      </c>
      <c r="X350" s="134">
        <f t="shared" si="52"/>
        <v>219.00709544426849</v>
      </c>
      <c r="Y350" s="134">
        <f t="shared" si="52"/>
        <v>199.79385097691517</v>
      </c>
      <c r="Z350" s="134">
        <f t="shared" si="52"/>
        <v>178.36006691963752</v>
      </c>
      <c r="AA350" s="134">
        <f t="shared" si="52"/>
        <v>154.6499212869424</v>
      </c>
      <c r="AB350" s="134">
        <f t="shared" si="52"/>
        <v>128.6075920933387</v>
      </c>
      <c r="AC350" s="134">
        <f t="shared" si="52"/>
        <v>100.17725735333519</v>
      </c>
      <c r="AD350" s="134">
        <f t="shared" si="52"/>
        <v>69.303095081439125</v>
      </c>
      <c r="AE350" s="134">
        <f t="shared" ref="AE350:AO350" si="53">IF(AE$320=$B350,0,IF(AE$320&gt;$B350,-0.5*AE$318-0.5*AD$318+AD350,0.5*HLOOKUP($B350,$D$317:$AO$318,2,FALSE)+0.5*HLOOKUP($B349,$D$317:$AO$318,2,FALSE)+AE349))</f>
        <v>35.92928329215799</v>
      </c>
      <c r="AF350" s="134">
        <f t="shared" si="53"/>
        <v>0</v>
      </c>
      <c r="AG350" s="134">
        <f t="shared" si="53"/>
        <v>-38.540576780526337</v>
      </c>
      <c r="AH350" s="134">
        <f t="shared" si="53"/>
        <v>-79.748269034912852</v>
      </c>
      <c r="AI350" s="134">
        <f t="shared" si="53"/>
        <v>-123.67889874865233</v>
      </c>
      <c r="AJ350" s="134">
        <f t="shared" si="53"/>
        <v>-170.38828790723659</v>
      </c>
      <c r="AK350" s="134">
        <f t="shared" si="53"/>
        <v>-219.93225849615712</v>
      </c>
      <c r="AL350" s="134">
        <f t="shared" si="53"/>
        <v>-272.36663250090669</v>
      </c>
      <c r="AM350" s="134">
        <f t="shared" si="53"/>
        <v>-326.26016370994398</v>
      </c>
      <c r="AN350" s="134">
        <f t="shared" si="53"/>
        <v>-380.15369491898127</v>
      </c>
      <c r="AO350" s="134">
        <f t="shared" si="53"/>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5">
      <c r="A351" s="102"/>
      <c r="B351" s="112" t="s">
        <v>124</v>
      </c>
      <c r="C351" s="135"/>
      <c r="D351" s="134">
        <f t="shared" ref="D351:AO357" si="54">IF(D$320=$B351,0,IF(D$320&gt;$B351,-0.5*D$318-0.5*C$318+C351,0.5*HLOOKUP($B351,$D$317:$AO$318,2,FALSE)+0.5*HLOOKUP($B350,$D$317:$AO$318,2,FALSE)+D350))</f>
        <v>338.91092924704975</v>
      </c>
      <c r="E351" s="134">
        <f t="shared" si="54"/>
        <v>338.91092924704975</v>
      </c>
      <c r="F351" s="134">
        <f t="shared" si="54"/>
        <v>338.91092924704975</v>
      </c>
      <c r="G351" s="134">
        <f t="shared" si="54"/>
        <v>338.91092924704975</v>
      </c>
      <c r="H351" s="134">
        <f t="shared" si="54"/>
        <v>338.91092924704975</v>
      </c>
      <c r="I351" s="134">
        <f t="shared" si="54"/>
        <v>338.91092924704975</v>
      </c>
      <c r="J351" s="134">
        <f t="shared" si="54"/>
        <v>338.91092924704975</v>
      </c>
      <c r="K351" s="134">
        <f t="shared" si="54"/>
        <v>338.91092924704975</v>
      </c>
      <c r="L351" s="134">
        <f t="shared" si="54"/>
        <v>338.91092924704975</v>
      </c>
      <c r="M351" s="134">
        <f t="shared" si="54"/>
        <v>338.91092924704975</v>
      </c>
      <c r="N351" s="134">
        <f t="shared" si="54"/>
        <v>338.91092924704975</v>
      </c>
      <c r="O351" s="134">
        <f t="shared" si="54"/>
        <v>338.91092924704975</v>
      </c>
      <c r="P351" s="134">
        <f t="shared" si="54"/>
        <v>337.81551189895305</v>
      </c>
      <c r="Q351" s="134">
        <f t="shared" si="54"/>
        <v>334.55432175971123</v>
      </c>
      <c r="R351" s="134">
        <f t="shared" si="54"/>
        <v>329.32183882805356</v>
      </c>
      <c r="S351" s="134">
        <f t="shared" si="54"/>
        <v>322.25957020491529</v>
      </c>
      <c r="T351" s="134">
        <f t="shared" si="54"/>
        <v>313.31169390480426</v>
      </c>
      <c r="U351" s="134">
        <f t="shared" si="54"/>
        <v>302.4223879422288</v>
      </c>
      <c r="V351" s="134">
        <f t="shared" si="54"/>
        <v>289.53583033169707</v>
      </c>
      <c r="W351" s="134">
        <f t="shared" si="54"/>
        <v>274.59619908771629</v>
      </c>
      <c r="X351" s="134">
        <f t="shared" si="54"/>
        <v>257.54767222479484</v>
      </c>
      <c r="Y351" s="134">
        <f t="shared" si="54"/>
        <v>238.33442775744152</v>
      </c>
      <c r="Z351" s="134">
        <f t="shared" si="54"/>
        <v>216.90064370016387</v>
      </c>
      <c r="AA351" s="134">
        <f t="shared" si="54"/>
        <v>193.19049806746875</v>
      </c>
      <c r="AB351" s="134">
        <f t="shared" si="54"/>
        <v>167.14816887386502</v>
      </c>
      <c r="AC351" s="134">
        <f t="shared" si="54"/>
        <v>138.71783413386152</v>
      </c>
      <c r="AD351" s="134">
        <f t="shared" si="54"/>
        <v>107.84367186196546</v>
      </c>
      <c r="AE351" s="134">
        <f t="shared" si="54"/>
        <v>74.469860072684327</v>
      </c>
      <c r="AF351" s="134">
        <f t="shared" si="54"/>
        <v>38.540576780526337</v>
      </c>
      <c r="AG351" s="134">
        <f t="shared" si="54"/>
        <v>0</v>
      </c>
      <c r="AH351" s="134">
        <f t="shared" si="54"/>
        <v>-41.207692254386508</v>
      </c>
      <c r="AI351" s="134">
        <f t="shared" si="54"/>
        <v>-85.138321968125979</v>
      </c>
      <c r="AJ351" s="134">
        <f t="shared" si="54"/>
        <v>-131.84771112671024</v>
      </c>
      <c r="AK351" s="134">
        <f t="shared" si="54"/>
        <v>-181.39168171563077</v>
      </c>
      <c r="AL351" s="134">
        <f t="shared" si="54"/>
        <v>-233.82605572038037</v>
      </c>
      <c r="AM351" s="134">
        <f t="shared" si="54"/>
        <v>-287.71958692941769</v>
      </c>
      <c r="AN351" s="134">
        <f t="shared" si="54"/>
        <v>-341.61311813845498</v>
      </c>
      <c r="AO351" s="134">
        <f t="shared" si="54"/>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5">
      <c r="A352" s="102"/>
      <c r="B352" s="112" t="s">
        <v>125</v>
      </c>
      <c r="C352" s="135"/>
      <c r="D352" s="134">
        <f t="shared" si="54"/>
        <v>380.11862150143628</v>
      </c>
      <c r="E352" s="134">
        <f t="shared" si="54"/>
        <v>380.11862150143628</v>
      </c>
      <c r="F352" s="134">
        <f t="shared" si="54"/>
        <v>380.11862150143628</v>
      </c>
      <c r="G352" s="134">
        <f t="shared" si="54"/>
        <v>380.11862150143628</v>
      </c>
      <c r="H352" s="134">
        <f t="shared" si="54"/>
        <v>380.11862150143628</v>
      </c>
      <c r="I352" s="134">
        <f t="shared" si="54"/>
        <v>380.11862150143628</v>
      </c>
      <c r="J352" s="134">
        <f t="shared" si="54"/>
        <v>380.11862150143628</v>
      </c>
      <c r="K352" s="134">
        <f t="shared" si="54"/>
        <v>380.11862150143628</v>
      </c>
      <c r="L352" s="134">
        <f t="shared" si="54"/>
        <v>380.11862150143628</v>
      </c>
      <c r="M352" s="134">
        <f t="shared" si="54"/>
        <v>380.11862150143628</v>
      </c>
      <c r="N352" s="134">
        <f t="shared" si="54"/>
        <v>380.11862150143628</v>
      </c>
      <c r="O352" s="134">
        <f t="shared" si="54"/>
        <v>380.11862150143628</v>
      </c>
      <c r="P352" s="134">
        <f t="shared" si="54"/>
        <v>379.02320415333958</v>
      </c>
      <c r="Q352" s="134">
        <f t="shared" si="54"/>
        <v>375.76201401409776</v>
      </c>
      <c r="R352" s="134">
        <f t="shared" si="54"/>
        <v>370.52953108244009</v>
      </c>
      <c r="S352" s="134">
        <f t="shared" si="54"/>
        <v>363.46726245930182</v>
      </c>
      <c r="T352" s="134">
        <f t="shared" si="54"/>
        <v>354.51938615919079</v>
      </c>
      <c r="U352" s="134">
        <f t="shared" si="54"/>
        <v>343.63008019661532</v>
      </c>
      <c r="V352" s="134">
        <f t="shared" si="54"/>
        <v>330.7435225860836</v>
      </c>
      <c r="W352" s="134">
        <f t="shared" si="54"/>
        <v>315.80389134210282</v>
      </c>
      <c r="X352" s="134">
        <f t="shared" si="54"/>
        <v>298.75536447918137</v>
      </c>
      <c r="Y352" s="134">
        <f t="shared" si="54"/>
        <v>279.54212001182805</v>
      </c>
      <c r="Z352" s="134">
        <f t="shared" si="54"/>
        <v>258.1083359545504</v>
      </c>
      <c r="AA352" s="134">
        <f t="shared" si="54"/>
        <v>234.39819032185525</v>
      </c>
      <c r="AB352" s="134">
        <f t="shared" si="54"/>
        <v>208.35586112825152</v>
      </c>
      <c r="AC352" s="134">
        <f t="shared" si="54"/>
        <v>179.92552638824802</v>
      </c>
      <c r="AD352" s="134">
        <f t="shared" si="54"/>
        <v>149.05136411635198</v>
      </c>
      <c r="AE352" s="134">
        <f t="shared" si="54"/>
        <v>115.67755232707083</v>
      </c>
      <c r="AF352" s="134">
        <f t="shared" si="54"/>
        <v>79.748269034912852</v>
      </c>
      <c r="AG352" s="134">
        <f t="shared" si="54"/>
        <v>41.207692254386508</v>
      </c>
      <c r="AH352" s="134">
        <f t="shared" si="54"/>
        <v>0</v>
      </c>
      <c r="AI352" s="134">
        <f t="shared" si="54"/>
        <v>-43.930629713739478</v>
      </c>
      <c r="AJ352" s="134">
        <f t="shared" si="54"/>
        <v>-90.640018872323736</v>
      </c>
      <c r="AK352" s="134">
        <f t="shared" si="54"/>
        <v>-140.18398946124427</v>
      </c>
      <c r="AL352" s="134">
        <f t="shared" si="54"/>
        <v>-192.61836346599387</v>
      </c>
      <c r="AM352" s="134">
        <f t="shared" si="54"/>
        <v>-246.51189467503119</v>
      </c>
      <c r="AN352" s="134">
        <f t="shared" si="54"/>
        <v>-300.40542588406851</v>
      </c>
      <c r="AO352" s="134">
        <f t="shared" si="54"/>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5">
      <c r="A353" s="102"/>
      <c r="B353" s="112" t="s">
        <v>126</v>
      </c>
      <c r="C353" s="135"/>
      <c r="D353" s="134">
        <f t="shared" si="54"/>
        <v>424.04925121517579</v>
      </c>
      <c r="E353" s="134">
        <f t="shared" si="54"/>
        <v>424.04925121517579</v>
      </c>
      <c r="F353" s="134">
        <f t="shared" si="54"/>
        <v>424.04925121517579</v>
      </c>
      <c r="G353" s="134">
        <f t="shared" si="54"/>
        <v>424.04925121517579</v>
      </c>
      <c r="H353" s="134">
        <f t="shared" si="54"/>
        <v>424.04925121517579</v>
      </c>
      <c r="I353" s="134">
        <f t="shared" si="54"/>
        <v>424.04925121517579</v>
      </c>
      <c r="J353" s="134">
        <f t="shared" si="54"/>
        <v>424.04925121517579</v>
      </c>
      <c r="K353" s="134">
        <f t="shared" si="54"/>
        <v>424.04925121517579</v>
      </c>
      <c r="L353" s="134">
        <f t="shared" si="54"/>
        <v>424.04925121517579</v>
      </c>
      <c r="M353" s="134">
        <f t="shared" si="54"/>
        <v>424.04925121517579</v>
      </c>
      <c r="N353" s="134">
        <f t="shared" si="54"/>
        <v>424.04925121517579</v>
      </c>
      <c r="O353" s="134">
        <f t="shared" si="54"/>
        <v>424.04925121517579</v>
      </c>
      <c r="P353" s="134">
        <f t="shared" si="54"/>
        <v>422.95383386707908</v>
      </c>
      <c r="Q353" s="134">
        <f t="shared" si="54"/>
        <v>419.69264372783721</v>
      </c>
      <c r="R353" s="134">
        <f t="shared" si="54"/>
        <v>414.46016079617959</v>
      </c>
      <c r="S353" s="134">
        <f t="shared" si="54"/>
        <v>407.39789217304133</v>
      </c>
      <c r="T353" s="134">
        <f t="shared" si="54"/>
        <v>398.45001587293029</v>
      </c>
      <c r="U353" s="134">
        <f t="shared" si="54"/>
        <v>387.56070991035483</v>
      </c>
      <c r="V353" s="134">
        <f t="shared" si="54"/>
        <v>374.67415229982305</v>
      </c>
      <c r="W353" s="134">
        <f t="shared" si="54"/>
        <v>359.73452105584227</v>
      </c>
      <c r="X353" s="134">
        <f t="shared" si="54"/>
        <v>342.68599419292082</v>
      </c>
      <c r="Y353" s="134">
        <f t="shared" si="54"/>
        <v>323.4727497255675</v>
      </c>
      <c r="Z353" s="134">
        <f t="shared" si="54"/>
        <v>302.03896566828985</v>
      </c>
      <c r="AA353" s="134">
        <f t="shared" si="54"/>
        <v>278.32882003559473</v>
      </c>
      <c r="AB353" s="134">
        <f t="shared" si="54"/>
        <v>252.286490841991</v>
      </c>
      <c r="AC353" s="134">
        <f t="shared" si="54"/>
        <v>223.85615610198749</v>
      </c>
      <c r="AD353" s="134">
        <f t="shared" si="54"/>
        <v>192.98199383009145</v>
      </c>
      <c r="AE353" s="134">
        <f t="shared" si="54"/>
        <v>159.60818204081031</v>
      </c>
      <c r="AF353" s="134">
        <f t="shared" si="54"/>
        <v>123.67889874865233</v>
      </c>
      <c r="AG353" s="134">
        <f t="shared" si="54"/>
        <v>85.138321968125979</v>
      </c>
      <c r="AH353" s="134">
        <f t="shared" si="54"/>
        <v>43.930629713739478</v>
      </c>
      <c r="AI353" s="134">
        <f t="shared" si="54"/>
        <v>0</v>
      </c>
      <c r="AJ353" s="134">
        <f t="shared" si="54"/>
        <v>-46.709389158584258</v>
      </c>
      <c r="AK353" s="134">
        <f t="shared" si="54"/>
        <v>-96.253359747504788</v>
      </c>
      <c r="AL353" s="134">
        <f t="shared" si="54"/>
        <v>-148.68773375225439</v>
      </c>
      <c r="AM353" s="134">
        <f t="shared" si="54"/>
        <v>-202.58126496129171</v>
      </c>
      <c r="AN353" s="134">
        <f t="shared" si="54"/>
        <v>-256.474796170329</v>
      </c>
      <c r="AO353" s="134">
        <f t="shared" si="54"/>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5">
      <c r="A354" s="102"/>
      <c r="B354" s="112" t="s">
        <v>127</v>
      </c>
      <c r="C354" s="135"/>
      <c r="D354" s="134">
        <f t="shared" si="54"/>
        <v>470.75864037376004</v>
      </c>
      <c r="E354" s="134">
        <f t="shared" si="54"/>
        <v>470.75864037376004</v>
      </c>
      <c r="F354" s="134">
        <f t="shared" si="54"/>
        <v>470.75864037376004</v>
      </c>
      <c r="G354" s="134">
        <f t="shared" si="54"/>
        <v>470.75864037376004</v>
      </c>
      <c r="H354" s="134">
        <f t="shared" si="54"/>
        <v>470.75864037376004</v>
      </c>
      <c r="I354" s="134">
        <f t="shared" si="54"/>
        <v>470.75864037376004</v>
      </c>
      <c r="J354" s="134">
        <f t="shared" si="54"/>
        <v>470.75864037376004</v>
      </c>
      <c r="K354" s="134">
        <f t="shared" si="54"/>
        <v>470.75864037376004</v>
      </c>
      <c r="L354" s="134">
        <f t="shared" si="54"/>
        <v>470.75864037376004</v>
      </c>
      <c r="M354" s="134">
        <f t="shared" si="54"/>
        <v>470.75864037376004</v>
      </c>
      <c r="N354" s="134">
        <f t="shared" si="54"/>
        <v>470.75864037376004</v>
      </c>
      <c r="O354" s="134">
        <f t="shared" si="54"/>
        <v>470.75864037376004</v>
      </c>
      <c r="P354" s="134">
        <f t="shared" si="54"/>
        <v>469.66322302566334</v>
      </c>
      <c r="Q354" s="134">
        <f t="shared" si="54"/>
        <v>466.40203288642147</v>
      </c>
      <c r="R354" s="134">
        <f t="shared" si="54"/>
        <v>461.16954995476385</v>
      </c>
      <c r="S354" s="134">
        <f t="shared" si="54"/>
        <v>454.10728133162559</v>
      </c>
      <c r="T354" s="134">
        <f t="shared" si="54"/>
        <v>445.15940503151455</v>
      </c>
      <c r="U354" s="134">
        <f t="shared" si="54"/>
        <v>434.27009906893909</v>
      </c>
      <c r="V354" s="134">
        <f t="shared" si="54"/>
        <v>421.38354145840731</v>
      </c>
      <c r="W354" s="134">
        <f t="shared" si="54"/>
        <v>406.44391021442652</v>
      </c>
      <c r="X354" s="134">
        <f t="shared" si="54"/>
        <v>389.39538335150507</v>
      </c>
      <c r="Y354" s="134">
        <f t="shared" si="54"/>
        <v>370.18213888415175</v>
      </c>
      <c r="Z354" s="134">
        <f t="shared" si="54"/>
        <v>348.74835482687411</v>
      </c>
      <c r="AA354" s="134">
        <f t="shared" si="54"/>
        <v>325.03820919417899</v>
      </c>
      <c r="AB354" s="134">
        <f t="shared" si="54"/>
        <v>298.99588000057526</v>
      </c>
      <c r="AC354" s="134">
        <f t="shared" si="54"/>
        <v>270.56554526057175</v>
      </c>
      <c r="AD354" s="134">
        <f t="shared" si="54"/>
        <v>239.69138298867571</v>
      </c>
      <c r="AE354" s="134">
        <f t="shared" si="54"/>
        <v>206.31757119939456</v>
      </c>
      <c r="AF354" s="134">
        <f t="shared" si="54"/>
        <v>170.38828790723659</v>
      </c>
      <c r="AG354" s="134">
        <f t="shared" si="54"/>
        <v>131.84771112671024</v>
      </c>
      <c r="AH354" s="134">
        <f t="shared" si="54"/>
        <v>90.640018872323736</v>
      </c>
      <c r="AI354" s="134">
        <f t="shared" si="54"/>
        <v>46.709389158584258</v>
      </c>
      <c r="AJ354" s="134">
        <f t="shared" si="54"/>
        <v>0</v>
      </c>
      <c r="AK354" s="134">
        <f t="shared" si="54"/>
        <v>-49.54397058892053</v>
      </c>
      <c r="AL354" s="134">
        <f t="shared" si="54"/>
        <v>-101.97834459367013</v>
      </c>
      <c r="AM354" s="134">
        <f t="shared" si="54"/>
        <v>-155.87187580270745</v>
      </c>
      <c r="AN354" s="134">
        <f t="shared" si="54"/>
        <v>-209.76540701174477</v>
      </c>
      <c r="AO354" s="134">
        <f t="shared" si="54"/>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5">
      <c r="A355" s="102"/>
      <c r="B355" s="112" t="s">
        <v>128</v>
      </c>
      <c r="C355" s="135"/>
      <c r="D355" s="134">
        <f t="shared" si="54"/>
        <v>520.30261096268055</v>
      </c>
      <c r="E355" s="134">
        <f t="shared" si="54"/>
        <v>520.30261096268055</v>
      </c>
      <c r="F355" s="134">
        <f t="shared" si="54"/>
        <v>520.30261096268055</v>
      </c>
      <c r="G355" s="134">
        <f t="shared" si="54"/>
        <v>520.30261096268055</v>
      </c>
      <c r="H355" s="134">
        <f t="shared" si="54"/>
        <v>520.30261096268055</v>
      </c>
      <c r="I355" s="134">
        <f t="shared" si="54"/>
        <v>520.30261096268055</v>
      </c>
      <c r="J355" s="134">
        <f t="shared" si="54"/>
        <v>520.30261096268055</v>
      </c>
      <c r="K355" s="134">
        <f t="shared" si="54"/>
        <v>520.30261096268055</v>
      </c>
      <c r="L355" s="134">
        <f t="shared" si="54"/>
        <v>520.30261096268055</v>
      </c>
      <c r="M355" s="134">
        <f t="shared" si="54"/>
        <v>520.30261096268055</v>
      </c>
      <c r="N355" s="134">
        <f t="shared" si="54"/>
        <v>520.30261096268055</v>
      </c>
      <c r="O355" s="134">
        <f t="shared" si="54"/>
        <v>520.30261096268055</v>
      </c>
      <c r="P355" s="134">
        <f t="shared" si="54"/>
        <v>519.20719361458384</v>
      </c>
      <c r="Q355" s="134">
        <f t="shared" si="54"/>
        <v>515.94600347534197</v>
      </c>
      <c r="R355" s="134">
        <f t="shared" si="54"/>
        <v>510.71352054368435</v>
      </c>
      <c r="S355" s="134">
        <f t="shared" si="54"/>
        <v>503.65125192054609</v>
      </c>
      <c r="T355" s="134">
        <f t="shared" si="54"/>
        <v>494.70337562043505</v>
      </c>
      <c r="U355" s="134">
        <f t="shared" si="54"/>
        <v>483.81406965785959</v>
      </c>
      <c r="V355" s="134">
        <f t="shared" si="54"/>
        <v>470.92751204732781</v>
      </c>
      <c r="W355" s="134">
        <f t="shared" si="54"/>
        <v>455.98788080334702</v>
      </c>
      <c r="X355" s="134">
        <f t="shared" si="54"/>
        <v>438.93935394042558</v>
      </c>
      <c r="Y355" s="134">
        <f t="shared" si="54"/>
        <v>419.72610947307226</v>
      </c>
      <c r="Z355" s="134">
        <f t="shared" si="54"/>
        <v>398.29232541579461</v>
      </c>
      <c r="AA355" s="134">
        <f t="shared" si="54"/>
        <v>374.58217978309949</v>
      </c>
      <c r="AB355" s="134">
        <f t="shared" si="54"/>
        <v>348.53985058949581</v>
      </c>
      <c r="AC355" s="134">
        <f t="shared" si="54"/>
        <v>320.10951584949225</v>
      </c>
      <c r="AD355" s="134">
        <f t="shared" si="54"/>
        <v>289.23535357759624</v>
      </c>
      <c r="AE355" s="134">
        <f t="shared" si="54"/>
        <v>255.86154178831509</v>
      </c>
      <c r="AF355" s="134">
        <f t="shared" si="54"/>
        <v>219.93225849615712</v>
      </c>
      <c r="AG355" s="134">
        <f t="shared" si="54"/>
        <v>181.39168171563077</v>
      </c>
      <c r="AH355" s="134">
        <f t="shared" si="54"/>
        <v>140.18398946124427</v>
      </c>
      <c r="AI355" s="134">
        <f t="shared" si="54"/>
        <v>96.253359747504788</v>
      </c>
      <c r="AJ355" s="134">
        <f t="shared" si="54"/>
        <v>49.54397058892053</v>
      </c>
      <c r="AK355" s="134">
        <f t="shared" si="54"/>
        <v>0</v>
      </c>
      <c r="AL355" s="134">
        <f t="shared" si="54"/>
        <v>-52.4343740047496</v>
      </c>
      <c r="AM355" s="134">
        <f t="shared" si="54"/>
        <v>-106.32790521378692</v>
      </c>
      <c r="AN355" s="134">
        <f t="shared" si="54"/>
        <v>-160.22143642282424</v>
      </c>
      <c r="AO355" s="134">
        <f t="shared" si="54"/>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5">
      <c r="A356" s="102"/>
      <c r="B356" s="112" t="s">
        <v>129</v>
      </c>
      <c r="C356" s="135"/>
      <c r="D356" s="134">
        <f t="shared" si="54"/>
        <v>572.73698496743009</v>
      </c>
      <c r="E356" s="134">
        <f t="shared" si="54"/>
        <v>572.73698496743009</v>
      </c>
      <c r="F356" s="134">
        <f t="shared" si="54"/>
        <v>572.73698496743009</v>
      </c>
      <c r="G356" s="134">
        <f t="shared" si="54"/>
        <v>572.73698496743009</v>
      </c>
      <c r="H356" s="134">
        <f t="shared" si="54"/>
        <v>572.73698496743009</v>
      </c>
      <c r="I356" s="134">
        <f t="shared" si="54"/>
        <v>572.73698496743009</v>
      </c>
      <c r="J356" s="134">
        <f t="shared" si="54"/>
        <v>572.73698496743009</v>
      </c>
      <c r="K356" s="134">
        <f t="shared" si="54"/>
        <v>572.73698496743009</v>
      </c>
      <c r="L356" s="134">
        <f t="shared" si="54"/>
        <v>572.73698496743009</v>
      </c>
      <c r="M356" s="134">
        <f t="shared" si="54"/>
        <v>572.73698496743009</v>
      </c>
      <c r="N356" s="134">
        <f t="shared" si="54"/>
        <v>572.73698496743009</v>
      </c>
      <c r="O356" s="134">
        <f t="shared" si="54"/>
        <v>572.73698496743009</v>
      </c>
      <c r="P356" s="134">
        <f t="shared" si="54"/>
        <v>571.6415676193335</v>
      </c>
      <c r="Q356" s="134">
        <f t="shared" si="54"/>
        <v>568.38037748009151</v>
      </c>
      <c r="R356" s="134">
        <f t="shared" si="54"/>
        <v>563.1478945484339</v>
      </c>
      <c r="S356" s="134">
        <f t="shared" si="54"/>
        <v>556.08562592529574</v>
      </c>
      <c r="T356" s="134">
        <f t="shared" si="54"/>
        <v>547.1377496251846</v>
      </c>
      <c r="U356" s="134">
        <f t="shared" si="54"/>
        <v>536.24844366260913</v>
      </c>
      <c r="V356" s="134">
        <f t="shared" si="54"/>
        <v>523.36188605207735</v>
      </c>
      <c r="W356" s="134">
        <f t="shared" si="54"/>
        <v>508.42225480809662</v>
      </c>
      <c r="X356" s="134">
        <f t="shared" si="54"/>
        <v>491.37372794517518</v>
      </c>
      <c r="Y356" s="134">
        <f t="shared" si="54"/>
        <v>472.16048347782186</v>
      </c>
      <c r="Z356" s="134">
        <f t="shared" si="54"/>
        <v>450.72669942054421</v>
      </c>
      <c r="AA356" s="134">
        <f t="shared" si="54"/>
        <v>427.01655378784909</v>
      </c>
      <c r="AB356" s="134">
        <f t="shared" si="54"/>
        <v>400.97422459424541</v>
      </c>
      <c r="AC356" s="134">
        <f t="shared" si="54"/>
        <v>372.54388985424185</v>
      </c>
      <c r="AD356" s="134">
        <f t="shared" si="54"/>
        <v>341.66972758234584</v>
      </c>
      <c r="AE356" s="134">
        <f t="shared" si="54"/>
        <v>308.29591579306469</v>
      </c>
      <c r="AF356" s="134">
        <f t="shared" si="54"/>
        <v>272.36663250090669</v>
      </c>
      <c r="AG356" s="134">
        <f t="shared" si="54"/>
        <v>233.82605572038037</v>
      </c>
      <c r="AH356" s="134">
        <f t="shared" si="54"/>
        <v>192.61836346599387</v>
      </c>
      <c r="AI356" s="134">
        <f t="shared" si="54"/>
        <v>148.68773375225439</v>
      </c>
      <c r="AJ356" s="134">
        <f t="shared" si="54"/>
        <v>101.97834459367013</v>
      </c>
      <c r="AK356" s="134">
        <f t="shared" si="54"/>
        <v>52.4343740047496</v>
      </c>
      <c r="AL356" s="134">
        <f t="shared" si="54"/>
        <v>0</v>
      </c>
      <c r="AM356" s="134">
        <f t="shared" si="54"/>
        <v>-53.89353120903732</v>
      </c>
      <c r="AN356" s="134">
        <f t="shared" si="54"/>
        <v>-107.78706241807464</v>
      </c>
      <c r="AO356" s="134">
        <f t="shared" si="54"/>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5">
      <c r="A357" s="102"/>
      <c r="B357" s="112" t="s">
        <v>130</v>
      </c>
      <c r="C357" s="135"/>
      <c r="D357" s="134">
        <f t="shared" si="54"/>
        <v>626.63051617646738</v>
      </c>
      <c r="E357" s="134">
        <f t="shared" si="54"/>
        <v>626.63051617646738</v>
      </c>
      <c r="F357" s="134">
        <f t="shared" si="54"/>
        <v>626.63051617646738</v>
      </c>
      <c r="G357" s="134">
        <f t="shared" si="54"/>
        <v>626.63051617646738</v>
      </c>
      <c r="H357" s="134">
        <f t="shared" si="54"/>
        <v>626.63051617646738</v>
      </c>
      <c r="I357" s="134">
        <f t="shared" si="54"/>
        <v>626.63051617646738</v>
      </c>
      <c r="J357" s="134">
        <f t="shared" si="54"/>
        <v>626.63051617646738</v>
      </c>
      <c r="K357" s="134">
        <f t="shared" si="54"/>
        <v>626.63051617646738</v>
      </c>
      <c r="L357" s="134">
        <f t="shared" si="54"/>
        <v>626.63051617646738</v>
      </c>
      <c r="M357" s="134">
        <f t="shared" si="54"/>
        <v>626.63051617646738</v>
      </c>
      <c r="N357" s="134">
        <f t="shared" si="54"/>
        <v>626.63051617646738</v>
      </c>
      <c r="O357" s="134">
        <f t="shared" si="54"/>
        <v>626.63051617646738</v>
      </c>
      <c r="P357" s="134">
        <f t="shared" si="54"/>
        <v>625.53509882837079</v>
      </c>
      <c r="Q357" s="134">
        <f t="shared" si="54"/>
        <v>622.2739086891288</v>
      </c>
      <c r="R357" s="134">
        <f t="shared" si="54"/>
        <v>617.04142575747119</v>
      </c>
      <c r="S357" s="134">
        <f t="shared" si="54"/>
        <v>609.97915713433304</v>
      </c>
      <c r="T357" s="134">
        <f t="shared" si="54"/>
        <v>601.03128083422189</v>
      </c>
      <c r="U357" s="134">
        <f t="shared" si="54"/>
        <v>590.14197487164643</v>
      </c>
      <c r="V357" s="134">
        <f t="shared" si="54"/>
        <v>577.25541726111464</v>
      </c>
      <c r="W357" s="134">
        <f t="shared" si="54"/>
        <v>562.31578601713397</v>
      </c>
      <c r="X357" s="134">
        <f t="shared" si="54"/>
        <v>545.26725915421252</v>
      </c>
      <c r="Y357" s="134">
        <f t="shared" si="54"/>
        <v>526.0540146868592</v>
      </c>
      <c r="Z357" s="134">
        <f t="shared" si="54"/>
        <v>504.62023062958156</v>
      </c>
      <c r="AA357" s="134">
        <f t="shared" si="54"/>
        <v>480.91008499688644</v>
      </c>
      <c r="AB357" s="134">
        <f t="shared" si="54"/>
        <v>454.86775580328276</v>
      </c>
      <c r="AC357" s="134">
        <f t="shared" si="54"/>
        <v>426.4374210632792</v>
      </c>
      <c r="AD357" s="134">
        <f t="shared" si="54"/>
        <v>395.56325879138319</v>
      </c>
      <c r="AE357" s="134">
        <f t="shared" ref="AE357:AO357" si="55">IF(AE$320=$B357,0,IF(AE$320&gt;$B357,-0.5*AE$318-0.5*AD$318+AD357,0.5*HLOOKUP($B357,$D$317:$AO$318,2,FALSE)+0.5*HLOOKUP($B356,$D$317:$AO$318,2,FALSE)+AE356))</f>
        <v>362.18944700210204</v>
      </c>
      <c r="AF357" s="134">
        <f t="shared" si="55"/>
        <v>326.26016370994398</v>
      </c>
      <c r="AG357" s="134">
        <f t="shared" si="55"/>
        <v>287.71958692941769</v>
      </c>
      <c r="AH357" s="134">
        <f t="shared" si="55"/>
        <v>246.51189467503119</v>
      </c>
      <c r="AI357" s="134">
        <f t="shared" si="55"/>
        <v>202.58126496129171</v>
      </c>
      <c r="AJ357" s="134">
        <f t="shared" si="55"/>
        <v>155.87187580270745</v>
      </c>
      <c r="AK357" s="134">
        <f t="shared" si="55"/>
        <v>106.32790521378692</v>
      </c>
      <c r="AL357" s="134">
        <f t="shared" si="55"/>
        <v>53.89353120903732</v>
      </c>
      <c r="AM357" s="134">
        <f t="shared" si="55"/>
        <v>0</v>
      </c>
      <c r="AN357" s="134">
        <f t="shared" si="55"/>
        <v>-53.89353120903732</v>
      </c>
      <c r="AO357" s="134">
        <f t="shared" si="55"/>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5">
      <c r="A358" s="102"/>
      <c r="B358" s="112" t="s">
        <v>131</v>
      </c>
      <c r="C358" s="135"/>
      <c r="D358" s="134">
        <f t="shared" ref="D358:AO359" si="56">IF(D$320=$B358,0,IF(D$320&gt;$B358,-0.5*D$318-0.5*C$318+C358,0.5*HLOOKUP($B358,$D$317:$AO$318,2,FALSE)+0.5*HLOOKUP($B357,$D$317:$AO$318,2,FALSE)+D357))</f>
        <v>680.52404738550467</v>
      </c>
      <c r="E358" s="134">
        <f t="shared" si="56"/>
        <v>680.52404738550467</v>
      </c>
      <c r="F358" s="134">
        <f t="shared" si="56"/>
        <v>680.52404738550467</v>
      </c>
      <c r="G358" s="134">
        <f t="shared" si="56"/>
        <v>680.52404738550467</v>
      </c>
      <c r="H358" s="134">
        <f t="shared" si="56"/>
        <v>680.52404738550467</v>
      </c>
      <c r="I358" s="134">
        <f t="shared" si="56"/>
        <v>680.52404738550467</v>
      </c>
      <c r="J358" s="134">
        <f t="shared" si="56"/>
        <v>680.52404738550467</v>
      </c>
      <c r="K358" s="134">
        <f t="shared" si="56"/>
        <v>680.52404738550467</v>
      </c>
      <c r="L358" s="134">
        <f t="shared" si="56"/>
        <v>680.52404738550467</v>
      </c>
      <c r="M358" s="134">
        <f t="shared" si="56"/>
        <v>680.52404738550467</v>
      </c>
      <c r="N358" s="134">
        <f t="shared" si="56"/>
        <v>680.52404738550467</v>
      </c>
      <c r="O358" s="134">
        <f t="shared" si="56"/>
        <v>680.52404738550467</v>
      </c>
      <c r="P358" s="134">
        <f t="shared" si="56"/>
        <v>679.42863003740808</v>
      </c>
      <c r="Q358" s="134">
        <f t="shared" si="56"/>
        <v>676.16743989816609</v>
      </c>
      <c r="R358" s="134">
        <f t="shared" si="56"/>
        <v>670.93495696650848</v>
      </c>
      <c r="S358" s="134">
        <f t="shared" si="56"/>
        <v>663.87268834337033</v>
      </c>
      <c r="T358" s="134">
        <f t="shared" si="56"/>
        <v>654.92481204325918</v>
      </c>
      <c r="U358" s="134">
        <f t="shared" si="56"/>
        <v>644.03550608068372</v>
      </c>
      <c r="V358" s="134">
        <f t="shared" si="56"/>
        <v>631.14894847015194</v>
      </c>
      <c r="W358" s="134">
        <f t="shared" si="56"/>
        <v>616.20931722617127</v>
      </c>
      <c r="X358" s="134">
        <f t="shared" si="56"/>
        <v>599.16079036324982</v>
      </c>
      <c r="Y358" s="134">
        <f t="shared" si="56"/>
        <v>579.9475458958965</v>
      </c>
      <c r="Z358" s="134">
        <f t="shared" si="56"/>
        <v>558.51376183861885</v>
      </c>
      <c r="AA358" s="134">
        <f t="shared" si="56"/>
        <v>534.80361620592373</v>
      </c>
      <c r="AB358" s="134">
        <f t="shared" si="56"/>
        <v>508.76128701232005</v>
      </c>
      <c r="AC358" s="134">
        <f t="shared" si="56"/>
        <v>480.33095227231649</v>
      </c>
      <c r="AD358" s="134">
        <f t="shared" si="56"/>
        <v>449.45679000042048</v>
      </c>
      <c r="AE358" s="134">
        <f t="shared" si="56"/>
        <v>416.08297821113933</v>
      </c>
      <c r="AF358" s="134">
        <f t="shared" si="56"/>
        <v>380.15369491898127</v>
      </c>
      <c r="AG358" s="134">
        <f t="shared" si="56"/>
        <v>341.61311813845498</v>
      </c>
      <c r="AH358" s="134">
        <f t="shared" si="56"/>
        <v>300.40542588406851</v>
      </c>
      <c r="AI358" s="134">
        <f t="shared" si="56"/>
        <v>256.474796170329</v>
      </c>
      <c r="AJ358" s="134">
        <f t="shared" si="56"/>
        <v>209.76540701174477</v>
      </c>
      <c r="AK358" s="134">
        <f t="shared" si="56"/>
        <v>160.22143642282424</v>
      </c>
      <c r="AL358" s="134">
        <f t="shared" si="56"/>
        <v>107.78706241807464</v>
      </c>
      <c r="AM358" s="134">
        <f t="shared" si="56"/>
        <v>53.89353120903732</v>
      </c>
      <c r="AN358" s="134">
        <f t="shared" si="56"/>
        <v>0</v>
      </c>
      <c r="AO358" s="134">
        <f t="shared" si="56"/>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5">
      <c r="A359" s="102"/>
      <c r="B359" s="112" t="s">
        <v>132</v>
      </c>
      <c r="C359" s="135"/>
      <c r="D359" s="134">
        <f t="shared" si="56"/>
        <v>734.41757859454196</v>
      </c>
      <c r="E359" s="134">
        <f t="shared" si="56"/>
        <v>734.41757859454196</v>
      </c>
      <c r="F359" s="134">
        <f t="shared" si="56"/>
        <v>734.41757859454196</v>
      </c>
      <c r="G359" s="134">
        <f t="shared" si="56"/>
        <v>734.41757859454196</v>
      </c>
      <c r="H359" s="134">
        <f t="shared" si="56"/>
        <v>734.41757859454196</v>
      </c>
      <c r="I359" s="134">
        <f t="shared" si="56"/>
        <v>734.41757859454196</v>
      </c>
      <c r="J359" s="134">
        <f t="shared" si="56"/>
        <v>734.41757859454196</v>
      </c>
      <c r="K359" s="134">
        <f t="shared" si="56"/>
        <v>734.41757859454196</v>
      </c>
      <c r="L359" s="134">
        <f t="shared" si="56"/>
        <v>734.41757859454196</v>
      </c>
      <c r="M359" s="134">
        <f t="shared" si="56"/>
        <v>734.41757859454196</v>
      </c>
      <c r="N359" s="134">
        <f t="shared" si="56"/>
        <v>734.41757859454196</v>
      </c>
      <c r="O359" s="134">
        <f t="shared" si="56"/>
        <v>734.41757859454196</v>
      </c>
      <c r="P359" s="134">
        <f t="shared" si="56"/>
        <v>733.32216124644538</v>
      </c>
      <c r="Q359" s="134">
        <f t="shared" si="56"/>
        <v>730.06097110720339</v>
      </c>
      <c r="R359" s="134">
        <f t="shared" si="56"/>
        <v>724.82848817554577</v>
      </c>
      <c r="S359" s="134">
        <f t="shared" si="56"/>
        <v>717.76621955240762</v>
      </c>
      <c r="T359" s="134">
        <f t="shared" si="56"/>
        <v>708.81834325229647</v>
      </c>
      <c r="U359" s="134">
        <f t="shared" si="56"/>
        <v>697.92903728972101</v>
      </c>
      <c r="V359" s="134">
        <f t="shared" si="56"/>
        <v>685.04247967918923</v>
      </c>
      <c r="W359" s="134">
        <f t="shared" si="56"/>
        <v>670.10284843520856</v>
      </c>
      <c r="X359" s="134">
        <f t="shared" si="56"/>
        <v>653.05432157228711</v>
      </c>
      <c r="Y359" s="134">
        <f t="shared" si="56"/>
        <v>633.84107710493379</v>
      </c>
      <c r="Z359" s="134">
        <f t="shared" si="56"/>
        <v>612.40729304765614</v>
      </c>
      <c r="AA359" s="134">
        <f t="shared" si="56"/>
        <v>588.69714741496102</v>
      </c>
      <c r="AB359" s="134">
        <f t="shared" si="56"/>
        <v>562.65481822135735</v>
      </c>
      <c r="AC359" s="134">
        <f t="shared" si="56"/>
        <v>534.22448348135379</v>
      </c>
      <c r="AD359" s="134">
        <f t="shared" si="56"/>
        <v>503.35032120945777</v>
      </c>
      <c r="AE359" s="134">
        <f t="shared" si="56"/>
        <v>469.97650942017663</v>
      </c>
      <c r="AF359" s="134">
        <f t="shared" si="56"/>
        <v>434.04722612801856</v>
      </c>
      <c r="AG359" s="134">
        <f t="shared" si="56"/>
        <v>395.50664934749227</v>
      </c>
      <c r="AH359" s="134">
        <f t="shared" si="56"/>
        <v>354.29895709310586</v>
      </c>
      <c r="AI359" s="134">
        <f t="shared" si="56"/>
        <v>310.36832737936629</v>
      </c>
      <c r="AJ359" s="134">
        <f t="shared" si="56"/>
        <v>263.65893822078209</v>
      </c>
      <c r="AK359" s="134">
        <f t="shared" si="56"/>
        <v>214.11496763186156</v>
      </c>
      <c r="AL359" s="134">
        <f t="shared" si="56"/>
        <v>161.68059362711196</v>
      </c>
      <c r="AM359" s="134">
        <f t="shared" si="56"/>
        <v>107.78706241807464</v>
      </c>
      <c r="AN359" s="134">
        <f t="shared" si="56"/>
        <v>53.89353120903732</v>
      </c>
      <c r="AO359" s="134">
        <f t="shared" si="5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5" x14ac:dyDescent="0.3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5" x14ac:dyDescent="0.35">
      <c r="B361" s="5" t="s">
        <v>149</v>
      </c>
    </row>
    <row r="362" spans="1:95" ht="15" customHeight="1" x14ac:dyDescent="0.35">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5">
      <c r="A363" s="102"/>
      <c r="B363" s="151" t="s">
        <v>141</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5">
      <c r="A364" s="102"/>
      <c r="B364" s="151"/>
      <c r="C364" s="64" t="s">
        <v>223</v>
      </c>
      <c r="D364" s="12" t="s">
        <v>95</v>
      </c>
      <c r="E364" s="13" t="s">
        <v>96</v>
      </c>
      <c r="F364" s="97" t="s">
        <v>97</v>
      </c>
      <c r="G364" s="97" t="s">
        <v>98</v>
      </c>
      <c r="H364" s="97" t="s">
        <v>99</v>
      </c>
      <c r="I364" s="97" t="s">
        <v>100</v>
      </c>
      <c r="J364" s="97" t="s">
        <v>101</v>
      </c>
      <c r="K364" s="97" t="s">
        <v>102</v>
      </c>
      <c r="L364" s="97" t="s">
        <v>103</v>
      </c>
      <c r="M364" s="97" t="s">
        <v>104</v>
      </c>
      <c r="N364" s="97" t="s">
        <v>105</v>
      </c>
      <c r="O364" s="97" t="s">
        <v>106</v>
      </c>
      <c r="P364" s="97" t="s">
        <v>107</v>
      </c>
      <c r="Q364" s="97" t="s">
        <v>108</v>
      </c>
      <c r="R364" s="97" t="s">
        <v>109</v>
      </c>
      <c r="S364" s="97" t="s">
        <v>110</v>
      </c>
      <c r="T364" s="97" t="s">
        <v>111</v>
      </c>
      <c r="U364" s="97" t="s">
        <v>112</v>
      </c>
      <c r="V364" s="97" t="s">
        <v>113</v>
      </c>
      <c r="W364" s="97" t="s">
        <v>114</v>
      </c>
      <c r="X364" s="97" t="s">
        <v>115</v>
      </c>
      <c r="Y364" s="97" t="s">
        <v>116</v>
      </c>
      <c r="Z364" s="97" t="s">
        <v>117</v>
      </c>
      <c r="AA364" s="97" t="s">
        <v>118</v>
      </c>
      <c r="AB364" s="97" t="s">
        <v>119</v>
      </c>
      <c r="AC364" s="97" t="s">
        <v>120</v>
      </c>
      <c r="AD364" s="97" t="s">
        <v>121</v>
      </c>
      <c r="AE364" s="97" t="s">
        <v>122</v>
      </c>
      <c r="AF364" s="97" t="s">
        <v>123</v>
      </c>
      <c r="AG364" s="97" t="s">
        <v>124</v>
      </c>
      <c r="AH364" s="97" t="s">
        <v>125</v>
      </c>
      <c r="AI364" s="97" t="s">
        <v>126</v>
      </c>
      <c r="AJ364" s="97" t="s">
        <v>127</v>
      </c>
      <c r="AK364" s="97" t="s">
        <v>128</v>
      </c>
      <c r="AL364" s="97" t="s">
        <v>129</v>
      </c>
      <c r="AM364" s="97" t="s">
        <v>130</v>
      </c>
      <c r="AN364" s="97" t="s">
        <v>131</v>
      </c>
      <c r="AO364" s="97" t="s">
        <v>132</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5">
      <c r="A365" s="102"/>
      <c r="B365" s="102" t="s">
        <v>229</v>
      </c>
      <c r="C365" s="102">
        <f>Road_mask</f>
        <v>1</v>
      </c>
      <c r="D365" s="118">
        <v>0</v>
      </c>
      <c r="E365" s="118">
        <v>0</v>
      </c>
      <c r="F365" s="118">
        <v>0</v>
      </c>
      <c r="G365" s="118">
        <v>0</v>
      </c>
      <c r="H365" s="118">
        <v>0</v>
      </c>
      <c r="I365" s="118">
        <v>0</v>
      </c>
      <c r="J365" s="118">
        <f t="shared" ref="J365:AO365" si="57">Stroke_values_road_1dB_in</f>
        <v>3.6966232872828853</v>
      </c>
      <c r="K365" s="118">
        <f t="shared" si="57"/>
        <v>3.7059084926663091</v>
      </c>
      <c r="L365" s="118">
        <f t="shared" si="57"/>
        <v>3.7152200717650747</v>
      </c>
      <c r="M365" s="118">
        <f t="shared" si="57"/>
        <v>3.7245581095958702</v>
      </c>
      <c r="N365" s="118">
        <f t="shared" si="57"/>
        <v>3.7339226914821468</v>
      </c>
      <c r="O365" s="118">
        <f t="shared" si="57"/>
        <v>3.7433139030555496</v>
      </c>
      <c r="P365" s="118">
        <f t="shared" si="57"/>
        <v>3.7527318302572561</v>
      </c>
      <c r="Q365" s="118">
        <f t="shared" si="57"/>
        <v>3.7621765593386578</v>
      </c>
      <c r="R365" s="118">
        <f t="shared" si="57"/>
        <v>3.7716481768632457</v>
      </c>
      <c r="S365" s="118">
        <f t="shared" si="57"/>
        <v>3.7811467697074548</v>
      </c>
      <c r="T365" s="118">
        <f t="shared" si="57"/>
        <v>3.790672425061917</v>
      </c>
      <c r="U365" s="118">
        <f t="shared" si="57"/>
        <v>3.8002252304329378</v>
      </c>
      <c r="V365" s="118">
        <f t="shared" si="57"/>
        <v>3.8098052736433208</v>
      </c>
      <c r="W365" s="118">
        <f t="shared" si="57"/>
        <v>3.8194126428341</v>
      </c>
      <c r="X365" s="118">
        <f t="shared" si="57"/>
        <v>3.8290474264657495</v>
      </c>
      <c r="Y365" s="118">
        <f t="shared" si="57"/>
        <v>3.8387097133186954</v>
      </c>
      <c r="Z365" s="118">
        <f t="shared" si="57"/>
        <v>3.8483995924958747</v>
      </c>
      <c r="AA365" s="118">
        <f t="shared" si="57"/>
        <v>3.8581171534224881</v>
      </c>
      <c r="AB365" s="118">
        <f t="shared" si="57"/>
        <v>3.8678624858490669</v>
      </c>
      <c r="AC365" s="118">
        <f t="shared" si="57"/>
        <v>3.8776356798510596</v>
      </c>
      <c r="AD365" s="118">
        <f t="shared" si="57"/>
        <v>3.8874368258309455</v>
      </c>
      <c r="AE365" s="118">
        <f t="shared" si="57"/>
        <v>3.8972660145196683</v>
      </c>
      <c r="AF365" s="118">
        <f t="shared" si="57"/>
        <v>3.9071233369776239</v>
      </c>
      <c r="AG365" s="118">
        <f t="shared" si="57"/>
        <v>3.9170088845959476</v>
      </c>
      <c r="AH365" s="118">
        <f t="shared" si="57"/>
        <v>3.9269227490981304</v>
      </c>
      <c r="AI365" s="118">
        <f t="shared" si="57"/>
        <v>3.9368650225405579</v>
      </c>
      <c r="AJ365" s="118">
        <f t="shared" si="57"/>
        <v>3.9368650225405579</v>
      </c>
      <c r="AK365" s="118">
        <f t="shared" si="57"/>
        <v>3.9368650225405579</v>
      </c>
      <c r="AL365" s="118">
        <f t="shared" si="57"/>
        <v>3.9368650225405579</v>
      </c>
      <c r="AM365" s="118">
        <f t="shared" si="57"/>
        <v>3.9368650225405579</v>
      </c>
      <c r="AN365" s="118">
        <f t="shared" si="57"/>
        <v>3.9368650225405579</v>
      </c>
      <c r="AO365" s="118">
        <f t="shared" si="5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5">
      <c r="A366" s="102"/>
      <c r="B366" s="102" t="s">
        <v>230</v>
      </c>
      <c r="C366" s="101">
        <f>Rail_mask</f>
        <v>0</v>
      </c>
      <c r="D366" s="118">
        <v>0</v>
      </c>
      <c r="E366" s="118">
        <v>0</v>
      </c>
      <c r="F366" s="118">
        <v>0</v>
      </c>
      <c r="G366" s="118">
        <v>0</v>
      </c>
      <c r="H366" s="118">
        <v>0</v>
      </c>
      <c r="I366" s="118">
        <v>0</v>
      </c>
      <c r="J366" s="118">
        <f t="shared" ref="J366:AO366" si="58">Stroke_values_rail_1dB_in</f>
        <v>3.9970980953356117</v>
      </c>
      <c r="K366" s="118">
        <f t="shared" si="58"/>
        <v>4.0080049663566149</v>
      </c>
      <c r="L366" s="118">
        <f t="shared" si="58"/>
        <v>4.0189454896299175</v>
      </c>
      <c r="M366" s="118">
        <f t="shared" si="58"/>
        <v>4.029919782995167</v>
      </c>
      <c r="N366" s="118">
        <f t="shared" si="58"/>
        <v>4.0409279647545508</v>
      </c>
      <c r="O366" s="118">
        <f t="shared" si="58"/>
        <v>4.0519701536741657</v>
      </c>
      <c r="P366" s="118">
        <f t="shared" si="58"/>
        <v>4.0630464689866317</v>
      </c>
      <c r="Q366" s="118">
        <f t="shared" si="58"/>
        <v>4.0741570303918246</v>
      </c>
      <c r="R366" s="118">
        <f t="shared" si="58"/>
        <v>4.0853019580611916</v>
      </c>
      <c r="S366" s="118">
        <f t="shared" si="58"/>
        <v>4.0964813726371219</v>
      </c>
      <c r="T366" s="118">
        <f t="shared" si="58"/>
        <v>4.1076953952370259</v>
      </c>
      <c r="U366" s="118">
        <f t="shared" si="58"/>
        <v>4.1189441474539352</v>
      </c>
      <c r="V366" s="118">
        <f t="shared" si="58"/>
        <v>4.1302277513598247</v>
      </c>
      <c r="W366" s="118">
        <f t="shared" si="58"/>
        <v>4.1415463295064443</v>
      </c>
      <c r="X366" s="118">
        <f t="shared" si="58"/>
        <v>4.1529000049284921</v>
      </c>
      <c r="Y366" s="118">
        <f t="shared" si="58"/>
        <v>4.1642889011448281</v>
      </c>
      <c r="Z366" s="118">
        <f t="shared" si="58"/>
        <v>4.1757131421609657</v>
      </c>
      <c r="AA366" s="118">
        <f t="shared" si="58"/>
        <v>4.1871728524709928</v>
      </c>
      <c r="AB366" s="118">
        <f t="shared" si="58"/>
        <v>4.198668157060351</v>
      </c>
      <c r="AC366" s="118">
        <f t="shared" si="58"/>
        <v>4.2101991814064759</v>
      </c>
      <c r="AD366" s="118">
        <f t="shared" si="58"/>
        <v>4.2217660514824855</v>
      </c>
      <c r="AE366" s="118">
        <f t="shared" si="58"/>
        <v>4.2333688937585121</v>
      </c>
      <c r="AF366" s="118">
        <f t="shared" si="58"/>
        <v>4.2450078352037686</v>
      </c>
      <c r="AG366" s="118">
        <f t="shared" si="58"/>
        <v>4.2566830032893082</v>
      </c>
      <c r="AH366" s="118">
        <f t="shared" si="58"/>
        <v>4.2683945259892786</v>
      </c>
      <c r="AI366" s="118">
        <f t="shared" si="58"/>
        <v>4.280142531784267</v>
      </c>
      <c r="AJ366" s="118">
        <f t="shared" si="58"/>
        <v>4.280142531784267</v>
      </c>
      <c r="AK366" s="118">
        <f t="shared" si="58"/>
        <v>4.280142531784267</v>
      </c>
      <c r="AL366" s="118">
        <f t="shared" si="58"/>
        <v>4.280142531784267</v>
      </c>
      <c r="AM366" s="118">
        <f t="shared" si="58"/>
        <v>4.280142531784267</v>
      </c>
      <c r="AN366" s="118">
        <f t="shared" si="58"/>
        <v>4.280142531784267</v>
      </c>
      <c r="AO366" s="118">
        <f t="shared" si="5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5">
      <c r="A367" s="102"/>
      <c r="B367" s="102" t="s">
        <v>231</v>
      </c>
      <c r="C367" s="101">
        <f>Aviation_mask</f>
        <v>0</v>
      </c>
      <c r="D367" s="118">
        <v>0</v>
      </c>
      <c r="E367" s="118">
        <v>0</v>
      </c>
      <c r="F367" s="118">
        <v>0</v>
      </c>
      <c r="G367" s="118">
        <v>0</v>
      </c>
      <c r="H367" s="118">
        <v>0</v>
      </c>
      <c r="I367" s="118">
        <v>0</v>
      </c>
      <c r="J367" s="118">
        <f t="shared" ref="J367:AO367" si="59">Stroke_values_aviation_1dB_in</f>
        <v>7.1263148664203326</v>
      </c>
      <c r="K367" s="118">
        <f t="shared" si="59"/>
        <v>7.1610288989719528</v>
      </c>
      <c r="L367" s="118">
        <f t="shared" si="59"/>
        <v>7.195934901559851</v>
      </c>
      <c r="M367" s="118">
        <f t="shared" si="59"/>
        <v>7.2310340835267581</v>
      </c>
      <c r="N367" s="118">
        <f t="shared" si="59"/>
        <v>7.2663276627694664</v>
      </c>
      <c r="O367" s="118">
        <f t="shared" si="59"/>
        <v>7.3018168658058276</v>
      </c>
      <c r="P367" s="118">
        <f t="shared" si="59"/>
        <v>7.337502927840263</v>
      </c>
      <c r="Q367" s="118">
        <f t="shared" si="59"/>
        <v>7.3733870928321545</v>
      </c>
      <c r="R367" s="118">
        <f t="shared" si="59"/>
        <v>7.4094706135634203</v>
      </c>
      <c r="S367" s="118">
        <f t="shared" si="59"/>
        <v>7.445754751707093</v>
      </c>
      <c r="T367" s="118">
        <f t="shared" si="59"/>
        <v>7.4822407778957594</v>
      </c>
      <c r="U367" s="118">
        <f t="shared" si="59"/>
        <v>7.5189299717920806</v>
      </c>
      <c r="V367" s="118">
        <f t="shared" si="59"/>
        <v>7.555823622158071</v>
      </c>
      <c r="W367" s="118">
        <f t="shared" si="59"/>
        <v>7.5929230269267256</v>
      </c>
      <c r="X367" s="118">
        <f t="shared" si="59"/>
        <v>7.6302294932722488</v>
      </c>
      <c r="Y367" s="118">
        <f t="shared" si="59"/>
        <v>7.6677443376833079</v>
      </c>
      <c r="Z367" s="118">
        <f t="shared" si="59"/>
        <v>7.7054688860343816</v>
      </c>
      <c r="AA367" s="118">
        <f t="shared" si="59"/>
        <v>7.7434044736596332</v>
      </c>
      <c r="AB367" s="118">
        <f t="shared" si="59"/>
        <v>7.7815524454260858</v>
      </c>
      <c r="AC367" s="118">
        <f t="shared" si="59"/>
        <v>7.8199141558089842</v>
      </c>
      <c r="AD367" s="118">
        <f t="shared" si="59"/>
        <v>7.8584909689648912</v>
      </c>
      <c r="AE367" s="118">
        <f t="shared" si="59"/>
        <v>7.8972842588094281</v>
      </c>
      <c r="AF367" s="118">
        <f t="shared" si="59"/>
        <v>7.9362954090921827</v>
      </c>
      <c r="AG367" s="118">
        <f t="shared" si="59"/>
        <v>7.975525813473495</v>
      </c>
      <c r="AH367" s="118">
        <f t="shared" si="59"/>
        <v>8.0149768756030237</v>
      </c>
      <c r="AI367" s="118">
        <f t="shared" si="59"/>
        <v>8.0546500091962017</v>
      </c>
      <c r="AJ367" s="118">
        <f t="shared" si="59"/>
        <v>8.0546500091962017</v>
      </c>
      <c r="AK367" s="118">
        <f t="shared" si="59"/>
        <v>8.0546500091962017</v>
      </c>
      <c r="AL367" s="118">
        <f t="shared" si="59"/>
        <v>8.0546500091962017</v>
      </c>
      <c r="AM367" s="118">
        <f t="shared" si="59"/>
        <v>8.0546500091962017</v>
      </c>
      <c r="AN367" s="118">
        <f t="shared" si="59"/>
        <v>8.0546500091962017</v>
      </c>
      <c r="AO367" s="118">
        <f t="shared" si="5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5">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5">
      <c r="A369" s="102"/>
      <c r="B369" s="151" t="s">
        <v>141</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5">
      <c r="A370" s="102"/>
      <c r="B370" s="151"/>
      <c r="C370" s="102"/>
      <c r="D370" s="12" t="s">
        <v>95</v>
      </c>
      <c r="E370" s="13" t="s">
        <v>96</v>
      </c>
      <c r="F370" s="97" t="s">
        <v>97</v>
      </c>
      <c r="G370" s="97" t="s">
        <v>98</v>
      </c>
      <c r="H370" s="97" t="s">
        <v>99</v>
      </c>
      <c r="I370" s="97" t="s">
        <v>100</v>
      </c>
      <c r="J370" s="97" t="s">
        <v>101</v>
      </c>
      <c r="K370" s="97" t="s">
        <v>102</v>
      </c>
      <c r="L370" s="97" t="s">
        <v>103</v>
      </c>
      <c r="M370" s="97" t="s">
        <v>104</v>
      </c>
      <c r="N370" s="97" t="s">
        <v>105</v>
      </c>
      <c r="O370" s="97" t="s">
        <v>106</v>
      </c>
      <c r="P370" s="97" t="s">
        <v>107</v>
      </c>
      <c r="Q370" s="97" t="s">
        <v>108</v>
      </c>
      <c r="R370" s="97" t="s">
        <v>109</v>
      </c>
      <c r="S370" s="97" t="s">
        <v>110</v>
      </c>
      <c r="T370" s="97" t="s">
        <v>111</v>
      </c>
      <c r="U370" s="97" t="s">
        <v>112</v>
      </c>
      <c r="V370" s="97" t="s">
        <v>113</v>
      </c>
      <c r="W370" s="97" t="s">
        <v>114</v>
      </c>
      <c r="X370" s="97" t="s">
        <v>115</v>
      </c>
      <c r="Y370" s="97" t="s">
        <v>116</v>
      </c>
      <c r="Z370" s="97" t="s">
        <v>117</v>
      </c>
      <c r="AA370" s="97" t="s">
        <v>118</v>
      </c>
      <c r="AB370" s="97" t="s">
        <v>119</v>
      </c>
      <c r="AC370" s="97" t="s">
        <v>120</v>
      </c>
      <c r="AD370" s="97" t="s">
        <v>121</v>
      </c>
      <c r="AE370" s="97" t="s">
        <v>122</v>
      </c>
      <c r="AF370" s="97" t="s">
        <v>123</v>
      </c>
      <c r="AG370" s="97" t="s">
        <v>124</v>
      </c>
      <c r="AH370" s="97" t="s">
        <v>125</v>
      </c>
      <c r="AI370" s="97" t="s">
        <v>126</v>
      </c>
      <c r="AJ370" s="97" t="s">
        <v>127</v>
      </c>
      <c r="AK370" s="97" t="s">
        <v>128</v>
      </c>
      <c r="AL370" s="97" t="s">
        <v>129</v>
      </c>
      <c r="AM370" s="97" t="s">
        <v>130</v>
      </c>
      <c r="AN370" s="97" t="s">
        <v>131</v>
      </c>
      <c r="AO370" s="97" t="s">
        <v>132</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5">
      <c r="A371" s="102"/>
      <c r="B371" s="102" t="s">
        <v>228</v>
      </c>
      <c r="C371" s="102"/>
      <c r="D371" s="118">
        <v>0</v>
      </c>
      <c r="E371" s="118">
        <v>0</v>
      </c>
      <c r="F371" s="118">
        <v>0</v>
      </c>
      <c r="G371" s="118">
        <v>0</v>
      </c>
      <c r="H371" s="118">
        <v>0</v>
      </c>
      <c r="I371" s="118">
        <v>0</v>
      </c>
      <c r="J371" s="118">
        <f t="shared" ref="J371:AO371" si="60">Stroke_values_road_1dB*Road_mask +Stroke_values_rail_1dB*Rail_mask +Stroke_values_aviation_1dB*Aviation_mask</f>
        <v>3.6966232872828853</v>
      </c>
      <c r="K371" s="118">
        <f t="shared" si="60"/>
        <v>3.7059084926663091</v>
      </c>
      <c r="L371" s="118">
        <f t="shared" si="60"/>
        <v>3.7152200717650747</v>
      </c>
      <c r="M371" s="118">
        <f t="shared" si="60"/>
        <v>3.7245581095958702</v>
      </c>
      <c r="N371" s="118">
        <f t="shared" si="60"/>
        <v>3.7339226914821468</v>
      </c>
      <c r="O371" s="118">
        <f t="shared" si="60"/>
        <v>3.7433139030555496</v>
      </c>
      <c r="P371" s="118">
        <f t="shared" si="60"/>
        <v>3.7527318302572561</v>
      </c>
      <c r="Q371" s="118">
        <f t="shared" si="60"/>
        <v>3.7621765593386578</v>
      </c>
      <c r="R371" s="118">
        <f t="shared" si="60"/>
        <v>3.7716481768632457</v>
      </c>
      <c r="S371" s="118">
        <f t="shared" si="60"/>
        <v>3.7811467697074548</v>
      </c>
      <c r="T371" s="118">
        <f t="shared" si="60"/>
        <v>3.790672425061917</v>
      </c>
      <c r="U371" s="118">
        <f t="shared" si="60"/>
        <v>3.8002252304329378</v>
      </c>
      <c r="V371" s="118">
        <f t="shared" si="60"/>
        <v>3.8098052736433208</v>
      </c>
      <c r="W371" s="118">
        <f t="shared" si="60"/>
        <v>3.8194126428341</v>
      </c>
      <c r="X371" s="118">
        <f t="shared" si="60"/>
        <v>3.8290474264657495</v>
      </c>
      <c r="Y371" s="118">
        <f t="shared" si="60"/>
        <v>3.8387097133186954</v>
      </c>
      <c r="Z371" s="118">
        <f t="shared" si="60"/>
        <v>3.8483995924958747</v>
      </c>
      <c r="AA371" s="118">
        <f t="shared" si="60"/>
        <v>3.8581171534224881</v>
      </c>
      <c r="AB371" s="118">
        <f t="shared" si="60"/>
        <v>3.8678624858490669</v>
      </c>
      <c r="AC371" s="118">
        <f t="shared" si="60"/>
        <v>3.8776356798510596</v>
      </c>
      <c r="AD371" s="118">
        <f t="shared" si="60"/>
        <v>3.8874368258309455</v>
      </c>
      <c r="AE371" s="118">
        <f t="shared" si="60"/>
        <v>3.8972660145196683</v>
      </c>
      <c r="AF371" s="118">
        <f t="shared" si="60"/>
        <v>3.9071233369776239</v>
      </c>
      <c r="AG371" s="118">
        <f t="shared" si="60"/>
        <v>3.9170088845959476</v>
      </c>
      <c r="AH371" s="118">
        <f t="shared" si="60"/>
        <v>3.9269227490981304</v>
      </c>
      <c r="AI371" s="118">
        <f t="shared" si="60"/>
        <v>3.9368650225405579</v>
      </c>
      <c r="AJ371" s="118">
        <f t="shared" si="60"/>
        <v>3.9368650225405579</v>
      </c>
      <c r="AK371" s="118">
        <f t="shared" si="60"/>
        <v>3.9368650225405579</v>
      </c>
      <c r="AL371" s="118">
        <f t="shared" si="60"/>
        <v>3.9368650225405579</v>
      </c>
      <c r="AM371" s="118">
        <f t="shared" si="60"/>
        <v>3.9368650225405579</v>
      </c>
      <c r="AN371" s="118">
        <f t="shared" si="60"/>
        <v>3.9368650225405579</v>
      </c>
      <c r="AO371" s="118">
        <f t="shared" si="6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5">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5">
      <c r="A373" s="17"/>
      <c r="B373" s="114"/>
      <c r="C373" s="49" t="s">
        <v>94</v>
      </c>
      <c r="D373" s="70" t="s">
        <v>95</v>
      </c>
      <c r="E373" s="108" t="s">
        <v>96</v>
      </c>
      <c r="F373" s="108" t="s">
        <v>97</v>
      </c>
      <c r="G373" s="108" t="s">
        <v>98</v>
      </c>
      <c r="H373" s="108" t="s">
        <v>99</v>
      </c>
      <c r="I373" s="108" t="s">
        <v>100</v>
      </c>
      <c r="J373" s="108" t="s">
        <v>101</v>
      </c>
      <c r="K373" s="108" t="s">
        <v>102</v>
      </c>
      <c r="L373" s="108" t="s">
        <v>103</v>
      </c>
      <c r="M373" s="108" t="s">
        <v>104</v>
      </c>
      <c r="N373" s="108" t="s">
        <v>105</v>
      </c>
      <c r="O373" s="108" t="s">
        <v>106</v>
      </c>
      <c r="P373" s="108" t="s">
        <v>107</v>
      </c>
      <c r="Q373" s="108" t="s">
        <v>108</v>
      </c>
      <c r="R373" s="108" t="s">
        <v>109</v>
      </c>
      <c r="S373" s="108" t="s">
        <v>110</v>
      </c>
      <c r="T373" s="108" t="s">
        <v>111</v>
      </c>
      <c r="U373" s="108" t="s">
        <v>112</v>
      </c>
      <c r="V373" s="108" t="s">
        <v>113</v>
      </c>
      <c r="W373" s="108" t="s">
        <v>114</v>
      </c>
      <c r="X373" s="108" t="s">
        <v>115</v>
      </c>
      <c r="Y373" s="108" t="s">
        <v>116</v>
      </c>
      <c r="Z373" s="108" t="s">
        <v>117</v>
      </c>
      <c r="AA373" s="108" t="s">
        <v>118</v>
      </c>
      <c r="AB373" s="108" t="s">
        <v>119</v>
      </c>
      <c r="AC373" s="108" t="s">
        <v>120</v>
      </c>
      <c r="AD373" s="108" t="s">
        <v>121</v>
      </c>
      <c r="AE373" s="108" t="s">
        <v>122</v>
      </c>
      <c r="AF373" s="108" t="s">
        <v>123</v>
      </c>
      <c r="AG373" s="108" t="s">
        <v>124</v>
      </c>
      <c r="AH373" s="108" t="s">
        <v>125</v>
      </c>
      <c r="AI373" s="108" t="s">
        <v>126</v>
      </c>
      <c r="AJ373" s="108" t="s">
        <v>127</v>
      </c>
      <c r="AK373" s="108" t="s">
        <v>128</v>
      </c>
      <c r="AL373" s="108" t="s">
        <v>129</v>
      </c>
      <c r="AM373" s="108" t="s">
        <v>130</v>
      </c>
      <c r="AN373" s="108" t="s">
        <v>131</v>
      </c>
      <c r="AO373" s="108" t="s">
        <v>132</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133</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1.8483116436414426</v>
      </c>
      <c r="AX374" s="17">
        <f t="shared" si="62"/>
        <v>3.7012658899745974</v>
      </c>
      <c r="AY374" s="17">
        <f t="shared" si="62"/>
        <v>3.7105642822156919</v>
      </c>
      <c r="AZ374" s="17">
        <f t="shared" si="62"/>
        <v>3.7198890906804722</v>
      </c>
      <c r="BA374" s="17">
        <f t="shared" si="62"/>
        <v>3.7292404005390085</v>
      </c>
      <c r="BB374" s="17">
        <f t="shared" si="62"/>
        <v>3.7386182972688484</v>
      </c>
      <c r="BC374" s="17">
        <f t="shared" si="62"/>
        <v>3.7480228666564028</v>
      </c>
      <c r="BD374" s="17">
        <f t="shared" si="62"/>
        <v>3.7574541947979569</v>
      </c>
      <c r="BE374" s="17">
        <f t="shared" si="62"/>
        <v>3.766912368100952</v>
      </c>
      <c r="BF374" s="17">
        <f t="shared" si="62"/>
        <v>3.7763974732853502</v>
      </c>
      <c r="BG374" s="17">
        <f t="shared" si="62"/>
        <v>3.7859095973846859</v>
      </c>
      <c r="BH374" s="17">
        <f t="shared" si="62"/>
        <v>3.7954488277474274</v>
      </c>
      <c r="BI374" s="17">
        <f t="shared" si="62"/>
        <v>3.8050152520381291</v>
      </c>
      <c r="BJ374" s="17">
        <f t="shared" si="62"/>
        <v>3.8146089582387104</v>
      </c>
      <c r="BK374" s="17">
        <f t="shared" si="62"/>
        <v>3.8242300346499247</v>
      </c>
      <c r="BL374" s="17">
        <f t="shared" si="62"/>
        <v>3.8338785698922226</v>
      </c>
      <c r="BM374" s="17">
        <f t="shared" si="62"/>
        <v>3.8435546529072848</v>
      </c>
      <c r="BN374" s="17">
        <f t="shared" si="62"/>
        <v>3.8532583729591812</v>
      </c>
      <c r="BO374" s="17">
        <f t="shared" si="62"/>
        <v>3.8629898196357777</v>
      </c>
      <c r="BP374" s="17">
        <f t="shared" si="62"/>
        <v>3.8727490828500635</v>
      </c>
      <c r="BQ374" s="17">
        <f t="shared" si="62"/>
        <v>3.8825362528410023</v>
      </c>
      <c r="BR374" s="17">
        <f t="shared" si="62"/>
        <v>3.8923514201753067</v>
      </c>
      <c r="BS374" s="17">
        <f t="shared" si="62"/>
        <v>3.9021946757486461</v>
      </c>
      <c r="BT374" s="17">
        <f t="shared" si="62"/>
        <v>3.9120661107867858</v>
      </c>
      <c r="BU374" s="17">
        <f t="shared" si="62"/>
        <v>3.921965816847039</v>
      </c>
      <c r="BV374" s="17">
        <f t="shared" si="62"/>
        <v>3.9318938858193442</v>
      </c>
      <c r="BW374" s="17">
        <f t="shared" si="62"/>
        <v>3.9368650225405579</v>
      </c>
      <c r="BX374" s="17">
        <f t="shared" si="62"/>
        <v>3.9368650225405579</v>
      </c>
      <c r="BY374" s="17">
        <f t="shared" si="62"/>
        <v>3.9368650225405579</v>
      </c>
      <c r="BZ374" s="17">
        <f t="shared" si="62"/>
        <v>3.9368650225405579</v>
      </c>
      <c r="CA374" s="17">
        <f t="shared" si="62"/>
        <v>3.9368650225405579</v>
      </c>
      <c r="CB374" s="17">
        <f t="shared" si="62"/>
        <v>3.9368650225405579</v>
      </c>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8" t="s">
        <v>95</v>
      </c>
      <c r="C375" s="125"/>
      <c r="D375" s="134">
        <f>IF(D$373=$B375,0,IF(D$373&gt;$B375,-0.5*D$371-0.5*C$371+C375,0.5*HLOOKUP($B375,$D$370:$AO$371,2,FALSE)+0.5*HLOOKUP($B374,$D$370:$AO$371,2,FALSE)+D374))</f>
        <v>0</v>
      </c>
      <c r="E375" s="134">
        <f t="shared" ref="E375:AO375" si="63">IF(E$373=$B375,0,IF(E$373&gt;$B375,-0.5*E$371-0.5*D$371+D375,0.5*HLOOKUP($B375,$D$370:$AO$371,2,FALSE)+0.5*HLOOKUP($B374,$D$370:$AO$371,2,FALSE)+E374))</f>
        <v>0</v>
      </c>
      <c r="F375" s="134">
        <f t="shared" si="63"/>
        <v>0</v>
      </c>
      <c r="G375" s="134">
        <f t="shared" si="63"/>
        <v>0</v>
      </c>
      <c r="H375" s="134">
        <f t="shared" si="63"/>
        <v>0</v>
      </c>
      <c r="I375" s="134">
        <f t="shared" si="63"/>
        <v>0</v>
      </c>
      <c r="J375" s="134">
        <f t="shared" si="63"/>
        <v>-1.8483116436414426</v>
      </c>
      <c r="K375" s="134">
        <f t="shared" si="63"/>
        <v>-5.5495775336160396</v>
      </c>
      <c r="L375" s="134">
        <f t="shared" si="63"/>
        <v>-9.2601418158317319</v>
      </c>
      <c r="M375" s="134">
        <f t="shared" si="63"/>
        <v>-12.980030906512205</v>
      </c>
      <c r="N375" s="134">
        <f t="shared" si="63"/>
        <v>-16.709271307051214</v>
      </c>
      <c r="O375" s="134">
        <f t="shared" si="63"/>
        <v>-20.447889604320061</v>
      </c>
      <c r="P375" s="134">
        <f t="shared" si="63"/>
        <v>-24.195912470976463</v>
      </c>
      <c r="Q375" s="134">
        <f t="shared" si="63"/>
        <v>-27.953366665774421</v>
      </c>
      <c r="R375" s="134">
        <f t="shared" si="63"/>
        <v>-31.720279033875372</v>
      </c>
      <c r="S375" s="134">
        <f t="shared" si="63"/>
        <v>-35.496676507160721</v>
      </c>
      <c r="T375" s="134">
        <f t="shared" si="63"/>
        <v>-39.282586104545409</v>
      </c>
      <c r="U375" s="134">
        <f t="shared" si="63"/>
        <v>-43.078034932292837</v>
      </c>
      <c r="V375" s="134">
        <f t="shared" si="63"/>
        <v>-46.883050184330969</v>
      </c>
      <c r="W375" s="134">
        <f t="shared" si="63"/>
        <v>-50.697659142569677</v>
      </c>
      <c r="X375" s="134">
        <f t="shared" si="63"/>
        <v>-54.521889177219599</v>
      </c>
      <c r="Y375" s="134">
        <f t="shared" si="63"/>
        <v>-58.35576774711182</v>
      </c>
      <c r="Z375" s="134">
        <f t="shared" si="63"/>
        <v>-62.199322400019106</v>
      </c>
      <c r="AA375" s="134">
        <f t="shared" si="63"/>
        <v>-66.052580772978288</v>
      </c>
      <c r="AB375" s="134">
        <f t="shared" si="63"/>
        <v>-69.91557059261406</v>
      </c>
      <c r="AC375" s="134">
        <f t="shared" si="63"/>
        <v>-73.788319675464123</v>
      </c>
      <c r="AD375" s="134">
        <f t="shared" si="63"/>
        <v>-77.67085592830513</v>
      </c>
      <c r="AE375" s="134">
        <f t="shared" si="63"/>
        <v>-81.563207348480432</v>
      </c>
      <c r="AF375" s="134">
        <f t="shared" si="63"/>
        <v>-85.465402024229078</v>
      </c>
      <c r="AG375" s="134">
        <f t="shared" si="63"/>
        <v>-89.37746813501586</v>
      </c>
      <c r="AH375" s="134">
        <f t="shared" si="63"/>
        <v>-93.299433951862895</v>
      </c>
      <c r="AI375" s="134">
        <f t="shared" si="63"/>
        <v>-97.231327837682244</v>
      </c>
      <c r="AJ375" s="134">
        <f t="shared" si="63"/>
        <v>-101.1681928602228</v>
      </c>
      <c r="AK375" s="134">
        <f t="shared" si="63"/>
        <v>-105.10505788276336</v>
      </c>
      <c r="AL375" s="134">
        <f t="shared" si="63"/>
        <v>-109.04192290530392</v>
      </c>
      <c r="AM375" s="134">
        <f t="shared" si="63"/>
        <v>-112.97878792784448</v>
      </c>
      <c r="AN375" s="134">
        <f t="shared" si="63"/>
        <v>-116.91565295038504</v>
      </c>
      <c r="AO375" s="134">
        <f t="shared" si="63"/>
        <v>-120.8525179729256</v>
      </c>
      <c r="AQ375" s="17">
        <f>SUM($AQ374:AQ374)</f>
        <v>0</v>
      </c>
      <c r="AR375" s="17">
        <f>SUM($AQ374:AR374)</f>
        <v>0</v>
      </c>
      <c r="AS375" s="17">
        <f>SUM($AQ374:AS374)</f>
        <v>0</v>
      </c>
      <c r="AT375" s="17">
        <f>SUM($AQ374:AT374)</f>
        <v>0</v>
      </c>
      <c r="AU375" s="17">
        <f>SUM($AQ374:AU374)</f>
        <v>0</v>
      </c>
      <c r="AV375" s="17">
        <f>SUM($AQ374:AV374)</f>
        <v>0</v>
      </c>
      <c r="AW375" s="17">
        <f>SUM($AQ374:AW374)</f>
        <v>1.8483116436414426</v>
      </c>
      <c r="AX375" s="17">
        <f>SUM($AQ374:AX374)</f>
        <v>5.5495775336160396</v>
      </c>
      <c r="AY375" s="17">
        <f>SUM($AQ374:AY374)</f>
        <v>9.2601418158317319</v>
      </c>
      <c r="AZ375" s="17">
        <f>SUM($AQ374:AZ374)</f>
        <v>12.980030906512205</v>
      </c>
      <c r="BA375" s="17">
        <f>SUM($AQ374:BA374)</f>
        <v>16.709271307051214</v>
      </c>
      <c r="BB375" s="17">
        <f>SUM($AQ374:BB374)</f>
        <v>20.447889604320061</v>
      </c>
      <c r="BC375" s="17">
        <f>SUM($AQ374:BC374)</f>
        <v>24.195912470976463</v>
      </c>
      <c r="BD375" s="17">
        <f>SUM($AQ374:BD374)</f>
        <v>27.953366665774421</v>
      </c>
      <c r="BE375" s="17">
        <f>SUM($AQ374:BE374)</f>
        <v>31.720279033875372</v>
      </c>
      <c r="BF375" s="17">
        <f>SUM($AQ374:BF374)</f>
        <v>35.496676507160721</v>
      </c>
      <c r="BG375" s="17">
        <f>SUM($AQ374:BG374)</f>
        <v>39.282586104545409</v>
      </c>
      <c r="BH375" s="17">
        <f>SUM($AQ374:BH374)</f>
        <v>43.078034932292837</v>
      </c>
      <c r="BI375" s="17">
        <f>SUM($AQ374:BI374)</f>
        <v>46.883050184330969</v>
      </c>
      <c r="BJ375" s="17">
        <f>SUM($AQ374:BJ374)</f>
        <v>50.697659142569677</v>
      </c>
      <c r="BK375" s="17">
        <f>SUM($AQ374:BK374)</f>
        <v>54.521889177219599</v>
      </c>
      <c r="BL375" s="17">
        <f>SUM($AQ374:BL374)</f>
        <v>58.35576774711182</v>
      </c>
      <c r="BM375" s="17">
        <f>SUM($AQ374:BM374)</f>
        <v>62.199322400019106</v>
      </c>
      <c r="BN375" s="17">
        <f>SUM($AQ374:BN374)</f>
        <v>66.052580772978288</v>
      </c>
      <c r="BO375" s="17">
        <f>SUM($AQ374:BO374)</f>
        <v>69.91557059261406</v>
      </c>
      <c r="BP375" s="17">
        <f>SUM($AQ374:BP374)</f>
        <v>73.788319675464123</v>
      </c>
      <c r="BQ375" s="17">
        <f>SUM($AQ374:BQ374)</f>
        <v>77.67085592830513</v>
      </c>
      <c r="BR375" s="17">
        <f>SUM($AQ374:BR374)</f>
        <v>81.563207348480432</v>
      </c>
      <c r="BS375" s="17">
        <f>SUM($AQ374:BS374)</f>
        <v>85.465402024229078</v>
      </c>
      <c r="BT375" s="17">
        <f>SUM($AQ374:BT374)</f>
        <v>89.37746813501586</v>
      </c>
      <c r="BU375" s="17">
        <f>SUM($AQ374:BU374)</f>
        <v>93.299433951862895</v>
      </c>
      <c r="BV375" s="17">
        <f>SUM($AQ374:BV374)</f>
        <v>97.231327837682244</v>
      </c>
      <c r="BW375" s="17">
        <f>SUM($AQ374:BW374)</f>
        <v>101.1681928602228</v>
      </c>
      <c r="BX375" s="17">
        <f>SUM($AQ374:BX374)</f>
        <v>105.10505788276336</v>
      </c>
      <c r="BY375" s="17">
        <f>SUM($AQ374:BY374)</f>
        <v>109.04192290530392</v>
      </c>
      <c r="BZ375" s="17">
        <f>SUM($AQ374:BZ374)</f>
        <v>112.97878792784448</v>
      </c>
      <c r="CA375" s="17">
        <f>SUM($AQ374:CA374)</f>
        <v>116.91565295038504</v>
      </c>
      <c r="CB375" s="17">
        <f>SUM($AQ374:CB374)</f>
        <v>120.8525179729256</v>
      </c>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2" t="s">
        <v>96</v>
      </c>
      <c r="C376" s="135"/>
      <c r="D376" s="134">
        <f t="shared" ref="D376:AO381" si="64">IF(D$373=$B376,0,IF(D$373&gt;$B376,-0.5*D$371-0.5*C$371+C376,0.5*HLOOKUP($B376,$D$370:$AO$371,2,FALSE)+0.5*HLOOKUP($B375,$D$370:$AO$371,2,FALSE)+D375))</f>
        <v>0</v>
      </c>
      <c r="E376" s="134">
        <f t="shared" si="64"/>
        <v>0</v>
      </c>
      <c r="F376" s="134">
        <f t="shared" si="64"/>
        <v>0</v>
      </c>
      <c r="G376" s="134">
        <f t="shared" si="64"/>
        <v>0</v>
      </c>
      <c r="H376" s="134">
        <f t="shared" si="64"/>
        <v>0</v>
      </c>
      <c r="I376" s="134">
        <f t="shared" si="64"/>
        <v>0</v>
      </c>
      <c r="J376" s="134">
        <f t="shared" si="64"/>
        <v>-1.8483116436414426</v>
      </c>
      <c r="K376" s="134">
        <f t="shared" si="64"/>
        <v>-5.5495775336160396</v>
      </c>
      <c r="L376" s="134">
        <f t="shared" si="64"/>
        <v>-9.2601418158317319</v>
      </c>
      <c r="M376" s="134">
        <f t="shared" si="64"/>
        <v>-12.980030906512205</v>
      </c>
      <c r="N376" s="134">
        <f t="shared" si="64"/>
        <v>-16.709271307051214</v>
      </c>
      <c r="O376" s="134">
        <f t="shared" si="64"/>
        <v>-20.447889604320061</v>
      </c>
      <c r="P376" s="134">
        <f t="shared" si="64"/>
        <v>-24.195912470976463</v>
      </c>
      <c r="Q376" s="134">
        <f t="shared" si="64"/>
        <v>-27.953366665774421</v>
      </c>
      <c r="R376" s="134">
        <f t="shared" si="64"/>
        <v>-31.720279033875372</v>
      </c>
      <c r="S376" s="134">
        <f t="shared" si="64"/>
        <v>-35.496676507160721</v>
      </c>
      <c r="T376" s="134">
        <f t="shared" si="64"/>
        <v>-39.282586104545409</v>
      </c>
      <c r="U376" s="134">
        <f t="shared" si="64"/>
        <v>-43.078034932292837</v>
      </c>
      <c r="V376" s="134">
        <f t="shared" si="64"/>
        <v>-46.883050184330969</v>
      </c>
      <c r="W376" s="134">
        <f t="shared" si="64"/>
        <v>-50.697659142569677</v>
      </c>
      <c r="X376" s="134">
        <f t="shared" si="64"/>
        <v>-54.521889177219599</v>
      </c>
      <c r="Y376" s="134">
        <f t="shared" si="64"/>
        <v>-58.35576774711182</v>
      </c>
      <c r="Z376" s="134">
        <f t="shared" si="64"/>
        <v>-62.199322400019106</v>
      </c>
      <c r="AA376" s="134">
        <f t="shared" si="64"/>
        <v>-66.052580772978288</v>
      </c>
      <c r="AB376" s="134">
        <f t="shared" si="64"/>
        <v>-69.91557059261406</v>
      </c>
      <c r="AC376" s="134">
        <f t="shared" si="64"/>
        <v>-73.788319675464123</v>
      </c>
      <c r="AD376" s="134">
        <f t="shared" si="64"/>
        <v>-77.67085592830513</v>
      </c>
      <c r="AE376" s="134">
        <f t="shared" si="64"/>
        <v>-81.563207348480432</v>
      </c>
      <c r="AF376" s="134">
        <f t="shared" si="64"/>
        <v>-85.465402024229078</v>
      </c>
      <c r="AG376" s="134">
        <f t="shared" si="64"/>
        <v>-89.37746813501586</v>
      </c>
      <c r="AH376" s="134">
        <f t="shared" si="64"/>
        <v>-93.299433951862895</v>
      </c>
      <c r="AI376" s="134">
        <f t="shared" si="64"/>
        <v>-97.231327837682244</v>
      </c>
      <c r="AJ376" s="134">
        <f t="shared" si="64"/>
        <v>-101.1681928602228</v>
      </c>
      <c r="AK376" s="134">
        <f t="shared" si="64"/>
        <v>-105.10505788276336</v>
      </c>
      <c r="AL376" s="134">
        <f t="shared" si="64"/>
        <v>-109.04192290530392</v>
      </c>
      <c r="AM376" s="134">
        <f t="shared" si="64"/>
        <v>-112.97878792784448</v>
      </c>
      <c r="AN376" s="134">
        <f t="shared" si="64"/>
        <v>-116.91565295038504</v>
      </c>
      <c r="AO376" s="134">
        <f t="shared" si="64"/>
        <v>-120.8525179729256</v>
      </c>
      <c r="AP376" s="99">
        <f>COUNTIF(AQ376:CB376,TRUE)</f>
        <v>38</v>
      </c>
      <c r="AQ376" s="98" t="b">
        <f>AQ375=-D375</f>
        <v>1</v>
      </c>
      <c r="AR376" s="98" t="b">
        <f t="shared" ref="AR376" si="65">AR375=-E375</f>
        <v>1</v>
      </c>
      <c r="AS376" s="98" t="b">
        <f>AS375=-F375</f>
        <v>1</v>
      </c>
      <c r="AT376" s="98" t="b">
        <f t="shared" ref="AT376" si="66">AT375=-G375</f>
        <v>1</v>
      </c>
      <c r="AU376" s="98" t="b">
        <f>AU375=-H375</f>
        <v>1</v>
      </c>
      <c r="AV376" s="98" t="b">
        <f t="shared" ref="AV376:CB376" si="67">AV375=-I375</f>
        <v>1</v>
      </c>
      <c r="AW376" s="98" t="b">
        <f t="shared" si="67"/>
        <v>1</v>
      </c>
      <c r="AX376" s="98" t="b">
        <f t="shared" si="67"/>
        <v>1</v>
      </c>
      <c r="AY376" s="98" t="b">
        <f t="shared" si="67"/>
        <v>1</v>
      </c>
      <c r="AZ376" s="98" t="b">
        <f t="shared" si="67"/>
        <v>1</v>
      </c>
      <c r="BA376" s="98" t="b">
        <f t="shared" si="67"/>
        <v>1</v>
      </c>
      <c r="BB376" s="98" t="b">
        <f t="shared" si="67"/>
        <v>1</v>
      </c>
      <c r="BC376" s="98" t="b">
        <f t="shared" si="67"/>
        <v>1</v>
      </c>
      <c r="BD376" s="98" t="b">
        <f t="shared" si="67"/>
        <v>1</v>
      </c>
      <c r="BE376" s="98" t="b">
        <f t="shared" si="67"/>
        <v>1</v>
      </c>
      <c r="BF376" s="98" t="b">
        <f t="shared" si="67"/>
        <v>1</v>
      </c>
      <c r="BG376" s="98" t="b">
        <f t="shared" si="67"/>
        <v>1</v>
      </c>
      <c r="BH376" s="98" t="b">
        <f t="shared" si="67"/>
        <v>1</v>
      </c>
      <c r="BI376" s="98" t="b">
        <f t="shared" si="67"/>
        <v>1</v>
      </c>
      <c r="BJ376" s="98" t="b">
        <f t="shared" si="67"/>
        <v>1</v>
      </c>
      <c r="BK376" s="98" t="b">
        <f t="shared" si="67"/>
        <v>1</v>
      </c>
      <c r="BL376" s="98" t="b">
        <f t="shared" si="67"/>
        <v>1</v>
      </c>
      <c r="BM376" s="98" t="b">
        <f t="shared" si="67"/>
        <v>1</v>
      </c>
      <c r="BN376" s="98" t="b">
        <f t="shared" si="67"/>
        <v>1</v>
      </c>
      <c r="BO376" s="98" t="b">
        <f t="shared" si="67"/>
        <v>1</v>
      </c>
      <c r="BP376" s="98" t="b">
        <f t="shared" si="67"/>
        <v>1</v>
      </c>
      <c r="BQ376" s="98" t="b">
        <f t="shared" si="67"/>
        <v>1</v>
      </c>
      <c r="BR376" s="98" t="b">
        <f t="shared" si="67"/>
        <v>1</v>
      </c>
      <c r="BS376" s="98" t="b">
        <f t="shared" si="67"/>
        <v>1</v>
      </c>
      <c r="BT376" s="98" t="b">
        <f t="shared" si="67"/>
        <v>1</v>
      </c>
      <c r="BU376" s="98" t="b">
        <f t="shared" si="67"/>
        <v>1</v>
      </c>
      <c r="BV376" s="98" t="b">
        <f t="shared" si="67"/>
        <v>1</v>
      </c>
      <c r="BW376" s="98" t="b">
        <f t="shared" si="67"/>
        <v>1</v>
      </c>
      <c r="BX376" s="98" t="b">
        <f t="shared" si="67"/>
        <v>1</v>
      </c>
      <c r="BY376" s="98" t="b">
        <f t="shared" si="67"/>
        <v>1</v>
      </c>
      <c r="BZ376" s="98" t="b">
        <f t="shared" si="67"/>
        <v>1</v>
      </c>
      <c r="CA376" s="98" t="b">
        <f t="shared" si="67"/>
        <v>1</v>
      </c>
      <c r="CB376" s="98"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2" t="s">
        <v>97</v>
      </c>
      <c r="C377" s="135"/>
      <c r="D377" s="134">
        <f t="shared" si="64"/>
        <v>0</v>
      </c>
      <c r="E377" s="134">
        <f t="shared" si="64"/>
        <v>0</v>
      </c>
      <c r="F377" s="134">
        <f t="shared" si="64"/>
        <v>0</v>
      </c>
      <c r="G377" s="134">
        <f t="shared" si="64"/>
        <v>0</v>
      </c>
      <c r="H377" s="134">
        <f t="shared" si="64"/>
        <v>0</v>
      </c>
      <c r="I377" s="134">
        <f t="shared" si="64"/>
        <v>0</v>
      </c>
      <c r="J377" s="134">
        <f t="shared" si="64"/>
        <v>-1.8483116436414426</v>
      </c>
      <c r="K377" s="134">
        <f t="shared" si="64"/>
        <v>-5.5495775336160396</v>
      </c>
      <c r="L377" s="134">
        <f t="shared" si="64"/>
        <v>-9.2601418158317319</v>
      </c>
      <c r="M377" s="134">
        <f t="shared" si="64"/>
        <v>-12.980030906512205</v>
      </c>
      <c r="N377" s="134">
        <f t="shared" si="64"/>
        <v>-16.709271307051214</v>
      </c>
      <c r="O377" s="134">
        <f t="shared" si="64"/>
        <v>-20.447889604320061</v>
      </c>
      <c r="P377" s="134">
        <f t="shared" si="64"/>
        <v>-24.195912470976463</v>
      </c>
      <c r="Q377" s="134">
        <f t="shared" si="64"/>
        <v>-27.953366665774421</v>
      </c>
      <c r="R377" s="134">
        <f t="shared" si="64"/>
        <v>-31.720279033875372</v>
      </c>
      <c r="S377" s="134">
        <f t="shared" si="64"/>
        <v>-35.496676507160721</v>
      </c>
      <c r="T377" s="134">
        <f t="shared" si="64"/>
        <v>-39.282586104545409</v>
      </c>
      <c r="U377" s="134">
        <f t="shared" si="64"/>
        <v>-43.078034932292837</v>
      </c>
      <c r="V377" s="134">
        <f t="shared" si="64"/>
        <v>-46.883050184330969</v>
      </c>
      <c r="W377" s="134">
        <f t="shared" si="64"/>
        <v>-50.697659142569677</v>
      </c>
      <c r="X377" s="134">
        <f t="shared" si="64"/>
        <v>-54.521889177219599</v>
      </c>
      <c r="Y377" s="134">
        <f t="shared" si="64"/>
        <v>-58.35576774711182</v>
      </c>
      <c r="Z377" s="134">
        <f t="shared" si="64"/>
        <v>-62.199322400019106</v>
      </c>
      <c r="AA377" s="134">
        <f t="shared" si="64"/>
        <v>-66.052580772978288</v>
      </c>
      <c r="AB377" s="134">
        <f t="shared" si="64"/>
        <v>-69.91557059261406</v>
      </c>
      <c r="AC377" s="134">
        <f t="shared" si="64"/>
        <v>-73.788319675464123</v>
      </c>
      <c r="AD377" s="134">
        <f t="shared" si="64"/>
        <v>-77.67085592830513</v>
      </c>
      <c r="AE377" s="134">
        <f t="shared" si="64"/>
        <v>-81.563207348480432</v>
      </c>
      <c r="AF377" s="134">
        <f t="shared" si="64"/>
        <v>-85.465402024229078</v>
      </c>
      <c r="AG377" s="134">
        <f t="shared" si="64"/>
        <v>-89.37746813501586</v>
      </c>
      <c r="AH377" s="134">
        <f t="shared" si="64"/>
        <v>-93.299433951862895</v>
      </c>
      <c r="AI377" s="134">
        <f t="shared" si="64"/>
        <v>-97.231327837682244</v>
      </c>
      <c r="AJ377" s="134">
        <f t="shared" si="64"/>
        <v>-101.1681928602228</v>
      </c>
      <c r="AK377" s="134">
        <f t="shared" si="64"/>
        <v>-105.10505788276336</v>
      </c>
      <c r="AL377" s="134">
        <f t="shared" si="64"/>
        <v>-109.04192290530392</v>
      </c>
      <c r="AM377" s="134">
        <f t="shared" si="64"/>
        <v>-112.97878792784448</v>
      </c>
      <c r="AN377" s="134">
        <f t="shared" si="64"/>
        <v>-116.91565295038504</v>
      </c>
      <c r="AO377" s="134">
        <f t="shared" si="64"/>
        <v>-120.8525179729256</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2" t="s">
        <v>98</v>
      </c>
      <c r="C378" s="135"/>
      <c r="D378" s="134">
        <f t="shared" si="64"/>
        <v>0</v>
      </c>
      <c r="E378" s="134">
        <f t="shared" si="64"/>
        <v>0</v>
      </c>
      <c r="F378" s="134">
        <f t="shared" si="64"/>
        <v>0</v>
      </c>
      <c r="G378" s="134">
        <f t="shared" si="64"/>
        <v>0</v>
      </c>
      <c r="H378" s="134">
        <f t="shared" si="64"/>
        <v>0</v>
      </c>
      <c r="I378" s="134">
        <f t="shared" si="64"/>
        <v>0</v>
      </c>
      <c r="J378" s="134">
        <f t="shared" si="64"/>
        <v>-1.8483116436414426</v>
      </c>
      <c r="K378" s="134">
        <f t="shared" si="64"/>
        <v>-5.5495775336160396</v>
      </c>
      <c r="L378" s="134">
        <f t="shared" si="64"/>
        <v>-9.2601418158317319</v>
      </c>
      <c r="M378" s="134">
        <f t="shared" si="64"/>
        <v>-12.980030906512205</v>
      </c>
      <c r="N378" s="134">
        <f t="shared" si="64"/>
        <v>-16.709271307051214</v>
      </c>
      <c r="O378" s="134">
        <f t="shared" si="64"/>
        <v>-20.447889604320061</v>
      </c>
      <c r="P378" s="134">
        <f t="shared" si="64"/>
        <v>-24.195912470976463</v>
      </c>
      <c r="Q378" s="134">
        <f t="shared" si="64"/>
        <v>-27.953366665774421</v>
      </c>
      <c r="R378" s="134">
        <f t="shared" si="64"/>
        <v>-31.720279033875372</v>
      </c>
      <c r="S378" s="134">
        <f t="shared" si="64"/>
        <v>-35.496676507160721</v>
      </c>
      <c r="T378" s="134">
        <f t="shared" si="64"/>
        <v>-39.282586104545409</v>
      </c>
      <c r="U378" s="134">
        <f t="shared" si="64"/>
        <v>-43.078034932292837</v>
      </c>
      <c r="V378" s="134">
        <f t="shared" si="64"/>
        <v>-46.883050184330969</v>
      </c>
      <c r="W378" s="134">
        <f t="shared" si="64"/>
        <v>-50.697659142569677</v>
      </c>
      <c r="X378" s="134">
        <f t="shared" si="64"/>
        <v>-54.521889177219599</v>
      </c>
      <c r="Y378" s="134">
        <f t="shared" si="64"/>
        <v>-58.35576774711182</v>
      </c>
      <c r="Z378" s="134">
        <f t="shared" si="64"/>
        <v>-62.199322400019106</v>
      </c>
      <c r="AA378" s="134">
        <f t="shared" si="64"/>
        <v>-66.052580772978288</v>
      </c>
      <c r="AB378" s="134">
        <f t="shared" si="64"/>
        <v>-69.91557059261406</v>
      </c>
      <c r="AC378" s="134">
        <f t="shared" si="64"/>
        <v>-73.788319675464123</v>
      </c>
      <c r="AD378" s="134">
        <f t="shared" si="64"/>
        <v>-77.67085592830513</v>
      </c>
      <c r="AE378" s="134">
        <f t="shared" si="64"/>
        <v>-81.563207348480432</v>
      </c>
      <c r="AF378" s="134">
        <f t="shared" si="64"/>
        <v>-85.465402024229078</v>
      </c>
      <c r="AG378" s="134">
        <f t="shared" si="64"/>
        <v>-89.37746813501586</v>
      </c>
      <c r="AH378" s="134">
        <f t="shared" si="64"/>
        <v>-93.299433951862895</v>
      </c>
      <c r="AI378" s="134">
        <f t="shared" si="64"/>
        <v>-97.231327837682244</v>
      </c>
      <c r="AJ378" s="134">
        <f t="shared" si="64"/>
        <v>-101.1681928602228</v>
      </c>
      <c r="AK378" s="134">
        <f t="shared" si="64"/>
        <v>-105.10505788276336</v>
      </c>
      <c r="AL378" s="134">
        <f t="shared" si="64"/>
        <v>-109.04192290530392</v>
      </c>
      <c r="AM378" s="134">
        <f t="shared" si="64"/>
        <v>-112.97878792784448</v>
      </c>
      <c r="AN378" s="134">
        <f t="shared" si="64"/>
        <v>-116.91565295038504</v>
      </c>
      <c r="AO378" s="134">
        <f t="shared" si="64"/>
        <v>-120.8525179729256</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2" t="s">
        <v>99</v>
      </c>
      <c r="C379" s="135"/>
      <c r="D379" s="134">
        <f t="shared" si="64"/>
        <v>0</v>
      </c>
      <c r="E379" s="134">
        <f t="shared" si="64"/>
        <v>0</v>
      </c>
      <c r="F379" s="134">
        <f t="shared" si="64"/>
        <v>0</v>
      </c>
      <c r="G379" s="134">
        <f t="shared" si="64"/>
        <v>0</v>
      </c>
      <c r="H379" s="134">
        <f t="shared" si="64"/>
        <v>0</v>
      </c>
      <c r="I379" s="134">
        <f t="shared" si="64"/>
        <v>0</v>
      </c>
      <c r="J379" s="134">
        <f t="shared" si="64"/>
        <v>-1.8483116436414426</v>
      </c>
      <c r="K379" s="134">
        <f t="shared" si="64"/>
        <v>-5.5495775336160396</v>
      </c>
      <c r="L379" s="134">
        <f t="shared" si="64"/>
        <v>-9.2601418158317319</v>
      </c>
      <c r="M379" s="134">
        <f t="shared" si="64"/>
        <v>-12.980030906512205</v>
      </c>
      <c r="N379" s="134">
        <f t="shared" si="64"/>
        <v>-16.709271307051214</v>
      </c>
      <c r="O379" s="134">
        <f t="shared" si="64"/>
        <v>-20.447889604320061</v>
      </c>
      <c r="P379" s="134">
        <f t="shared" si="64"/>
        <v>-24.195912470976463</v>
      </c>
      <c r="Q379" s="134">
        <f t="shared" si="64"/>
        <v>-27.953366665774421</v>
      </c>
      <c r="R379" s="134">
        <f t="shared" si="64"/>
        <v>-31.720279033875372</v>
      </c>
      <c r="S379" s="134">
        <f t="shared" si="64"/>
        <v>-35.496676507160721</v>
      </c>
      <c r="T379" s="134">
        <f t="shared" si="64"/>
        <v>-39.282586104545409</v>
      </c>
      <c r="U379" s="134">
        <f t="shared" si="64"/>
        <v>-43.078034932292837</v>
      </c>
      <c r="V379" s="134">
        <f t="shared" si="64"/>
        <v>-46.883050184330969</v>
      </c>
      <c r="W379" s="134">
        <f t="shared" si="64"/>
        <v>-50.697659142569677</v>
      </c>
      <c r="X379" s="134">
        <f t="shared" si="64"/>
        <v>-54.521889177219599</v>
      </c>
      <c r="Y379" s="134">
        <f t="shared" si="64"/>
        <v>-58.35576774711182</v>
      </c>
      <c r="Z379" s="134">
        <f t="shared" si="64"/>
        <v>-62.199322400019106</v>
      </c>
      <c r="AA379" s="134">
        <f t="shared" si="64"/>
        <v>-66.052580772978288</v>
      </c>
      <c r="AB379" s="134">
        <f t="shared" si="64"/>
        <v>-69.91557059261406</v>
      </c>
      <c r="AC379" s="134">
        <f t="shared" si="64"/>
        <v>-73.788319675464123</v>
      </c>
      <c r="AD379" s="134">
        <f t="shared" si="64"/>
        <v>-77.67085592830513</v>
      </c>
      <c r="AE379" s="134">
        <f t="shared" si="64"/>
        <v>-81.563207348480432</v>
      </c>
      <c r="AF379" s="134">
        <f t="shared" si="64"/>
        <v>-85.465402024229078</v>
      </c>
      <c r="AG379" s="134">
        <f t="shared" si="64"/>
        <v>-89.37746813501586</v>
      </c>
      <c r="AH379" s="134">
        <f t="shared" si="64"/>
        <v>-93.299433951862895</v>
      </c>
      <c r="AI379" s="134">
        <f t="shared" si="64"/>
        <v>-97.231327837682244</v>
      </c>
      <c r="AJ379" s="134">
        <f t="shared" si="64"/>
        <v>-101.1681928602228</v>
      </c>
      <c r="AK379" s="134">
        <f t="shared" si="64"/>
        <v>-105.10505788276336</v>
      </c>
      <c r="AL379" s="134">
        <f t="shared" si="64"/>
        <v>-109.04192290530392</v>
      </c>
      <c r="AM379" s="134">
        <f t="shared" si="64"/>
        <v>-112.97878792784448</v>
      </c>
      <c r="AN379" s="134">
        <f t="shared" si="64"/>
        <v>-116.91565295038504</v>
      </c>
      <c r="AO379" s="134">
        <f t="shared" si="64"/>
        <v>-120.8525179729256</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2" t="s">
        <v>100</v>
      </c>
      <c r="C380" s="135"/>
      <c r="D380" s="134">
        <f t="shared" si="64"/>
        <v>0</v>
      </c>
      <c r="E380" s="134">
        <f t="shared" si="64"/>
        <v>0</v>
      </c>
      <c r="F380" s="134">
        <f t="shared" si="64"/>
        <v>0</v>
      </c>
      <c r="G380" s="134">
        <f t="shared" si="64"/>
        <v>0</v>
      </c>
      <c r="H380" s="134">
        <f t="shared" si="64"/>
        <v>0</v>
      </c>
      <c r="I380" s="134">
        <f t="shared" si="64"/>
        <v>0</v>
      </c>
      <c r="J380" s="134">
        <f t="shared" si="64"/>
        <v>-1.8483116436414426</v>
      </c>
      <c r="K380" s="134">
        <f t="shared" si="64"/>
        <v>-5.5495775336160396</v>
      </c>
      <c r="L380" s="134">
        <f t="shared" si="64"/>
        <v>-9.2601418158317319</v>
      </c>
      <c r="M380" s="134">
        <f t="shared" si="64"/>
        <v>-12.980030906512205</v>
      </c>
      <c r="N380" s="134">
        <f t="shared" si="64"/>
        <v>-16.709271307051214</v>
      </c>
      <c r="O380" s="134">
        <f t="shared" si="64"/>
        <v>-20.447889604320061</v>
      </c>
      <c r="P380" s="134">
        <f t="shared" si="64"/>
        <v>-24.195912470976463</v>
      </c>
      <c r="Q380" s="134">
        <f t="shared" si="64"/>
        <v>-27.953366665774421</v>
      </c>
      <c r="R380" s="134">
        <f t="shared" si="64"/>
        <v>-31.720279033875372</v>
      </c>
      <c r="S380" s="134">
        <f t="shared" si="64"/>
        <v>-35.496676507160721</v>
      </c>
      <c r="T380" s="134">
        <f t="shared" si="64"/>
        <v>-39.282586104545409</v>
      </c>
      <c r="U380" s="134">
        <f t="shared" si="64"/>
        <v>-43.078034932292837</v>
      </c>
      <c r="V380" s="134">
        <f t="shared" si="64"/>
        <v>-46.883050184330969</v>
      </c>
      <c r="W380" s="134">
        <f t="shared" si="64"/>
        <v>-50.697659142569677</v>
      </c>
      <c r="X380" s="134">
        <f t="shared" si="64"/>
        <v>-54.521889177219599</v>
      </c>
      <c r="Y380" s="134">
        <f t="shared" si="64"/>
        <v>-58.35576774711182</v>
      </c>
      <c r="Z380" s="134">
        <f t="shared" si="64"/>
        <v>-62.199322400019106</v>
      </c>
      <c r="AA380" s="134">
        <f t="shared" si="64"/>
        <v>-66.052580772978288</v>
      </c>
      <c r="AB380" s="134">
        <f t="shared" si="64"/>
        <v>-69.91557059261406</v>
      </c>
      <c r="AC380" s="134">
        <f t="shared" si="64"/>
        <v>-73.788319675464123</v>
      </c>
      <c r="AD380" s="134">
        <f t="shared" si="64"/>
        <v>-77.67085592830513</v>
      </c>
      <c r="AE380" s="134">
        <f t="shared" si="64"/>
        <v>-81.563207348480432</v>
      </c>
      <c r="AF380" s="134">
        <f t="shared" si="64"/>
        <v>-85.465402024229078</v>
      </c>
      <c r="AG380" s="134">
        <f t="shared" si="64"/>
        <v>-89.37746813501586</v>
      </c>
      <c r="AH380" s="134">
        <f t="shared" si="64"/>
        <v>-93.299433951862895</v>
      </c>
      <c r="AI380" s="134">
        <f t="shared" si="64"/>
        <v>-97.231327837682244</v>
      </c>
      <c r="AJ380" s="134">
        <f t="shared" si="64"/>
        <v>-101.1681928602228</v>
      </c>
      <c r="AK380" s="134">
        <f t="shared" si="64"/>
        <v>-105.10505788276336</v>
      </c>
      <c r="AL380" s="134">
        <f t="shared" si="64"/>
        <v>-109.04192290530392</v>
      </c>
      <c r="AM380" s="134">
        <f t="shared" si="64"/>
        <v>-112.97878792784448</v>
      </c>
      <c r="AN380" s="134">
        <f t="shared" si="64"/>
        <v>-116.91565295038504</v>
      </c>
      <c r="AO380" s="134">
        <f t="shared" si="64"/>
        <v>-120.8525179729256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2" t="s">
        <v>101</v>
      </c>
      <c r="C381" s="135"/>
      <c r="D381" s="134">
        <f t="shared" si="64"/>
        <v>1.8483116436414426</v>
      </c>
      <c r="E381" s="134">
        <f t="shared" si="64"/>
        <v>1.8483116436414426</v>
      </c>
      <c r="F381" s="134">
        <f t="shared" si="64"/>
        <v>1.8483116436414426</v>
      </c>
      <c r="G381" s="134">
        <f t="shared" si="64"/>
        <v>1.8483116436414426</v>
      </c>
      <c r="H381" s="134">
        <f t="shared" si="64"/>
        <v>1.8483116436414426</v>
      </c>
      <c r="I381" s="134">
        <f t="shared" si="64"/>
        <v>1.8483116436414426</v>
      </c>
      <c r="J381" s="134">
        <f t="shared" si="64"/>
        <v>0</v>
      </c>
      <c r="K381" s="134">
        <f t="shared" si="64"/>
        <v>-3.7012658899745974</v>
      </c>
      <c r="L381" s="134">
        <f t="shared" si="64"/>
        <v>-7.4118301721902888</v>
      </c>
      <c r="M381" s="134">
        <f t="shared" si="64"/>
        <v>-11.13171926287076</v>
      </c>
      <c r="N381" s="134">
        <f t="shared" si="64"/>
        <v>-14.860959663409769</v>
      </c>
      <c r="O381" s="134">
        <f t="shared" si="64"/>
        <v>-18.599577960678616</v>
      </c>
      <c r="P381" s="134">
        <f t="shared" si="64"/>
        <v>-22.347600827335018</v>
      </c>
      <c r="Q381" s="134">
        <f t="shared" si="64"/>
        <v>-26.105055022132976</v>
      </c>
      <c r="R381" s="134">
        <f t="shared" si="64"/>
        <v>-29.871967390233927</v>
      </c>
      <c r="S381" s="134">
        <f t="shared" si="64"/>
        <v>-33.648364863519276</v>
      </c>
      <c r="T381" s="134">
        <f t="shared" si="64"/>
        <v>-37.434274460903964</v>
      </c>
      <c r="U381" s="134">
        <f t="shared" si="64"/>
        <v>-41.229723288651392</v>
      </c>
      <c r="V381" s="134">
        <f t="shared" si="64"/>
        <v>-45.034738540689524</v>
      </c>
      <c r="W381" s="134">
        <f t="shared" si="64"/>
        <v>-48.849347498928232</v>
      </c>
      <c r="X381" s="134">
        <f t="shared" si="64"/>
        <v>-52.673577533578154</v>
      </c>
      <c r="Y381" s="134">
        <f t="shared" si="64"/>
        <v>-56.507456103470375</v>
      </c>
      <c r="Z381" s="134">
        <f t="shared" si="64"/>
        <v>-60.351010756377661</v>
      </c>
      <c r="AA381" s="134">
        <f t="shared" si="64"/>
        <v>-64.204269129336836</v>
      </c>
      <c r="AB381" s="134">
        <f t="shared" si="64"/>
        <v>-68.067258948972608</v>
      </c>
      <c r="AC381" s="134">
        <f t="shared" si="64"/>
        <v>-71.940008031822671</v>
      </c>
      <c r="AD381" s="134">
        <f t="shared" si="64"/>
        <v>-75.822544284663678</v>
      </c>
      <c r="AE381" s="134">
        <f t="shared" si="64"/>
        <v>-79.71489570483898</v>
      </c>
      <c r="AF381" s="134">
        <f t="shared" si="64"/>
        <v>-83.617090380587626</v>
      </c>
      <c r="AG381" s="134">
        <f t="shared" si="64"/>
        <v>-87.529156491374408</v>
      </c>
      <c r="AH381" s="134">
        <f t="shared" si="64"/>
        <v>-91.451122308221443</v>
      </c>
      <c r="AI381" s="134">
        <f t="shared" si="64"/>
        <v>-95.383016194040792</v>
      </c>
      <c r="AJ381" s="134">
        <f t="shared" si="64"/>
        <v>-99.319881216581351</v>
      </c>
      <c r="AK381" s="134">
        <f t="shared" si="64"/>
        <v>-103.25674623912191</v>
      </c>
      <c r="AL381" s="134">
        <f t="shared" si="64"/>
        <v>-107.19361126166247</v>
      </c>
      <c r="AM381" s="134">
        <f t="shared" si="64"/>
        <v>-111.13047628420303</v>
      </c>
      <c r="AN381" s="134">
        <f t="shared" si="64"/>
        <v>-115.06734130674359</v>
      </c>
      <c r="AO381" s="134">
        <f t="shared" si="64"/>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2" t="s">
        <v>102</v>
      </c>
      <c r="C382" s="135"/>
      <c r="D382" s="134">
        <f t="shared" ref="D382:AO382" si="68">IF(D$373=$B382,0,IF(D$373&gt;$B382,-0.5*D$371-0.5*C$371+C382,0.5*HLOOKUP($B382,$D$370:$AO$371,2,FALSE)+0.5*HLOOKUP($B381,$D$370:$AO$371,2,FALSE)+D381))</f>
        <v>5.5495775336160396</v>
      </c>
      <c r="E382" s="134">
        <f t="shared" si="68"/>
        <v>5.5495775336160396</v>
      </c>
      <c r="F382" s="134">
        <f t="shared" si="68"/>
        <v>5.5495775336160396</v>
      </c>
      <c r="G382" s="134">
        <f t="shared" si="68"/>
        <v>5.5495775336160396</v>
      </c>
      <c r="H382" s="134">
        <f t="shared" si="68"/>
        <v>5.5495775336160396</v>
      </c>
      <c r="I382" s="134">
        <f t="shared" si="68"/>
        <v>5.5495775336160396</v>
      </c>
      <c r="J382" s="134">
        <f t="shared" si="68"/>
        <v>3.7012658899745974</v>
      </c>
      <c r="K382" s="134">
        <f t="shared" si="68"/>
        <v>0</v>
      </c>
      <c r="L382" s="134">
        <f t="shared" si="68"/>
        <v>-3.7105642822156919</v>
      </c>
      <c r="M382" s="134">
        <f t="shared" si="68"/>
        <v>-7.4304533728961637</v>
      </c>
      <c r="N382" s="134">
        <f t="shared" si="68"/>
        <v>-11.159693773435173</v>
      </c>
      <c r="O382" s="134">
        <f t="shared" si="68"/>
        <v>-14.898312070704021</v>
      </c>
      <c r="P382" s="134">
        <f t="shared" si="68"/>
        <v>-18.646334937360425</v>
      </c>
      <c r="Q382" s="134">
        <f t="shared" si="68"/>
        <v>-22.403789132158384</v>
      </c>
      <c r="R382" s="134">
        <f t="shared" si="68"/>
        <v>-26.170701500259334</v>
      </c>
      <c r="S382" s="134">
        <f t="shared" si="68"/>
        <v>-29.947098973544684</v>
      </c>
      <c r="T382" s="134">
        <f t="shared" si="68"/>
        <v>-33.733008570929371</v>
      </c>
      <c r="U382" s="134">
        <f t="shared" si="68"/>
        <v>-37.5284573986768</v>
      </c>
      <c r="V382" s="134">
        <f t="shared" si="68"/>
        <v>-41.333472650714931</v>
      </c>
      <c r="W382" s="134">
        <f t="shared" si="68"/>
        <v>-45.148081608953639</v>
      </c>
      <c r="X382" s="134">
        <f t="shared" si="68"/>
        <v>-48.972311643603561</v>
      </c>
      <c r="Y382" s="134">
        <f t="shared" si="68"/>
        <v>-52.806190213495782</v>
      </c>
      <c r="Z382" s="134">
        <f t="shared" si="68"/>
        <v>-56.649744866403068</v>
      </c>
      <c r="AA382" s="134">
        <f t="shared" si="68"/>
        <v>-60.503003239362251</v>
      </c>
      <c r="AB382" s="134">
        <f t="shared" si="68"/>
        <v>-64.365993058998029</v>
      </c>
      <c r="AC382" s="134">
        <f t="shared" si="68"/>
        <v>-68.238742141848093</v>
      </c>
      <c r="AD382" s="134">
        <f t="shared" si="68"/>
        <v>-72.121278394689099</v>
      </c>
      <c r="AE382" s="134">
        <f t="shared" si="68"/>
        <v>-76.013629814864402</v>
      </c>
      <c r="AF382" s="134">
        <f t="shared" si="68"/>
        <v>-79.915824490613048</v>
      </c>
      <c r="AG382" s="134">
        <f t="shared" si="68"/>
        <v>-83.82789060139983</v>
      </c>
      <c r="AH382" s="134">
        <f t="shared" si="68"/>
        <v>-87.749856418246864</v>
      </c>
      <c r="AI382" s="134">
        <f t="shared" si="68"/>
        <v>-91.681750304066213</v>
      </c>
      <c r="AJ382" s="134">
        <f t="shared" si="68"/>
        <v>-95.618615326606772</v>
      </c>
      <c r="AK382" s="134">
        <f t="shared" si="68"/>
        <v>-99.555480349147331</v>
      </c>
      <c r="AL382" s="134">
        <f t="shared" si="68"/>
        <v>-103.49234537168789</v>
      </c>
      <c r="AM382" s="134">
        <f t="shared" si="68"/>
        <v>-107.42921039422845</v>
      </c>
      <c r="AN382" s="134">
        <f t="shared" si="68"/>
        <v>-111.36607541676901</v>
      </c>
      <c r="AO382" s="134">
        <f t="shared" si="6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2"/>
      <c r="B383" s="112" t="s">
        <v>103</v>
      </c>
      <c r="C383" s="135"/>
      <c r="D383" s="134">
        <f t="shared" ref="D383:AO389" si="69">IF(D$373=$B383,0,IF(D$373&gt;$B383,-0.5*D$371-0.5*C$371+C383,0.5*HLOOKUP($B383,$D$370:$AO$371,2,FALSE)+0.5*HLOOKUP($B382,$D$370:$AO$371,2,FALSE)+D382))</f>
        <v>9.2601418158317319</v>
      </c>
      <c r="E383" s="134">
        <f t="shared" si="69"/>
        <v>9.2601418158317319</v>
      </c>
      <c r="F383" s="134">
        <f t="shared" si="69"/>
        <v>9.2601418158317319</v>
      </c>
      <c r="G383" s="134">
        <f t="shared" si="69"/>
        <v>9.2601418158317319</v>
      </c>
      <c r="H383" s="134">
        <f t="shared" si="69"/>
        <v>9.2601418158317319</v>
      </c>
      <c r="I383" s="134">
        <f t="shared" si="69"/>
        <v>9.2601418158317319</v>
      </c>
      <c r="J383" s="134">
        <f t="shared" si="69"/>
        <v>7.4118301721902888</v>
      </c>
      <c r="K383" s="134">
        <f t="shared" si="69"/>
        <v>3.7105642822156919</v>
      </c>
      <c r="L383" s="134">
        <f t="shared" si="69"/>
        <v>0</v>
      </c>
      <c r="M383" s="134">
        <f t="shared" si="69"/>
        <v>-3.7198890906804722</v>
      </c>
      <c r="N383" s="134">
        <f t="shared" si="69"/>
        <v>-7.4491294912194803</v>
      </c>
      <c r="O383" s="134">
        <f t="shared" si="69"/>
        <v>-11.187747788488329</v>
      </c>
      <c r="P383" s="134">
        <f t="shared" si="69"/>
        <v>-14.935770655144731</v>
      </c>
      <c r="Q383" s="134">
        <f t="shared" si="69"/>
        <v>-18.693224849942688</v>
      </c>
      <c r="R383" s="134">
        <f t="shared" si="69"/>
        <v>-22.460137218043641</v>
      </c>
      <c r="S383" s="134">
        <f t="shared" si="69"/>
        <v>-26.236534691328991</v>
      </c>
      <c r="T383" s="134">
        <f t="shared" si="69"/>
        <v>-30.022444288713679</v>
      </c>
      <c r="U383" s="134">
        <f t="shared" si="69"/>
        <v>-33.817893116461107</v>
      </c>
      <c r="V383" s="134">
        <f t="shared" si="69"/>
        <v>-37.622908368499239</v>
      </c>
      <c r="W383" s="134">
        <f t="shared" si="69"/>
        <v>-41.437517326737947</v>
      </c>
      <c r="X383" s="134">
        <f t="shared" si="69"/>
        <v>-45.261747361387869</v>
      </c>
      <c r="Y383" s="134">
        <f t="shared" si="69"/>
        <v>-49.09562593128009</v>
      </c>
      <c r="Z383" s="134">
        <f t="shared" si="69"/>
        <v>-52.939180584187376</v>
      </c>
      <c r="AA383" s="134">
        <f t="shared" si="69"/>
        <v>-56.792438957146558</v>
      </c>
      <c r="AB383" s="134">
        <f t="shared" si="69"/>
        <v>-60.655428776782337</v>
      </c>
      <c r="AC383" s="134">
        <f t="shared" si="69"/>
        <v>-64.528177859632393</v>
      </c>
      <c r="AD383" s="134">
        <f t="shared" si="69"/>
        <v>-68.4107141124734</v>
      </c>
      <c r="AE383" s="134">
        <f t="shared" si="69"/>
        <v>-72.303065532648702</v>
      </c>
      <c r="AF383" s="134">
        <f t="shared" si="69"/>
        <v>-76.205260208397348</v>
      </c>
      <c r="AG383" s="134">
        <f t="shared" si="69"/>
        <v>-80.11732631918413</v>
      </c>
      <c r="AH383" s="134">
        <f t="shared" si="69"/>
        <v>-84.039292136031165</v>
      </c>
      <c r="AI383" s="134">
        <f t="shared" si="69"/>
        <v>-87.971186021850514</v>
      </c>
      <c r="AJ383" s="134">
        <f t="shared" si="69"/>
        <v>-91.908051044391073</v>
      </c>
      <c r="AK383" s="134">
        <f t="shared" si="69"/>
        <v>-95.844916066931631</v>
      </c>
      <c r="AL383" s="134">
        <f t="shared" si="69"/>
        <v>-99.78178108947219</v>
      </c>
      <c r="AM383" s="134">
        <f t="shared" si="69"/>
        <v>-103.71864611201275</v>
      </c>
      <c r="AN383" s="134">
        <f t="shared" si="69"/>
        <v>-107.65551113455331</v>
      </c>
      <c r="AO383" s="134">
        <f t="shared" si="6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5">
      <c r="A384" s="102"/>
      <c r="B384" s="112" t="s">
        <v>104</v>
      </c>
      <c r="C384" s="135"/>
      <c r="D384" s="134">
        <f t="shared" si="69"/>
        <v>12.980030906512205</v>
      </c>
      <c r="E384" s="134">
        <f t="shared" si="69"/>
        <v>12.980030906512205</v>
      </c>
      <c r="F384" s="134">
        <f t="shared" si="69"/>
        <v>12.980030906512205</v>
      </c>
      <c r="G384" s="134">
        <f t="shared" si="69"/>
        <v>12.980030906512205</v>
      </c>
      <c r="H384" s="134">
        <f t="shared" si="69"/>
        <v>12.980030906512205</v>
      </c>
      <c r="I384" s="134">
        <f t="shared" si="69"/>
        <v>12.980030906512205</v>
      </c>
      <c r="J384" s="134">
        <f t="shared" si="69"/>
        <v>11.13171926287076</v>
      </c>
      <c r="K384" s="134">
        <f t="shared" si="69"/>
        <v>7.4304533728961637</v>
      </c>
      <c r="L384" s="134">
        <f t="shared" si="69"/>
        <v>3.7198890906804722</v>
      </c>
      <c r="M384" s="134">
        <f t="shared" si="69"/>
        <v>0</v>
      </c>
      <c r="N384" s="134">
        <f t="shared" si="69"/>
        <v>-3.7292404005390085</v>
      </c>
      <c r="O384" s="134">
        <f t="shared" si="69"/>
        <v>-7.4678586978078574</v>
      </c>
      <c r="P384" s="134">
        <f t="shared" si="69"/>
        <v>-11.21588156446426</v>
      </c>
      <c r="Q384" s="134">
        <f t="shared" si="69"/>
        <v>-14.973335759262216</v>
      </c>
      <c r="R384" s="134">
        <f t="shared" si="69"/>
        <v>-18.740248127363166</v>
      </c>
      <c r="S384" s="134">
        <f t="shared" si="69"/>
        <v>-22.516645600648516</v>
      </c>
      <c r="T384" s="134">
        <f t="shared" si="69"/>
        <v>-26.302555198033204</v>
      </c>
      <c r="U384" s="134">
        <f t="shared" si="69"/>
        <v>-30.098004025780632</v>
      </c>
      <c r="V384" s="134">
        <f t="shared" si="69"/>
        <v>-33.903019277818764</v>
      </c>
      <c r="W384" s="134">
        <f t="shared" si="69"/>
        <v>-37.717628236057472</v>
      </c>
      <c r="X384" s="134">
        <f t="shared" si="69"/>
        <v>-41.541858270707394</v>
      </c>
      <c r="Y384" s="134">
        <f t="shared" si="69"/>
        <v>-45.375736840599615</v>
      </c>
      <c r="Z384" s="134">
        <f t="shared" si="69"/>
        <v>-49.219291493506901</v>
      </c>
      <c r="AA384" s="134">
        <f t="shared" si="69"/>
        <v>-53.072549866466083</v>
      </c>
      <c r="AB384" s="134">
        <f t="shared" si="69"/>
        <v>-56.935539686101862</v>
      </c>
      <c r="AC384" s="134">
        <f t="shared" si="69"/>
        <v>-60.808288768951925</v>
      </c>
      <c r="AD384" s="134">
        <f t="shared" si="69"/>
        <v>-64.690825021792932</v>
      </c>
      <c r="AE384" s="134">
        <f t="shared" si="69"/>
        <v>-68.583176441968234</v>
      </c>
      <c r="AF384" s="134">
        <f t="shared" si="69"/>
        <v>-72.48537111771688</v>
      </c>
      <c r="AG384" s="134">
        <f t="shared" si="69"/>
        <v>-76.397437228503662</v>
      </c>
      <c r="AH384" s="134">
        <f t="shared" si="69"/>
        <v>-80.319403045350697</v>
      </c>
      <c r="AI384" s="134">
        <f t="shared" si="69"/>
        <v>-84.251296931170046</v>
      </c>
      <c r="AJ384" s="134">
        <f t="shared" si="69"/>
        <v>-88.188161953710605</v>
      </c>
      <c r="AK384" s="134">
        <f t="shared" si="69"/>
        <v>-92.125026976251164</v>
      </c>
      <c r="AL384" s="134">
        <f t="shared" si="69"/>
        <v>-96.061891998791722</v>
      </c>
      <c r="AM384" s="134">
        <f t="shared" si="69"/>
        <v>-99.998757021332281</v>
      </c>
      <c r="AN384" s="134">
        <f t="shared" si="69"/>
        <v>-103.93562204387284</v>
      </c>
      <c r="AO384" s="134">
        <f t="shared" si="69"/>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5">
      <c r="A385" s="102"/>
      <c r="B385" s="112" t="s">
        <v>105</v>
      </c>
      <c r="C385" s="135"/>
      <c r="D385" s="134">
        <f t="shared" si="69"/>
        <v>16.709271307051214</v>
      </c>
      <c r="E385" s="134">
        <f t="shared" si="69"/>
        <v>16.709271307051214</v>
      </c>
      <c r="F385" s="134">
        <f t="shared" si="69"/>
        <v>16.709271307051214</v>
      </c>
      <c r="G385" s="134">
        <f t="shared" si="69"/>
        <v>16.709271307051214</v>
      </c>
      <c r="H385" s="134">
        <f t="shared" si="69"/>
        <v>16.709271307051214</v>
      </c>
      <c r="I385" s="134">
        <f t="shared" si="69"/>
        <v>16.709271307051214</v>
      </c>
      <c r="J385" s="134">
        <f t="shared" si="69"/>
        <v>14.860959663409769</v>
      </c>
      <c r="K385" s="134">
        <f t="shared" si="69"/>
        <v>11.159693773435173</v>
      </c>
      <c r="L385" s="134">
        <f t="shared" si="69"/>
        <v>7.4491294912194803</v>
      </c>
      <c r="M385" s="134">
        <f t="shared" si="69"/>
        <v>3.7292404005390085</v>
      </c>
      <c r="N385" s="134">
        <f t="shared" si="69"/>
        <v>0</v>
      </c>
      <c r="O385" s="134">
        <f t="shared" si="69"/>
        <v>-3.7386182972688484</v>
      </c>
      <c r="P385" s="134">
        <f t="shared" si="69"/>
        <v>-7.4866411639252508</v>
      </c>
      <c r="Q385" s="134">
        <f t="shared" si="69"/>
        <v>-11.244095358723207</v>
      </c>
      <c r="R385" s="134">
        <f t="shared" si="69"/>
        <v>-15.011007726824159</v>
      </c>
      <c r="S385" s="134">
        <f t="shared" si="69"/>
        <v>-18.787405200109511</v>
      </c>
      <c r="T385" s="134">
        <f t="shared" si="69"/>
        <v>-22.573314797494199</v>
      </c>
      <c r="U385" s="134">
        <f t="shared" si="69"/>
        <v>-26.368763625241627</v>
      </c>
      <c r="V385" s="134">
        <f t="shared" si="69"/>
        <v>-30.173778877279755</v>
      </c>
      <c r="W385" s="134">
        <f t="shared" si="69"/>
        <v>-33.988387835518466</v>
      </c>
      <c r="X385" s="134">
        <f t="shared" si="69"/>
        <v>-37.812617870168388</v>
      </c>
      <c r="Y385" s="134">
        <f t="shared" si="69"/>
        <v>-41.646496440060609</v>
      </c>
      <c r="Z385" s="134">
        <f t="shared" si="69"/>
        <v>-45.490051092967896</v>
      </c>
      <c r="AA385" s="134">
        <f t="shared" si="69"/>
        <v>-49.343309465927078</v>
      </c>
      <c r="AB385" s="134">
        <f t="shared" si="69"/>
        <v>-53.206299285562856</v>
      </c>
      <c r="AC385" s="134">
        <f t="shared" si="69"/>
        <v>-57.07904836841292</v>
      </c>
      <c r="AD385" s="134">
        <f t="shared" si="69"/>
        <v>-60.96158462125392</v>
      </c>
      <c r="AE385" s="134">
        <f t="shared" si="69"/>
        <v>-64.853936041429222</v>
      </c>
      <c r="AF385" s="134">
        <f t="shared" si="69"/>
        <v>-68.756130717177868</v>
      </c>
      <c r="AG385" s="134">
        <f t="shared" si="69"/>
        <v>-72.66819682796465</v>
      </c>
      <c r="AH385" s="134">
        <f t="shared" si="69"/>
        <v>-76.590162644811684</v>
      </c>
      <c r="AI385" s="134">
        <f t="shared" si="69"/>
        <v>-80.522056530631033</v>
      </c>
      <c r="AJ385" s="134">
        <f t="shared" si="69"/>
        <v>-84.458921553171592</v>
      </c>
      <c r="AK385" s="134">
        <f t="shared" si="69"/>
        <v>-88.395786575712151</v>
      </c>
      <c r="AL385" s="134">
        <f t="shared" si="69"/>
        <v>-92.33265159825271</v>
      </c>
      <c r="AM385" s="134">
        <f t="shared" si="69"/>
        <v>-96.269516620793269</v>
      </c>
      <c r="AN385" s="134">
        <f t="shared" si="69"/>
        <v>-100.20638164333383</v>
      </c>
      <c r="AO385" s="134">
        <f t="shared" si="69"/>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5">
      <c r="A386" s="102"/>
      <c r="B386" s="112" t="s">
        <v>106</v>
      </c>
      <c r="C386" s="135"/>
      <c r="D386" s="134">
        <f t="shared" si="69"/>
        <v>20.447889604320061</v>
      </c>
      <c r="E386" s="134">
        <f t="shared" si="69"/>
        <v>20.447889604320061</v>
      </c>
      <c r="F386" s="134">
        <f t="shared" si="69"/>
        <v>20.447889604320061</v>
      </c>
      <c r="G386" s="134">
        <f t="shared" si="69"/>
        <v>20.447889604320061</v>
      </c>
      <c r="H386" s="134">
        <f t="shared" si="69"/>
        <v>20.447889604320061</v>
      </c>
      <c r="I386" s="134">
        <f t="shared" si="69"/>
        <v>20.447889604320061</v>
      </c>
      <c r="J386" s="134">
        <f t="shared" si="69"/>
        <v>18.599577960678616</v>
      </c>
      <c r="K386" s="134">
        <f t="shared" si="69"/>
        <v>14.898312070704021</v>
      </c>
      <c r="L386" s="134">
        <f t="shared" si="69"/>
        <v>11.187747788488329</v>
      </c>
      <c r="M386" s="134">
        <f t="shared" si="69"/>
        <v>7.4678586978078574</v>
      </c>
      <c r="N386" s="134">
        <f t="shared" si="69"/>
        <v>3.7386182972688484</v>
      </c>
      <c r="O386" s="134">
        <f t="shared" si="69"/>
        <v>0</v>
      </c>
      <c r="P386" s="134">
        <f t="shared" si="69"/>
        <v>-3.7480228666564028</v>
      </c>
      <c r="Q386" s="134">
        <f t="shared" si="69"/>
        <v>-7.5054770614543598</v>
      </c>
      <c r="R386" s="134">
        <f t="shared" si="69"/>
        <v>-11.272389429555311</v>
      </c>
      <c r="S386" s="134">
        <f t="shared" si="69"/>
        <v>-15.048786902840661</v>
      </c>
      <c r="T386" s="134">
        <f t="shared" si="69"/>
        <v>-18.834696500225348</v>
      </c>
      <c r="U386" s="134">
        <f t="shared" si="69"/>
        <v>-22.630145327972777</v>
      </c>
      <c r="V386" s="134">
        <f t="shared" si="69"/>
        <v>-26.435160580010905</v>
      </c>
      <c r="W386" s="134">
        <f t="shared" si="69"/>
        <v>-30.249769538249616</v>
      </c>
      <c r="X386" s="134">
        <f t="shared" si="69"/>
        <v>-34.073999572899538</v>
      </c>
      <c r="Y386" s="134">
        <f t="shared" si="69"/>
        <v>-37.907878142791759</v>
      </c>
      <c r="Z386" s="134">
        <f t="shared" si="69"/>
        <v>-41.751432795699046</v>
      </c>
      <c r="AA386" s="134">
        <f t="shared" si="69"/>
        <v>-45.604691168658228</v>
      </c>
      <c r="AB386" s="134">
        <f t="shared" si="69"/>
        <v>-49.467680988294006</v>
      </c>
      <c r="AC386" s="134">
        <f t="shared" si="69"/>
        <v>-53.34043007114407</v>
      </c>
      <c r="AD386" s="134">
        <f t="shared" si="69"/>
        <v>-57.222966323985069</v>
      </c>
      <c r="AE386" s="134">
        <f t="shared" si="69"/>
        <v>-61.115317744160379</v>
      </c>
      <c r="AF386" s="134">
        <f t="shared" si="69"/>
        <v>-65.017512419909025</v>
      </c>
      <c r="AG386" s="134">
        <f t="shared" si="69"/>
        <v>-68.929578530695807</v>
      </c>
      <c r="AH386" s="134">
        <f t="shared" si="69"/>
        <v>-72.851544347542841</v>
      </c>
      <c r="AI386" s="134">
        <f t="shared" si="69"/>
        <v>-76.78343823336219</v>
      </c>
      <c r="AJ386" s="134">
        <f t="shared" si="69"/>
        <v>-80.720303255902749</v>
      </c>
      <c r="AK386" s="134">
        <f t="shared" si="69"/>
        <v>-84.657168278443308</v>
      </c>
      <c r="AL386" s="134">
        <f t="shared" si="69"/>
        <v>-88.594033300983867</v>
      </c>
      <c r="AM386" s="134">
        <f t="shared" si="69"/>
        <v>-92.530898323524426</v>
      </c>
      <c r="AN386" s="134">
        <f t="shared" si="69"/>
        <v>-96.467763346064984</v>
      </c>
      <c r="AO386" s="134">
        <f t="shared" si="69"/>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5">
      <c r="A387" s="102"/>
      <c r="B387" s="112" t="s">
        <v>107</v>
      </c>
      <c r="C387" s="135"/>
      <c r="D387" s="134">
        <f t="shared" si="69"/>
        <v>24.195912470976463</v>
      </c>
      <c r="E387" s="134">
        <f t="shared" si="69"/>
        <v>24.195912470976463</v>
      </c>
      <c r="F387" s="134">
        <f t="shared" si="69"/>
        <v>24.195912470976463</v>
      </c>
      <c r="G387" s="134">
        <f t="shared" si="69"/>
        <v>24.195912470976463</v>
      </c>
      <c r="H387" s="134">
        <f t="shared" si="69"/>
        <v>24.195912470976463</v>
      </c>
      <c r="I387" s="134">
        <f t="shared" si="69"/>
        <v>24.195912470976463</v>
      </c>
      <c r="J387" s="134">
        <f t="shared" si="69"/>
        <v>22.347600827335018</v>
      </c>
      <c r="K387" s="134">
        <f t="shared" si="69"/>
        <v>18.646334937360425</v>
      </c>
      <c r="L387" s="134">
        <f t="shared" si="69"/>
        <v>14.935770655144731</v>
      </c>
      <c r="M387" s="134">
        <f t="shared" si="69"/>
        <v>11.21588156446426</v>
      </c>
      <c r="N387" s="134">
        <f t="shared" si="69"/>
        <v>7.4866411639252508</v>
      </c>
      <c r="O387" s="134">
        <f t="shared" si="69"/>
        <v>3.7480228666564028</v>
      </c>
      <c r="P387" s="134">
        <f t="shared" si="69"/>
        <v>0</v>
      </c>
      <c r="Q387" s="134">
        <f t="shared" si="69"/>
        <v>-3.7574541947979569</v>
      </c>
      <c r="R387" s="134">
        <f t="shared" si="69"/>
        <v>-7.5243665628989085</v>
      </c>
      <c r="S387" s="134">
        <f t="shared" si="69"/>
        <v>-11.300764036184258</v>
      </c>
      <c r="T387" s="134">
        <f t="shared" si="69"/>
        <v>-15.086673633568944</v>
      </c>
      <c r="U387" s="134">
        <f t="shared" si="69"/>
        <v>-18.882122461316371</v>
      </c>
      <c r="V387" s="134">
        <f t="shared" si="69"/>
        <v>-22.687137713354499</v>
      </c>
      <c r="W387" s="134">
        <f t="shared" si="69"/>
        <v>-26.50174667159321</v>
      </c>
      <c r="X387" s="134">
        <f t="shared" si="69"/>
        <v>-30.325976706243136</v>
      </c>
      <c r="Y387" s="134">
        <f t="shared" si="69"/>
        <v>-34.15985527613536</v>
      </c>
      <c r="Z387" s="134">
        <f t="shared" si="69"/>
        <v>-38.003409929042647</v>
      </c>
      <c r="AA387" s="134">
        <f t="shared" si="69"/>
        <v>-41.856668302001829</v>
      </c>
      <c r="AB387" s="134">
        <f t="shared" si="69"/>
        <v>-45.719658121637607</v>
      </c>
      <c r="AC387" s="134">
        <f t="shared" si="69"/>
        <v>-49.592407204487671</v>
      </c>
      <c r="AD387" s="134">
        <f t="shared" si="69"/>
        <v>-53.474943457328671</v>
      </c>
      <c r="AE387" s="134">
        <f t="shared" si="69"/>
        <v>-57.36729487750398</v>
      </c>
      <c r="AF387" s="134">
        <f t="shared" si="69"/>
        <v>-61.269489553252626</v>
      </c>
      <c r="AG387" s="134">
        <f t="shared" si="69"/>
        <v>-65.181555664039408</v>
      </c>
      <c r="AH387" s="134">
        <f t="shared" si="69"/>
        <v>-69.103521480886442</v>
      </c>
      <c r="AI387" s="134">
        <f t="shared" si="69"/>
        <v>-73.035415366705791</v>
      </c>
      <c r="AJ387" s="134">
        <f t="shared" si="69"/>
        <v>-76.97228038924635</v>
      </c>
      <c r="AK387" s="134">
        <f t="shared" si="69"/>
        <v>-80.909145411786909</v>
      </c>
      <c r="AL387" s="134">
        <f t="shared" si="69"/>
        <v>-84.846010434327468</v>
      </c>
      <c r="AM387" s="134">
        <f t="shared" si="69"/>
        <v>-88.782875456868027</v>
      </c>
      <c r="AN387" s="134">
        <f t="shared" si="69"/>
        <v>-92.719740479408586</v>
      </c>
      <c r="AO387" s="134">
        <f t="shared" si="69"/>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5">
      <c r="A388" s="102"/>
      <c r="B388" s="112" t="s">
        <v>108</v>
      </c>
      <c r="C388" s="135"/>
      <c r="D388" s="134">
        <f t="shared" si="69"/>
        <v>27.953366665774421</v>
      </c>
      <c r="E388" s="134">
        <f t="shared" si="69"/>
        <v>27.953366665774421</v>
      </c>
      <c r="F388" s="134">
        <f t="shared" si="69"/>
        <v>27.953366665774421</v>
      </c>
      <c r="G388" s="134">
        <f t="shared" si="69"/>
        <v>27.953366665774421</v>
      </c>
      <c r="H388" s="134">
        <f t="shared" si="69"/>
        <v>27.953366665774421</v>
      </c>
      <c r="I388" s="134">
        <f t="shared" si="69"/>
        <v>27.953366665774421</v>
      </c>
      <c r="J388" s="134">
        <f t="shared" si="69"/>
        <v>26.105055022132976</v>
      </c>
      <c r="K388" s="134">
        <f t="shared" si="69"/>
        <v>22.403789132158384</v>
      </c>
      <c r="L388" s="134">
        <f t="shared" si="69"/>
        <v>18.693224849942688</v>
      </c>
      <c r="M388" s="134">
        <f t="shared" si="69"/>
        <v>14.973335759262216</v>
      </c>
      <c r="N388" s="134">
        <f t="shared" si="69"/>
        <v>11.244095358723207</v>
      </c>
      <c r="O388" s="134">
        <f t="shared" si="69"/>
        <v>7.5054770614543598</v>
      </c>
      <c r="P388" s="134">
        <f t="shared" si="69"/>
        <v>3.7574541947979569</v>
      </c>
      <c r="Q388" s="134">
        <f t="shared" si="69"/>
        <v>0</v>
      </c>
      <c r="R388" s="134">
        <f t="shared" si="69"/>
        <v>-3.766912368100952</v>
      </c>
      <c r="S388" s="134">
        <f t="shared" si="69"/>
        <v>-7.5433098413863018</v>
      </c>
      <c r="T388" s="134">
        <f t="shared" si="69"/>
        <v>-11.329219438770988</v>
      </c>
      <c r="U388" s="134">
        <f t="shared" si="69"/>
        <v>-15.124668266518416</v>
      </c>
      <c r="V388" s="134">
        <f t="shared" si="69"/>
        <v>-18.929683518556544</v>
      </c>
      <c r="W388" s="134">
        <f t="shared" si="69"/>
        <v>-22.744292476795255</v>
      </c>
      <c r="X388" s="134">
        <f t="shared" si="69"/>
        <v>-26.568522511445181</v>
      </c>
      <c r="Y388" s="134">
        <f t="shared" si="69"/>
        <v>-30.402401081337402</v>
      </c>
      <c r="Z388" s="134">
        <f t="shared" si="69"/>
        <v>-34.245955734244689</v>
      </c>
      <c r="AA388" s="134">
        <f t="shared" si="69"/>
        <v>-38.099214107203871</v>
      </c>
      <c r="AB388" s="134">
        <f t="shared" si="69"/>
        <v>-41.962203926839649</v>
      </c>
      <c r="AC388" s="134">
        <f t="shared" si="69"/>
        <v>-45.834953009689713</v>
      </c>
      <c r="AD388" s="134">
        <f t="shared" si="69"/>
        <v>-49.717489262530712</v>
      </c>
      <c r="AE388" s="134">
        <f t="shared" si="69"/>
        <v>-53.609840682706022</v>
      </c>
      <c r="AF388" s="134">
        <f t="shared" si="69"/>
        <v>-57.512035358454668</v>
      </c>
      <c r="AG388" s="134">
        <f t="shared" si="69"/>
        <v>-61.424101469241457</v>
      </c>
      <c r="AH388" s="134">
        <f t="shared" si="69"/>
        <v>-65.346067286088498</v>
      </c>
      <c r="AI388" s="134">
        <f t="shared" si="69"/>
        <v>-69.277961171907847</v>
      </c>
      <c r="AJ388" s="134">
        <f t="shared" si="69"/>
        <v>-73.214826194448406</v>
      </c>
      <c r="AK388" s="134">
        <f t="shared" si="69"/>
        <v>-77.151691216988965</v>
      </c>
      <c r="AL388" s="134">
        <f t="shared" si="69"/>
        <v>-81.088556239529524</v>
      </c>
      <c r="AM388" s="134">
        <f t="shared" si="69"/>
        <v>-85.025421262070083</v>
      </c>
      <c r="AN388" s="134">
        <f t="shared" si="69"/>
        <v>-88.962286284610641</v>
      </c>
      <c r="AO388" s="134">
        <f t="shared" si="69"/>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5">
      <c r="A389" s="102"/>
      <c r="B389" s="112" t="s">
        <v>109</v>
      </c>
      <c r="C389" s="135"/>
      <c r="D389" s="134">
        <f t="shared" si="69"/>
        <v>31.720279033875372</v>
      </c>
      <c r="E389" s="134">
        <f t="shared" si="69"/>
        <v>31.720279033875372</v>
      </c>
      <c r="F389" s="134">
        <f t="shared" si="69"/>
        <v>31.720279033875372</v>
      </c>
      <c r="G389" s="134">
        <f t="shared" si="69"/>
        <v>31.720279033875372</v>
      </c>
      <c r="H389" s="134">
        <f t="shared" si="69"/>
        <v>31.720279033875372</v>
      </c>
      <c r="I389" s="134">
        <f t="shared" si="69"/>
        <v>31.720279033875372</v>
      </c>
      <c r="J389" s="134">
        <f t="shared" si="69"/>
        <v>29.871967390233927</v>
      </c>
      <c r="K389" s="134">
        <f t="shared" si="69"/>
        <v>26.170701500259334</v>
      </c>
      <c r="L389" s="134">
        <f t="shared" si="69"/>
        <v>22.460137218043641</v>
      </c>
      <c r="M389" s="134">
        <f t="shared" si="69"/>
        <v>18.740248127363166</v>
      </c>
      <c r="N389" s="134">
        <f t="shared" si="69"/>
        <v>15.011007726824159</v>
      </c>
      <c r="O389" s="134">
        <f t="shared" si="69"/>
        <v>11.272389429555311</v>
      </c>
      <c r="P389" s="134">
        <f t="shared" si="69"/>
        <v>7.5243665628989085</v>
      </c>
      <c r="Q389" s="134">
        <f t="shared" si="69"/>
        <v>3.766912368100952</v>
      </c>
      <c r="R389" s="134">
        <f t="shared" si="69"/>
        <v>0</v>
      </c>
      <c r="S389" s="134">
        <f t="shared" si="69"/>
        <v>-3.7763974732853502</v>
      </c>
      <c r="T389" s="134">
        <f t="shared" si="69"/>
        <v>-7.5623070706700357</v>
      </c>
      <c r="U389" s="134">
        <f t="shared" si="69"/>
        <v>-11.357755898417462</v>
      </c>
      <c r="V389" s="134">
        <f t="shared" si="69"/>
        <v>-15.16277115045559</v>
      </c>
      <c r="W389" s="134">
        <f t="shared" si="69"/>
        <v>-18.977380108694302</v>
      </c>
      <c r="X389" s="134">
        <f t="shared" si="69"/>
        <v>-22.801610143344227</v>
      </c>
      <c r="Y389" s="134">
        <f t="shared" si="69"/>
        <v>-26.635488713236448</v>
      </c>
      <c r="Z389" s="134">
        <f t="shared" si="69"/>
        <v>-30.479043366143735</v>
      </c>
      <c r="AA389" s="134">
        <f t="shared" si="69"/>
        <v>-34.332301739102917</v>
      </c>
      <c r="AB389" s="134">
        <f t="shared" si="69"/>
        <v>-38.195291558738695</v>
      </c>
      <c r="AC389" s="134">
        <f t="shared" si="69"/>
        <v>-42.068040641588759</v>
      </c>
      <c r="AD389" s="134">
        <f t="shared" si="69"/>
        <v>-45.950576894429759</v>
      </c>
      <c r="AE389" s="134">
        <f t="shared" ref="AE389:AO389" si="70">IF(AE$373=$B389,0,IF(AE$373&gt;$B389,-0.5*AE$371-0.5*AD$371+AD389,0.5*HLOOKUP($B389,$D$370:$AO$371,2,FALSE)+0.5*HLOOKUP($B388,$D$370:$AO$371,2,FALSE)+AE388))</f>
        <v>-49.842928314605068</v>
      </c>
      <c r="AF389" s="134">
        <f t="shared" si="70"/>
        <v>-53.745122990353714</v>
      </c>
      <c r="AG389" s="134">
        <f t="shared" si="70"/>
        <v>-57.657189101140503</v>
      </c>
      <c r="AH389" s="134">
        <f t="shared" si="70"/>
        <v>-61.579154917987545</v>
      </c>
      <c r="AI389" s="134">
        <f t="shared" si="70"/>
        <v>-65.511048803806887</v>
      </c>
      <c r="AJ389" s="134">
        <f t="shared" si="70"/>
        <v>-69.447913826347445</v>
      </c>
      <c r="AK389" s="134">
        <f t="shared" si="70"/>
        <v>-73.384778848888004</v>
      </c>
      <c r="AL389" s="134">
        <f t="shared" si="70"/>
        <v>-77.321643871428563</v>
      </c>
      <c r="AM389" s="134">
        <f t="shared" si="70"/>
        <v>-81.258508893969122</v>
      </c>
      <c r="AN389" s="134">
        <f t="shared" si="70"/>
        <v>-85.195373916509681</v>
      </c>
      <c r="AO389" s="134">
        <f t="shared" si="70"/>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5">
      <c r="A390" s="102"/>
      <c r="B390" s="112" t="s">
        <v>110</v>
      </c>
      <c r="C390" s="135"/>
      <c r="D390" s="134">
        <f t="shared" ref="D390:AO396" si="71">IF(D$373=$B390,0,IF(D$373&gt;$B390,-0.5*D$371-0.5*C$371+C390,0.5*HLOOKUP($B390,$D$370:$AO$371,2,FALSE)+0.5*HLOOKUP($B389,$D$370:$AO$371,2,FALSE)+D389))</f>
        <v>35.496676507160721</v>
      </c>
      <c r="E390" s="134">
        <f t="shared" si="71"/>
        <v>35.496676507160721</v>
      </c>
      <c r="F390" s="134">
        <f t="shared" si="71"/>
        <v>35.496676507160721</v>
      </c>
      <c r="G390" s="134">
        <f t="shared" si="71"/>
        <v>35.496676507160721</v>
      </c>
      <c r="H390" s="134">
        <f t="shared" si="71"/>
        <v>35.496676507160721</v>
      </c>
      <c r="I390" s="134">
        <f t="shared" si="71"/>
        <v>35.496676507160721</v>
      </c>
      <c r="J390" s="134">
        <f t="shared" si="71"/>
        <v>33.648364863519276</v>
      </c>
      <c r="K390" s="134">
        <f t="shared" si="71"/>
        <v>29.947098973544684</v>
      </c>
      <c r="L390" s="134">
        <f t="shared" si="71"/>
        <v>26.236534691328991</v>
      </c>
      <c r="M390" s="134">
        <f t="shared" si="71"/>
        <v>22.516645600648516</v>
      </c>
      <c r="N390" s="134">
        <f t="shared" si="71"/>
        <v>18.787405200109511</v>
      </c>
      <c r="O390" s="134">
        <f t="shared" si="71"/>
        <v>15.048786902840661</v>
      </c>
      <c r="P390" s="134">
        <f t="shared" si="71"/>
        <v>11.300764036184258</v>
      </c>
      <c r="Q390" s="134">
        <f t="shared" si="71"/>
        <v>7.5433098413863018</v>
      </c>
      <c r="R390" s="134">
        <f t="shared" si="71"/>
        <v>3.7763974732853502</v>
      </c>
      <c r="S390" s="134">
        <f t="shared" si="71"/>
        <v>0</v>
      </c>
      <c r="T390" s="134">
        <f t="shared" si="71"/>
        <v>-3.7859095973846859</v>
      </c>
      <c r="U390" s="134">
        <f t="shared" si="71"/>
        <v>-7.5813584251321133</v>
      </c>
      <c r="V390" s="134">
        <f t="shared" si="71"/>
        <v>-11.386373677170242</v>
      </c>
      <c r="W390" s="134">
        <f t="shared" si="71"/>
        <v>-15.200982635408952</v>
      </c>
      <c r="X390" s="134">
        <f t="shared" si="71"/>
        <v>-19.025212670058878</v>
      </c>
      <c r="Y390" s="134">
        <f t="shared" si="71"/>
        <v>-22.859091239951098</v>
      </c>
      <c r="Z390" s="134">
        <f t="shared" si="71"/>
        <v>-26.702645892858385</v>
      </c>
      <c r="AA390" s="134">
        <f t="shared" si="71"/>
        <v>-30.555904265817567</v>
      </c>
      <c r="AB390" s="134">
        <f t="shared" si="71"/>
        <v>-34.418894085453346</v>
      </c>
      <c r="AC390" s="134">
        <f t="shared" si="71"/>
        <v>-38.291643168303409</v>
      </c>
      <c r="AD390" s="134">
        <f t="shared" si="71"/>
        <v>-42.174179421144409</v>
      </c>
      <c r="AE390" s="134">
        <f t="shared" si="71"/>
        <v>-46.066530841319718</v>
      </c>
      <c r="AF390" s="134">
        <f t="shared" si="71"/>
        <v>-49.968725517068364</v>
      </c>
      <c r="AG390" s="134">
        <f t="shared" si="71"/>
        <v>-53.880791627855153</v>
      </c>
      <c r="AH390" s="134">
        <f t="shared" si="71"/>
        <v>-57.802757444702195</v>
      </c>
      <c r="AI390" s="134">
        <f t="shared" si="71"/>
        <v>-61.734651330521537</v>
      </c>
      <c r="AJ390" s="134">
        <f t="shared" si="71"/>
        <v>-65.671516353062088</v>
      </c>
      <c r="AK390" s="134">
        <f t="shared" si="71"/>
        <v>-69.608381375602647</v>
      </c>
      <c r="AL390" s="134">
        <f t="shared" si="71"/>
        <v>-73.545246398143206</v>
      </c>
      <c r="AM390" s="134">
        <f t="shared" si="71"/>
        <v>-77.482111420683765</v>
      </c>
      <c r="AN390" s="134">
        <f t="shared" si="71"/>
        <v>-81.418976443224324</v>
      </c>
      <c r="AO390" s="134">
        <f t="shared" si="71"/>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5">
      <c r="A391" s="102"/>
      <c r="B391" s="112" t="s">
        <v>111</v>
      </c>
      <c r="C391" s="135"/>
      <c r="D391" s="134">
        <f t="shared" si="71"/>
        <v>39.282586104545409</v>
      </c>
      <c r="E391" s="134">
        <f t="shared" si="71"/>
        <v>39.282586104545409</v>
      </c>
      <c r="F391" s="134">
        <f t="shared" si="71"/>
        <v>39.282586104545409</v>
      </c>
      <c r="G391" s="134">
        <f t="shared" si="71"/>
        <v>39.282586104545409</v>
      </c>
      <c r="H391" s="134">
        <f t="shared" si="71"/>
        <v>39.282586104545409</v>
      </c>
      <c r="I391" s="134">
        <f t="shared" si="71"/>
        <v>39.282586104545409</v>
      </c>
      <c r="J391" s="134">
        <f t="shared" si="71"/>
        <v>37.434274460903964</v>
      </c>
      <c r="K391" s="134">
        <f t="shared" si="71"/>
        <v>33.733008570929371</v>
      </c>
      <c r="L391" s="134">
        <f t="shared" si="71"/>
        <v>30.022444288713679</v>
      </c>
      <c r="M391" s="134">
        <f t="shared" si="71"/>
        <v>26.302555198033204</v>
      </c>
      <c r="N391" s="134">
        <f t="shared" si="71"/>
        <v>22.573314797494199</v>
      </c>
      <c r="O391" s="134">
        <f t="shared" si="71"/>
        <v>18.834696500225348</v>
      </c>
      <c r="P391" s="134">
        <f t="shared" si="71"/>
        <v>15.086673633568944</v>
      </c>
      <c r="Q391" s="134">
        <f t="shared" si="71"/>
        <v>11.329219438770988</v>
      </c>
      <c r="R391" s="134">
        <f t="shared" si="71"/>
        <v>7.5623070706700357</v>
      </c>
      <c r="S391" s="134">
        <f t="shared" si="71"/>
        <v>3.7859095973846859</v>
      </c>
      <c r="T391" s="134">
        <f t="shared" si="71"/>
        <v>0</v>
      </c>
      <c r="U391" s="134">
        <f t="shared" si="71"/>
        <v>-3.7954488277474274</v>
      </c>
      <c r="V391" s="134">
        <f t="shared" si="71"/>
        <v>-7.6004640797855565</v>
      </c>
      <c r="W391" s="134">
        <f t="shared" si="71"/>
        <v>-11.415073038024268</v>
      </c>
      <c r="X391" s="134">
        <f t="shared" si="71"/>
        <v>-15.239303072674193</v>
      </c>
      <c r="Y391" s="134">
        <f t="shared" si="71"/>
        <v>-19.073181642566418</v>
      </c>
      <c r="Z391" s="134">
        <f t="shared" si="71"/>
        <v>-22.916736295473704</v>
      </c>
      <c r="AA391" s="134">
        <f t="shared" si="71"/>
        <v>-26.769994668432886</v>
      </c>
      <c r="AB391" s="134">
        <f t="shared" si="71"/>
        <v>-30.632984488068665</v>
      </c>
      <c r="AC391" s="134">
        <f t="shared" si="71"/>
        <v>-34.505733570918729</v>
      </c>
      <c r="AD391" s="134">
        <f t="shared" si="71"/>
        <v>-38.388269823759728</v>
      </c>
      <c r="AE391" s="134">
        <f t="shared" si="71"/>
        <v>-42.280621243935038</v>
      </c>
      <c r="AF391" s="134">
        <f t="shared" si="71"/>
        <v>-46.182815919683684</v>
      </c>
      <c r="AG391" s="134">
        <f t="shared" si="71"/>
        <v>-50.094882030470473</v>
      </c>
      <c r="AH391" s="134">
        <f t="shared" si="71"/>
        <v>-54.016847847317514</v>
      </c>
      <c r="AI391" s="134">
        <f t="shared" si="71"/>
        <v>-57.948741733136856</v>
      </c>
      <c r="AJ391" s="134">
        <f t="shared" si="71"/>
        <v>-61.885606755677415</v>
      </c>
      <c r="AK391" s="134">
        <f t="shared" si="71"/>
        <v>-65.822471778217974</v>
      </c>
      <c r="AL391" s="134">
        <f t="shared" si="71"/>
        <v>-69.759336800758533</v>
      </c>
      <c r="AM391" s="134">
        <f t="shared" si="71"/>
        <v>-73.696201823299091</v>
      </c>
      <c r="AN391" s="134">
        <f t="shared" si="71"/>
        <v>-77.63306684583965</v>
      </c>
      <c r="AO391" s="134">
        <f t="shared" si="71"/>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5">
      <c r="A392" s="102"/>
      <c r="B392" s="112" t="s">
        <v>112</v>
      </c>
      <c r="C392" s="135"/>
      <c r="D392" s="134">
        <f t="shared" si="71"/>
        <v>43.078034932292837</v>
      </c>
      <c r="E392" s="134">
        <f t="shared" si="71"/>
        <v>43.078034932292837</v>
      </c>
      <c r="F392" s="134">
        <f t="shared" si="71"/>
        <v>43.078034932292837</v>
      </c>
      <c r="G392" s="134">
        <f t="shared" si="71"/>
        <v>43.078034932292837</v>
      </c>
      <c r="H392" s="134">
        <f t="shared" si="71"/>
        <v>43.078034932292837</v>
      </c>
      <c r="I392" s="134">
        <f t="shared" si="71"/>
        <v>43.078034932292837</v>
      </c>
      <c r="J392" s="134">
        <f t="shared" si="71"/>
        <v>41.229723288651392</v>
      </c>
      <c r="K392" s="134">
        <f t="shared" si="71"/>
        <v>37.5284573986768</v>
      </c>
      <c r="L392" s="134">
        <f t="shared" si="71"/>
        <v>33.817893116461107</v>
      </c>
      <c r="M392" s="134">
        <f t="shared" si="71"/>
        <v>30.098004025780632</v>
      </c>
      <c r="N392" s="134">
        <f t="shared" si="71"/>
        <v>26.368763625241627</v>
      </c>
      <c r="O392" s="134">
        <f t="shared" si="71"/>
        <v>22.630145327972777</v>
      </c>
      <c r="P392" s="134">
        <f t="shared" si="71"/>
        <v>18.882122461316371</v>
      </c>
      <c r="Q392" s="134">
        <f t="shared" si="71"/>
        <v>15.124668266518416</v>
      </c>
      <c r="R392" s="134">
        <f t="shared" si="71"/>
        <v>11.357755898417462</v>
      </c>
      <c r="S392" s="134">
        <f t="shared" si="71"/>
        <v>7.5813584251321133</v>
      </c>
      <c r="T392" s="134">
        <f t="shared" si="71"/>
        <v>3.7954488277474274</v>
      </c>
      <c r="U392" s="134">
        <f t="shared" si="71"/>
        <v>0</v>
      </c>
      <c r="V392" s="134">
        <f t="shared" si="71"/>
        <v>-3.8050152520381291</v>
      </c>
      <c r="W392" s="134">
        <f t="shared" si="71"/>
        <v>-7.6196242102768394</v>
      </c>
      <c r="X392" s="134">
        <f t="shared" si="71"/>
        <v>-11.443854244926765</v>
      </c>
      <c r="Y392" s="134">
        <f t="shared" si="71"/>
        <v>-15.277732814818988</v>
      </c>
      <c r="Z392" s="134">
        <f t="shared" si="71"/>
        <v>-19.121287467726273</v>
      </c>
      <c r="AA392" s="134">
        <f t="shared" si="71"/>
        <v>-22.974545840685455</v>
      </c>
      <c r="AB392" s="134">
        <f t="shared" si="71"/>
        <v>-26.837535660321233</v>
      </c>
      <c r="AC392" s="134">
        <f t="shared" si="71"/>
        <v>-30.710284743171297</v>
      </c>
      <c r="AD392" s="134">
        <f t="shared" si="71"/>
        <v>-34.5928209960123</v>
      </c>
      <c r="AE392" s="134">
        <f t="shared" si="71"/>
        <v>-38.485172416187609</v>
      </c>
      <c r="AF392" s="134">
        <f t="shared" si="71"/>
        <v>-42.387367091936255</v>
      </c>
      <c r="AG392" s="134">
        <f t="shared" si="71"/>
        <v>-46.299433202723044</v>
      </c>
      <c r="AH392" s="134">
        <f t="shared" si="71"/>
        <v>-50.221399019570086</v>
      </c>
      <c r="AI392" s="134">
        <f t="shared" si="71"/>
        <v>-54.153292905389428</v>
      </c>
      <c r="AJ392" s="134">
        <f t="shared" si="71"/>
        <v>-58.090157927929987</v>
      </c>
      <c r="AK392" s="134">
        <f t="shared" si="71"/>
        <v>-62.027022950470545</v>
      </c>
      <c r="AL392" s="134">
        <f t="shared" si="71"/>
        <v>-65.963887973011097</v>
      </c>
      <c r="AM392" s="134">
        <f t="shared" si="71"/>
        <v>-69.900752995551656</v>
      </c>
      <c r="AN392" s="134">
        <f t="shared" si="71"/>
        <v>-73.837618018092215</v>
      </c>
      <c r="AO392" s="134">
        <f t="shared" si="71"/>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5">
      <c r="A393" s="102"/>
      <c r="B393" s="112" t="s">
        <v>113</v>
      </c>
      <c r="C393" s="135"/>
      <c r="D393" s="134">
        <f t="shared" si="71"/>
        <v>46.883050184330969</v>
      </c>
      <c r="E393" s="134">
        <f t="shared" si="71"/>
        <v>46.883050184330969</v>
      </c>
      <c r="F393" s="134">
        <f t="shared" si="71"/>
        <v>46.883050184330969</v>
      </c>
      <c r="G393" s="134">
        <f t="shared" si="71"/>
        <v>46.883050184330969</v>
      </c>
      <c r="H393" s="134">
        <f t="shared" si="71"/>
        <v>46.883050184330969</v>
      </c>
      <c r="I393" s="134">
        <f t="shared" si="71"/>
        <v>46.883050184330969</v>
      </c>
      <c r="J393" s="134">
        <f t="shared" si="71"/>
        <v>45.034738540689524</v>
      </c>
      <c r="K393" s="134">
        <f t="shared" si="71"/>
        <v>41.333472650714931</v>
      </c>
      <c r="L393" s="134">
        <f t="shared" si="71"/>
        <v>37.622908368499239</v>
      </c>
      <c r="M393" s="134">
        <f t="shared" si="71"/>
        <v>33.903019277818764</v>
      </c>
      <c r="N393" s="134">
        <f t="shared" si="71"/>
        <v>30.173778877279755</v>
      </c>
      <c r="O393" s="134">
        <f t="shared" si="71"/>
        <v>26.435160580010905</v>
      </c>
      <c r="P393" s="134">
        <f t="shared" si="71"/>
        <v>22.687137713354499</v>
      </c>
      <c r="Q393" s="134">
        <f t="shared" si="71"/>
        <v>18.929683518556544</v>
      </c>
      <c r="R393" s="134">
        <f t="shared" si="71"/>
        <v>15.16277115045559</v>
      </c>
      <c r="S393" s="134">
        <f t="shared" si="71"/>
        <v>11.386373677170242</v>
      </c>
      <c r="T393" s="134">
        <f t="shared" si="71"/>
        <v>7.6004640797855565</v>
      </c>
      <c r="U393" s="134">
        <f t="shared" si="71"/>
        <v>3.8050152520381291</v>
      </c>
      <c r="V393" s="134">
        <f t="shared" si="71"/>
        <v>0</v>
      </c>
      <c r="W393" s="134">
        <f t="shared" si="71"/>
        <v>-3.8146089582387104</v>
      </c>
      <c r="X393" s="134">
        <f t="shared" si="71"/>
        <v>-7.6388389928886351</v>
      </c>
      <c r="Y393" s="134">
        <f t="shared" si="71"/>
        <v>-11.472717562780858</v>
      </c>
      <c r="Z393" s="134">
        <f t="shared" si="71"/>
        <v>-15.316272215688143</v>
      </c>
      <c r="AA393" s="134">
        <f t="shared" si="71"/>
        <v>-19.169530588647323</v>
      </c>
      <c r="AB393" s="134">
        <f t="shared" si="71"/>
        <v>-23.032520408283101</v>
      </c>
      <c r="AC393" s="134">
        <f t="shared" si="71"/>
        <v>-26.905269491133165</v>
      </c>
      <c r="AD393" s="134">
        <f t="shared" si="71"/>
        <v>-30.787805743974168</v>
      </c>
      <c r="AE393" s="134">
        <f t="shared" si="71"/>
        <v>-34.680157164149477</v>
      </c>
      <c r="AF393" s="134">
        <f t="shared" si="71"/>
        <v>-38.582351839898124</v>
      </c>
      <c r="AG393" s="134">
        <f t="shared" si="71"/>
        <v>-42.494417950684912</v>
      </c>
      <c r="AH393" s="134">
        <f t="shared" si="71"/>
        <v>-46.416383767531954</v>
      </c>
      <c r="AI393" s="134">
        <f t="shared" si="71"/>
        <v>-50.348277653351296</v>
      </c>
      <c r="AJ393" s="134">
        <f t="shared" si="71"/>
        <v>-54.285142675891855</v>
      </c>
      <c r="AK393" s="134">
        <f t="shared" si="71"/>
        <v>-58.222007698432414</v>
      </c>
      <c r="AL393" s="134">
        <f t="shared" si="71"/>
        <v>-62.158872720972973</v>
      </c>
      <c r="AM393" s="134">
        <f t="shared" si="71"/>
        <v>-66.095737743513524</v>
      </c>
      <c r="AN393" s="134">
        <f t="shared" si="71"/>
        <v>-70.032602766054083</v>
      </c>
      <c r="AO393" s="134">
        <f t="shared" si="71"/>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5">
      <c r="A394" s="102"/>
      <c r="B394" s="112" t="s">
        <v>114</v>
      </c>
      <c r="C394" s="135"/>
      <c r="D394" s="134">
        <f t="shared" si="71"/>
        <v>50.697659142569677</v>
      </c>
      <c r="E394" s="134">
        <f t="shared" si="71"/>
        <v>50.697659142569677</v>
      </c>
      <c r="F394" s="134">
        <f t="shared" si="71"/>
        <v>50.697659142569677</v>
      </c>
      <c r="G394" s="134">
        <f t="shared" si="71"/>
        <v>50.697659142569677</v>
      </c>
      <c r="H394" s="134">
        <f t="shared" si="71"/>
        <v>50.697659142569677</v>
      </c>
      <c r="I394" s="134">
        <f t="shared" si="71"/>
        <v>50.697659142569677</v>
      </c>
      <c r="J394" s="134">
        <f t="shared" si="71"/>
        <v>48.849347498928232</v>
      </c>
      <c r="K394" s="134">
        <f t="shared" si="71"/>
        <v>45.148081608953639</v>
      </c>
      <c r="L394" s="134">
        <f t="shared" si="71"/>
        <v>41.437517326737947</v>
      </c>
      <c r="M394" s="134">
        <f t="shared" si="71"/>
        <v>37.717628236057472</v>
      </c>
      <c r="N394" s="134">
        <f t="shared" si="71"/>
        <v>33.988387835518466</v>
      </c>
      <c r="O394" s="134">
        <f t="shared" si="71"/>
        <v>30.249769538249616</v>
      </c>
      <c r="P394" s="134">
        <f t="shared" si="71"/>
        <v>26.50174667159321</v>
      </c>
      <c r="Q394" s="134">
        <f t="shared" si="71"/>
        <v>22.744292476795255</v>
      </c>
      <c r="R394" s="134">
        <f t="shared" si="71"/>
        <v>18.977380108694302</v>
      </c>
      <c r="S394" s="134">
        <f t="shared" si="71"/>
        <v>15.200982635408952</v>
      </c>
      <c r="T394" s="134">
        <f t="shared" si="71"/>
        <v>11.415073038024268</v>
      </c>
      <c r="U394" s="134">
        <f t="shared" si="71"/>
        <v>7.6196242102768394</v>
      </c>
      <c r="V394" s="134">
        <f t="shared" si="71"/>
        <v>3.8146089582387104</v>
      </c>
      <c r="W394" s="134">
        <f t="shared" si="71"/>
        <v>0</v>
      </c>
      <c r="X394" s="134">
        <f t="shared" si="71"/>
        <v>-3.8242300346499247</v>
      </c>
      <c r="Y394" s="134">
        <f t="shared" si="71"/>
        <v>-7.6581086045421474</v>
      </c>
      <c r="Z394" s="134">
        <f t="shared" si="71"/>
        <v>-11.501663257449433</v>
      </c>
      <c r="AA394" s="134">
        <f t="shared" si="71"/>
        <v>-15.354921630408615</v>
      </c>
      <c r="AB394" s="134">
        <f t="shared" si="71"/>
        <v>-19.217911450044394</v>
      </c>
      <c r="AC394" s="134">
        <f t="shared" si="71"/>
        <v>-23.090660532894457</v>
      </c>
      <c r="AD394" s="134">
        <f t="shared" si="71"/>
        <v>-26.97319678573546</v>
      </c>
      <c r="AE394" s="134">
        <f t="shared" si="71"/>
        <v>-30.865548205910766</v>
      </c>
      <c r="AF394" s="134">
        <f t="shared" si="71"/>
        <v>-34.767742881659416</v>
      </c>
      <c r="AG394" s="134">
        <f t="shared" si="71"/>
        <v>-38.679808992446205</v>
      </c>
      <c r="AH394" s="134">
        <f t="shared" si="71"/>
        <v>-42.601774809293246</v>
      </c>
      <c r="AI394" s="134">
        <f t="shared" si="71"/>
        <v>-46.533668695112588</v>
      </c>
      <c r="AJ394" s="134">
        <f t="shared" si="71"/>
        <v>-50.470533717653147</v>
      </c>
      <c r="AK394" s="134">
        <f t="shared" si="71"/>
        <v>-54.407398740193706</v>
      </c>
      <c r="AL394" s="134">
        <f t="shared" si="71"/>
        <v>-58.344263762734265</v>
      </c>
      <c r="AM394" s="134">
        <f t="shared" si="71"/>
        <v>-62.281128785274824</v>
      </c>
      <c r="AN394" s="134">
        <f t="shared" si="71"/>
        <v>-66.217993807815375</v>
      </c>
      <c r="AO394" s="134">
        <f t="shared" si="71"/>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5">
      <c r="A395" s="102"/>
      <c r="B395" s="112" t="s">
        <v>115</v>
      </c>
      <c r="C395" s="135"/>
      <c r="D395" s="134">
        <f t="shared" si="71"/>
        <v>54.521889177219599</v>
      </c>
      <c r="E395" s="134">
        <f t="shared" si="71"/>
        <v>54.521889177219599</v>
      </c>
      <c r="F395" s="134">
        <f t="shared" si="71"/>
        <v>54.521889177219599</v>
      </c>
      <c r="G395" s="134">
        <f t="shared" si="71"/>
        <v>54.521889177219599</v>
      </c>
      <c r="H395" s="134">
        <f t="shared" si="71"/>
        <v>54.521889177219599</v>
      </c>
      <c r="I395" s="134">
        <f t="shared" si="71"/>
        <v>54.521889177219599</v>
      </c>
      <c r="J395" s="134">
        <f t="shared" si="71"/>
        <v>52.673577533578154</v>
      </c>
      <c r="K395" s="134">
        <f t="shared" si="71"/>
        <v>48.972311643603561</v>
      </c>
      <c r="L395" s="134">
        <f t="shared" si="71"/>
        <v>45.261747361387869</v>
      </c>
      <c r="M395" s="134">
        <f t="shared" si="71"/>
        <v>41.541858270707394</v>
      </c>
      <c r="N395" s="134">
        <f t="shared" si="71"/>
        <v>37.812617870168388</v>
      </c>
      <c r="O395" s="134">
        <f t="shared" si="71"/>
        <v>34.073999572899538</v>
      </c>
      <c r="P395" s="134">
        <f t="shared" si="71"/>
        <v>30.325976706243136</v>
      </c>
      <c r="Q395" s="134">
        <f t="shared" si="71"/>
        <v>26.568522511445181</v>
      </c>
      <c r="R395" s="134">
        <f t="shared" si="71"/>
        <v>22.801610143344227</v>
      </c>
      <c r="S395" s="134">
        <f t="shared" si="71"/>
        <v>19.025212670058878</v>
      </c>
      <c r="T395" s="134">
        <f t="shared" si="71"/>
        <v>15.239303072674193</v>
      </c>
      <c r="U395" s="134">
        <f t="shared" si="71"/>
        <v>11.443854244926765</v>
      </c>
      <c r="V395" s="134">
        <f t="shared" si="71"/>
        <v>7.6388389928886351</v>
      </c>
      <c r="W395" s="134">
        <f t="shared" si="71"/>
        <v>3.8242300346499247</v>
      </c>
      <c r="X395" s="134">
        <f t="shared" si="71"/>
        <v>0</v>
      </c>
      <c r="Y395" s="134">
        <f t="shared" si="71"/>
        <v>-3.8338785698922226</v>
      </c>
      <c r="Z395" s="134">
        <f t="shared" si="71"/>
        <v>-7.6774332227995075</v>
      </c>
      <c r="AA395" s="134">
        <f t="shared" si="71"/>
        <v>-11.53069159575869</v>
      </c>
      <c r="AB395" s="134">
        <f t="shared" si="71"/>
        <v>-15.393681415394468</v>
      </c>
      <c r="AC395" s="134">
        <f t="shared" si="71"/>
        <v>-19.266430498244532</v>
      </c>
      <c r="AD395" s="134">
        <f t="shared" si="71"/>
        <v>-23.148966751085535</v>
      </c>
      <c r="AE395" s="134">
        <f t="shared" si="71"/>
        <v>-27.041318171260841</v>
      </c>
      <c r="AF395" s="134">
        <f t="shared" si="71"/>
        <v>-30.943512847009487</v>
      </c>
      <c r="AG395" s="134">
        <f t="shared" si="71"/>
        <v>-34.855578957796276</v>
      </c>
      <c r="AH395" s="134">
        <f t="shared" si="71"/>
        <v>-38.777544774643317</v>
      </c>
      <c r="AI395" s="134">
        <f t="shared" si="71"/>
        <v>-42.709438660462659</v>
      </c>
      <c r="AJ395" s="134">
        <f t="shared" si="71"/>
        <v>-46.646303683003218</v>
      </c>
      <c r="AK395" s="134">
        <f t="shared" si="71"/>
        <v>-50.583168705543777</v>
      </c>
      <c r="AL395" s="134">
        <f t="shared" si="71"/>
        <v>-54.520033728084336</v>
      </c>
      <c r="AM395" s="134">
        <f t="shared" si="71"/>
        <v>-58.456898750624894</v>
      </c>
      <c r="AN395" s="134">
        <f t="shared" si="71"/>
        <v>-62.393763773165453</v>
      </c>
      <c r="AO395" s="134">
        <f t="shared" si="7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5">
      <c r="A396" s="102"/>
      <c r="B396" s="112" t="s">
        <v>116</v>
      </c>
      <c r="C396" s="135"/>
      <c r="D396" s="134">
        <f t="shared" si="71"/>
        <v>58.35576774711182</v>
      </c>
      <c r="E396" s="134">
        <f t="shared" si="71"/>
        <v>58.35576774711182</v>
      </c>
      <c r="F396" s="134">
        <f t="shared" si="71"/>
        <v>58.35576774711182</v>
      </c>
      <c r="G396" s="134">
        <f t="shared" si="71"/>
        <v>58.35576774711182</v>
      </c>
      <c r="H396" s="134">
        <f t="shared" si="71"/>
        <v>58.35576774711182</v>
      </c>
      <c r="I396" s="134">
        <f t="shared" si="71"/>
        <v>58.35576774711182</v>
      </c>
      <c r="J396" s="134">
        <f t="shared" si="71"/>
        <v>56.507456103470375</v>
      </c>
      <c r="K396" s="134">
        <f t="shared" si="71"/>
        <v>52.806190213495782</v>
      </c>
      <c r="L396" s="134">
        <f t="shared" si="71"/>
        <v>49.09562593128009</v>
      </c>
      <c r="M396" s="134">
        <f t="shared" si="71"/>
        <v>45.375736840599615</v>
      </c>
      <c r="N396" s="134">
        <f t="shared" si="71"/>
        <v>41.646496440060609</v>
      </c>
      <c r="O396" s="134">
        <f t="shared" si="71"/>
        <v>37.907878142791759</v>
      </c>
      <c r="P396" s="134">
        <f t="shared" si="71"/>
        <v>34.15985527613536</v>
      </c>
      <c r="Q396" s="134">
        <f t="shared" si="71"/>
        <v>30.402401081337402</v>
      </c>
      <c r="R396" s="134">
        <f t="shared" si="71"/>
        <v>26.635488713236448</v>
      </c>
      <c r="S396" s="134">
        <f t="shared" si="71"/>
        <v>22.859091239951098</v>
      </c>
      <c r="T396" s="134">
        <f t="shared" si="71"/>
        <v>19.073181642566418</v>
      </c>
      <c r="U396" s="134">
        <f t="shared" si="71"/>
        <v>15.277732814818988</v>
      </c>
      <c r="V396" s="134">
        <f t="shared" si="71"/>
        <v>11.472717562780858</v>
      </c>
      <c r="W396" s="134">
        <f t="shared" si="71"/>
        <v>7.6581086045421474</v>
      </c>
      <c r="X396" s="134">
        <f t="shared" si="71"/>
        <v>3.8338785698922226</v>
      </c>
      <c r="Y396" s="134">
        <f t="shared" si="71"/>
        <v>0</v>
      </c>
      <c r="Z396" s="134">
        <f t="shared" si="71"/>
        <v>-3.8435546529072848</v>
      </c>
      <c r="AA396" s="134">
        <f t="shared" si="71"/>
        <v>-7.696813025866466</v>
      </c>
      <c r="AB396" s="134">
        <f t="shared" si="71"/>
        <v>-11.559802845502244</v>
      </c>
      <c r="AC396" s="134">
        <f t="shared" si="71"/>
        <v>-15.432551928352307</v>
      </c>
      <c r="AD396" s="134">
        <f t="shared" si="71"/>
        <v>-19.31508818119331</v>
      </c>
      <c r="AE396" s="134">
        <f t="shared" ref="AE396:AO396" si="72">IF(AE$373=$B396,0,IF(AE$373&gt;$B396,-0.5*AE$371-0.5*AD$371+AD396,0.5*HLOOKUP($B396,$D$370:$AO$371,2,FALSE)+0.5*HLOOKUP($B395,$D$370:$AO$371,2,FALSE)+AE395))</f>
        <v>-23.207439601368616</v>
      </c>
      <c r="AF396" s="134">
        <f t="shared" si="72"/>
        <v>-27.109634277117262</v>
      </c>
      <c r="AG396" s="134">
        <f t="shared" si="72"/>
        <v>-31.021700387904048</v>
      </c>
      <c r="AH396" s="134">
        <f t="shared" si="72"/>
        <v>-34.943666204751089</v>
      </c>
      <c r="AI396" s="134">
        <f t="shared" si="72"/>
        <v>-38.875560090570431</v>
      </c>
      <c r="AJ396" s="134">
        <f t="shared" si="72"/>
        <v>-42.81242511311099</v>
      </c>
      <c r="AK396" s="134">
        <f t="shared" si="72"/>
        <v>-46.749290135651549</v>
      </c>
      <c r="AL396" s="134">
        <f t="shared" si="72"/>
        <v>-50.686155158192108</v>
      </c>
      <c r="AM396" s="134">
        <f t="shared" si="72"/>
        <v>-54.623020180732667</v>
      </c>
      <c r="AN396" s="134">
        <f t="shared" si="72"/>
        <v>-58.559885203273225</v>
      </c>
      <c r="AO396" s="134">
        <f t="shared" si="7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5">
      <c r="A397" s="102"/>
      <c r="B397" s="112" t="s">
        <v>117</v>
      </c>
      <c r="C397" s="135"/>
      <c r="D397" s="134">
        <f t="shared" ref="D397:AO403" si="73">IF(D$373=$B397,0,IF(D$373&gt;$B397,-0.5*D$371-0.5*C$371+C397,0.5*HLOOKUP($B397,$D$370:$AO$371,2,FALSE)+0.5*HLOOKUP($B396,$D$370:$AO$371,2,FALSE)+D396))</f>
        <v>62.199322400019106</v>
      </c>
      <c r="E397" s="134">
        <f t="shared" si="73"/>
        <v>62.199322400019106</v>
      </c>
      <c r="F397" s="134">
        <f t="shared" si="73"/>
        <v>62.199322400019106</v>
      </c>
      <c r="G397" s="134">
        <f t="shared" si="73"/>
        <v>62.199322400019106</v>
      </c>
      <c r="H397" s="134">
        <f t="shared" si="73"/>
        <v>62.199322400019106</v>
      </c>
      <c r="I397" s="134">
        <f t="shared" si="73"/>
        <v>62.199322400019106</v>
      </c>
      <c r="J397" s="134">
        <f t="shared" si="73"/>
        <v>60.351010756377661</v>
      </c>
      <c r="K397" s="134">
        <f t="shared" si="73"/>
        <v>56.649744866403068</v>
      </c>
      <c r="L397" s="134">
        <f t="shared" si="73"/>
        <v>52.939180584187376</v>
      </c>
      <c r="M397" s="134">
        <f t="shared" si="73"/>
        <v>49.219291493506901</v>
      </c>
      <c r="N397" s="134">
        <f t="shared" si="73"/>
        <v>45.490051092967896</v>
      </c>
      <c r="O397" s="134">
        <f t="shared" si="73"/>
        <v>41.751432795699046</v>
      </c>
      <c r="P397" s="134">
        <f t="shared" si="73"/>
        <v>38.003409929042647</v>
      </c>
      <c r="Q397" s="134">
        <f t="shared" si="73"/>
        <v>34.245955734244689</v>
      </c>
      <c r="R397" s="134">
        <f t="shared" si="73"/>
        <v>30.479043366143735</v>
      </c>
      <c r="S397" s="134">
        <f t="shared" si="73"/>
        <v>26.702645892858385</v>
      </c>
      <c r="T397" s="134">
        <f t="shared" si="73"/>
        <v>22.916736295473704</v>
      </c>
      <c r="U397" s="134">
        <f t="shared" si="73"/>
        <v>19.121287467726273</v>
      </c>
      <c r="V397" s="134">
        <f t="shared" si="73"/>
        <v>15.316272215688143</v>
      </c>
      <c r="W397" s="134">
        <f t="shared" si="73"/>
        <v>11.501663257449433</v>
      </c>
      <c r="X397" s="134">
        <f t="shared" si="73"/>
        <v>7.6774332227995075</v>
      </c>
      <c r="Y397" s="134">
        <f t="shared" si="73"/>
        <v>3.8435546529072848</v>
      </c>
      <c r="Z397" s="134">
        <f t="shared" si="73"/>
        <v>0</v>
      </c>
      <c r="AA397" s="134">
        <f t="shared" si="73"/>
        <v>-3.8532583729591812</v>
      </c>
      <c r="AB397" s="134">
        <f t="shared" si="73"/>
        <v>-7.7162481925949589</v>
      </c>
      <c r="AC397" s="134">
        <f t="shared" si="73"/>
        <v>-11.588997275445022</v>
      </c>
      <c r="AD397" s="134">
        <f t="shared" si="73"/>
        <v>-15.471533528286024</v>
      </c>
      <c r="AE397" s="134">
        <f t="shared" si="73"/>
        <v>-19.36388494846133</v>
      </c>
      <c r="AF397" s="134">
        <f t="shared" si="73"/>
        <v>-23.266079624209976</v>
      </c>
      <c r="AG397" s="134">
        <f t="shared" si="73"/>
        <v>-27.178145734996761</v>
      </c>
      <c r="AH397" s="134">
        <f t="shared" si="73"/>
        <v>-31.100111551843799</v>
      </c>
      <c r="AI397" s="134">
        <f t="shared" si="73"/>
        <v>-35.032005437663145</v>
      </c>
      <c r="AJ397" s="134">
        <f t="shared" si="73"/>
        <v>-38.968870460203703</v>
      </c>
      <c r="AK397" s="134">
        <f t="shared" si="73"/>
        <v>-42.905735482744262</v>
      </c>
      <c r="AL397" s="134">
        <f t="shared" si="73"/>
        <v>-46.842600505284821</v>
      </c>
      <c r="AM397" s="134">
        <f t="shared" si="73"/>
        <v>-50.77946552782538</v>
      </c>
      <c r="AN397" s="134">
        <f t="shared" si="73"/>
        <v>-54.716330550365939</v>
      </c>
      <c r="AO397" s="134">
        <f t="shared" si="7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5">
      <c r="A398" s="102"/>
      <c r="B398" s="112" t="s">
        <v>118</v>
      </c>
      <c r="C398" s="135"/>
      <c r="D398" s="134">
        <f t="shared" si="73"/>
        <v>66.052580772978288</v>
      </c>
      <c r="E398" s="134">
        <f t="shared" si="73"/>
        <v>66.052580772978288</v>
      </c>
      <c r="F398" s="134">
        <f t="shared" si="73"/>
        <v>66.052580772978288</v>
      </c>
      <c r="G398" s="134">
        <f t="shared" si="73"/>
        <v>66.052580772978288</v>
      </c>
      <c r="H398" s="134">
        <f t="shared" si="73"/>
        <v>66.052580772978288</v>
      </c>
      <c r="I398" s="134">
        <f t="shared" si="73"/>
        <v>66.052580772978288</v>
      </c>
      <c r="J398" s="134">
        <f t="shared" si="73"/>
        <v>64.204269129336836</v>
      </c>
      <c r="K398" s="134">
        <f t="shared" si="73"/>
        <v>60.503003239362251</v>
      </c>
      <c r="L398" s="134">
        <f t="shared" si="73"/>
        <v>56.792438957146558</v>
      </c>
      <c r="M398" s="134">
        <f t="shared" si="73"/>
        <v>53.072549866466083</v>
      </c>
      <c r="N398" s="134">
        <f t="shared" si="73"/>
        <v>49.343309465927078</v>
      </c>
      <c r="O398" s="134">
        <f t="shared" si="73"/>
        <v>45.604691168658228</v>
      </c>
      <c r="P398" s="134">
        <f t="shared" si="73"/>
        <v>41.856668302001829</v>
      </c>
      <c r="Q398" s="134">
        <f t="shared" si="73"/>
        <v>38.099214107203871</v>
      </c>
      <c r="R398" s="134">
        <f t="shared" si="73"/>
        <v>34.332301739102917</v>
      </c>
      <c r="S398" s="134">
        <f t="shared" si="73"/>
        <v>30.555904265817567</v>
      </c>
      <c r="T398" s="134">
        <f t="shared" si="73"/>
        <v>26.769994668432886</v>
      </c>
      <c r="U398" s="134">
        <f t="shared" si="73"/>
        <v>22.974545840685455</v>
      </c>
      <c r="V398" s="134">
        <f t="shared" si="73"/>
        <v>19.169530588647323</v>
      </c>
      <c r="W398" s="134">
        <f t="shared" si="73"/>
        <v>15.354921630408615</v>
      </c>
      <c r="X398" s="134">
        <f t="shared" si="73"/>
        <v>11.53069159575869</v>
      </c>
      <c r="Y398" s="134">
        <f t="shared" si="73"/>
        <v>7.696813025866466</v>
      </c>
      <c r="Z398" s="134">
        <f t="shared" si="73"/>
        <v>3.8532583729591812</v>
      </c>
      <c r="AA398" s="134">
        <f t="shared" si="73"/>
        <v>0</v>
      </c>
      <c r="AB398" s="134">
        <f t="shared" si="73"/>
        <v>-3.8629898196357777</v>
      </c>
      <c r="AC398" s="134">
        <f t="shared" si="73"/>
        <v>-7.7357389024858412</v>
      </c>
      <c r="AD398" s="134">
        <f t="shared" si="73"/>
        <v>-11.618275155326844</v>
      </c>
      <c r="AE398" s="134">
        <f t="shared" si="73"/>
        <v>-15.510626575502151</v>
      </c>
      <c r="AF398" s="134">
        <f t="shared" si="73"/>
        <v>-19.412821251250797</v>
      </c>
      <c r="AG398" s="134">
        <f t="shared" si="73"/>
        <v>-23.324887362037583</v>
      </c>
      <c r="AH398" s="134">
        <f t="shared" si="73"/>
        <v>-27.246853178884621</v>
      </c>
      <c r="AI398" s="134">
        <f t="shared" si="73"/>
        <v>-31.178747064703966</v>
      </c>
      <c r="AJ398" s="134">
        <f t="shared" si="73"/>
        <v>-35.115612087244521</v>
      </c>
      <c r="AK398" s="134">
        <f t="shared" si="73"/>
        <v>-39.05247710978508</v>
      </c>
      <c r="AL398" s="134">
        <f t="shared" si="73"/>
        <v>-42.989342132325639</v>
      </c>
      <c r="AM398" s="134">
        <f t="shared" si="73"/>
        <v>-46.926207154866198</v>
      </c>
      <c r="AN398" s="134">
        <f t="shared" si="73"/>
        <v>-50.863072177406757</v>
      </c>
      <c r="AO398" s="134">
        <f t="shared" si="73"/>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5">
      <c r="A399" s="102"/>
      <c r="B399" s="112" t="s">
        <v>119</v>
      </c>
      <c r="C399" s="135"/>
      <c r="D399" s="134">
        <f t="shared" si="73"/>
        <v>69.91557059261406</v>
      </c>
      <c r="E399" s="134">
        <f t="shared" si="73"/>
        <v>69.91557059261406</v>
      </c>
      <c r="F399" s="134">
        <f t="shared" si="73"/>
        <v>69.91557059261406</v>
      </c>
      <c r="G399" s="134">
        <f t="shared" si="73"/>
        <v>69.91557059261406</v>
      </c>
      <c r="H399" s="134">
        <f t="shared" si="73"/>
        <v>69.91557059261406</v>
      </c>
      <c r="I399" s="134">
        <f t="shared" si="73"/>
        <v>69.91557059261406</v>
      </c>
      <c r="J399" s="134">
        <f t="shared" si="73"/>
        <v>68.067258948972608</v>
      </c>
      <c r="K399" s="134">
        <f t="shared" si="73"/>
        <v>64.365993058998029</v>
      </c>
      <c r="L399" s="134">
        <f t="shared" si="73"/>
        <v>60.655428776782337</v>
      </c>
      <c r="M399" s="134">
        <f t="shared" si="73"/>
        <v>56.935539686101862</v>
      </c>
      <c r="N399" s="134">
        <f t="shared" si="73"/>
        <v>53.206299285562856</v>
      </c>
      <c r="O399" s="134">
        <f t="shared" si="73"/>
        <v>49.467680988294006</v>
      </c>
      <c r="P399" s="134">
        <f t="shared" si="73"/>
        <v>45.719658121637607</v>
      </c>
      <c r="Q399" s="134">
        <f t="shared" si="73"/>
        <v>41.962203926839649</v>
      </c>
      <c r="R399" s="134">
        <f t="shared" si="73"/>
        <v>38.195291558738695</v>
      </c>
      <c r="S399" s="134">
        <f t="shared" si="73"/>
        <v>34.418894085453346</v>
      </c>
      <c r="T399" s="134">
        <f t="shared" si="73"/>
        <v>30.632984488068665</v>
      </c>
      <c r="U399" s="134">
        <f t="shared" si="73"/>
        <v>26.837535660321233</v>
      </c>
      <c r="V399" s="134">
        <f t="shared" si="73"/>
        <v>23.032520408283101</v>
      </c>
      <c r="W399" s="134">
        <f t="shared" si="73"/>
        <v>19.217911450044394</v>
      </c>
      <c r="X399" s="134">
        <f t="shared" si="73"/>
        <v>15.393681415394468</v>
      </c>
      <c r="Y399" s="134">
        <f t="shared" si="73"/>
        <v>11.559802845502244</v>
      </c>
      <c r="Z399" s="134">
        <f t="shared" si="73"/>
        <v>7.7162481925949589</v>
      </c>
      <c r="AA399" s="134">
        <f t="shared" si="73"/>
        <v>3.8629898196357777</v>
      </c>
      <c r="AB399" s="134">
        <f t="shared" si="73"/>
        <v>0</v>
      </c>
      <c r="AC399" s="134">
        <f t="shared" si="73"/>
        <v>-3.8727490828500635</v>
      </c>
      <c r="AD399" s="134">
        <f t="shared" si="73"/>
        <v>-7.7552853356910658</v>
      </c>
      <c r="AE399" s="134">
        <f t="shared" si="73"/>
        <v>-11.647636755866372</v>
      </c>
      <c r="AF399" s="134">
        <f t="shared" si="73"/>
        <v>-15.549831431615019</v>
      </c>
      <c r="AG399" s="134">
        <f t="shared" si="73"/>
        <v>-19.461897542401804</v>
      </c>
      <c r="AH399" s="134">
        <f t="shared" si="73"/>
        <v>-23.383863359248842</v>
      </c>
      <c r="AI399" s="134">
        <f t="shared" si="73"/>
        <v>-27.315757245068188</v>
      </c>
      <c r="AJ399" s="134">
        <f t="shared" si="73"/>
        <v>-31.252622267608746</v>
      </c>
      <c r="AK399" s="134">
        <f t="shared" si="73"/>
        <v>-35.189487290149302</v>
      </c>
      <c r="AL399" s="134">
        <f t="shared" si="73"/>
        <v>-39.12635231268986</v>
      </c>
      <c r="AM399" s="134">
        <f t="shared" si="73"/>
        <v>-43.063217335230419</v>
      </c>
      <c r="AN399" s="134">
        <f t="shared" si="73"/>
        <v>-47.000082357770978</v>
      </c>
      <c r="AO399" s="134">
        <f t="shared" si="73"/>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5">
      <c r="A400" s="102"/>
      <c r="B400" s="112" t="s">
        <v>120</v>
      </c>
      <c r="C400" s="135"/>
      <c r="D400" s="134">
        <f t="shared" si="73"/>
        <v>73.788319675464123</v>
      </c>
      <c r="E400" s="134">
        <f t="shared" si="73"/>
        <v>73.788319675464123</v>
      </c>
      <c r="F400" s="134">
        <f t="shared" si="73"/>
        <v>73.788319675464123</v>
      </c>
      <c r="G400" s="134">
        <f t="shared" si="73"/>
        <v>73.788319675464123</v>
      </c>
      <c r="H400" s="134">
        <f t="shared" si="73"/>
        <v>73.788319675464123</v>
      </c>
      <c r="I400" s="134">
        <f t="shared" si="73"/>
        <v>73.788319675464123</v>
      </c>
      <c r="J400" s="134">
        <f t="shared" si="73"/>
        <v>71.940008031822671</v>
      </c>
      <c r="K400" s="134">
        <f t="shared" si="73"/>
        <v>68.238742141848093</v>
      </c>
      <c r="L400" s="134">
        <f t="shared" si="73"/>
        <v>64.528177859632393</v>
      </c>
      <c r="M400" s="134">
        <f t="shared" si="73"/>
        <v>60.808288768951925</v>
      </c>
      <c r="N400" s="134">
        <f t="shared" si="73"/>
        <v>57.07904836841292</v>
      </c>
      <c r="O400" s="134">
        <f t="shared" si="73"/>
        <v>53.34043007114407</v>
      </c>
      <c r="P400" s="134">
        <f t="shared" si="73"/>
        <v>49.592407204487671</v>
      </c>
      <c r="Q400" s="134">
        <f t="shared" si="73"/>
        <v>45.834953009689713</v>
      </c>
      <c r="R400" s="134">
        <f t="shared" si="73"/>
        <v>42.068040641588759</v>
      </c>
      <c r="S400" s="134">
        <f t="shared" si="73"/>
        <v>38.291643168303409</v>
      </c>
      <c r="T400" s="134">
        <f t="shared" si="73"/>
        <v>34.505733570918729</v>
      </c>
      <c r="U400" s="134">
        <f t="shared" si="73"/>
        <v>30.710284743171297</v>
      </c>
      <c r="V400" s="134">
        <f t="shared" si="73"/>
        <v>26.905269491133165</v>
      </c>
      <c r="W400" s="134">
        <f t="shared" si="73"/>
        <v>23.090660532894457</v>
      </c>
      <c r="X400" s="134">
        <f t="shared" si="73"/>
        <v>19.266430498244532</v>
      </c>
      <c r="Y400" s="134">
        <f t="shared" si="73"/>
        <v>15.432551928352307</v>
      </c>
      <c r="Z400" s="134">
        <f t="shared" si="73"/>
        <v>11.588997275445022</v>
      </c>
      <c r="AA400" s="134">
        <f t="shared" si="73"/>
        <v>7.7357389024858412</v>
      </c>
      <c r="AB400" s="134">
        <f t="shared" si="73"/>
        <v>3.8727490828500635</v>
      </c>
      <c r="AC400" s="134">
        <f t="shared" si="73"/>
        <v>0</v>
      </c>
      <c r="AD400" s="134">
        <f t="shared" si="73"/>
        <v>-3.8825362528410023</v>
      </c>
      <c r="AE400" s="134">
        <f t="shared" si="73"/>
        <v>-7.774887673016309</v>
      </c>
      <c r="AF400" s="134">
        <f t="shared" si="73"/>
        <v>-11.677082348764955</v>
      </c>
      <c r="AG400" s="134">
        <f t="shared" si="73"/>
        <v>-15.58914845955174</v>
      </c>
      <c r="AH400" s="134">
        <f t="shared" si="73"/>
        <v>-19.511114276398779</v>
      </c>
      <c r="AI400" s="134">
        <f t="shared" si="73"/>
        <v>-23.443008162218124</v>
      </c>
      <c r="AJ400" s="134">
        <f t="shared" si="73"/>
        <v>-27.379873184758683</v>
      </c>
      <c r="AK400" s="134">
        <f t="shared" si="73"/>
        <v>-31.316738207299242</v>
      </c>
      <c r="AL400" s="134">
        <f t="shared" si="73"/>
        <v>-35.253603229839797</v>
      </c>
      <c r="AM400" s="134">
        <f t="shared" si="73"/>
        <v>-39.190468252380356</v>
      </c>
      <c r="AN400" s="134">
        <f t="shared" si="73"/>
        <v>-43.127333274920915</v>
      </c>
      <c r="AO400" s="134">
        <f t="shared" si="73"/>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5">
      <c r="A401" s="102"/>
      <c r="B401" s="112" t="s">
        <v>121</v>
      </c>
      <c r="C401" s="135"/>
      <c r="D401" s="134">
        <f t="shared" si="73"/>
        <v>77.67085592830513</v>
      </c>
      <c r="E401" s="134">
        <f t="shared" si="73"/>
        <v>77.67085592830513</v>
      </c>
      <c r="F401" s="134">
        <f t="shared" si="73"/>
        <v>77.67085592830513</v>
      </c>
      <c r="G401" s="134">
        <f t="shared" si="73"/>
        <v>77.67085592830513</v>
      </c>
      <c r="H401" s="134">
        <f t="shared" si="73"/>
        <v>77.67085592830513</v>
      </c>
      <c r="I401" s="134">
        <f t="shared" si="73"/>
        <v>77.67085592830513</v>
      </c>
      <c r="J401" s="134">
        <f t="shared" si="73"/>
        <v>75.822544284663678</v>
      </c>
      <c r="K401" s="134">
        <f t="shared" si="73"/>
        <v>72.121278394689099</v>
      </c>
      <c r="L401" s="134">
        <f t="shared" si="73"/>
        <v>68.4107141124734</v>
      </c>
      <c r="M401" s="134">
        <f t="shared" si="73"/>
        <v>64.690825021792932</v>
      </c>
      <c r="N401" s="134">
        <f t="shared" si="73"/>
        <v>60.96158462125392</v>
      </c>
      <c r="O401" s="134">
        <f t="shared" si="73"/>
        <v>57.222966323985069</v>
      </c>
      <c r="P401" s="134">
        <f t="shared" si="73"/>
        <v>53.474943457328671</v>
      </c>
      <c r="Q401" s="134">
        <f t="shared" si="73"/>
        <v>49.717489262530712</v>
      </c>
      <c r="R401" s="134">
        <f t="shared" si="73"/>
        <v>45.950576894429759</v>
      </c>
      <c r="S401" s="134">
        <f t="shared" si="73"/>
        <v>42.174179421144409</v>
      </c>
      <c r="T401" s="134">
        <f t="shared" si="73"/>
        <v>38.388269823759728</v>
      </c>
      <c r="U401" s="134">
        <f t="shared" si="73"/>
        <v>34.5928209960123</v>
      </c>
      <c r="V401" s="134">
        <f t="shared" si="73"/>
        <v>30.787805743974168</v>
      </c>
      <c r="W401" s="134">
        <f t="shared" si="73"/>
        <v>26.97319678573546</v>
      </c>
      <c r="X401" s="134">
        <f t="shared" si="73"/>
        <v>23.148966751085535</v>
      </c>
      <c r="Y401" s="134">
        <f t="shared" si="73"/>
        <v>19.31508818119331</v>
      </c>
      <c r="Z401" s="134">
        <f t="shared" si="73"/>
        <v>15.471533528286024</v>
      </c>
      <c r="AA401" s="134">
        <f t="shared" si="73"/>
        <v>11.618275155326844</v>
      </c>
      <c r="AB401" s="134">
        <f t="shared" si="73"/>
        <v>7.7552853356910658</v>
      </c>
      <c r="AC401" s="134">
        <f t="shared" si="73"/>
        <v>3.8825362528410023</v>
      </c>
      <c r="AD401" s="134">
        <f t="shared" si="73"/>
        <v>0</v>
      </c>
      <c r="AE401" s="134">
        <f t="shared" si="73"/>
        <v>-3.8923514201753067</v>
      </c>
      <c r="AF401" s="134">
        <f t="shared" si="73"/>
        <v>-7.7945460959239528</v>
      </c>
      <c r="AG401" s="134">
        <f t="shared" si="73"/>
        <v>-11.706612206710739</v>
      </c>
      <c r="AH401" s="134">
        <f t="shared" si="73"/>
        <v>-15.628578023557779</v>
      </c>
      <c r="AI401" s="134">
        <f t="shared" si="73"/>
        <v>-19.560471909377124</v>
      </c>
      <c r="AJ401" s="134">
        <f t="shared" si="73"/>
        <v>-23.497336931917683</v>
      </c>
      <c r="AK401" s="134">
        <f t="shared" si="73"/>
        <v>-27.434201954458242</v>
      </c>
      <c r="AL401" s="134">
        <f t="shared" si="73"/>
        <v>-31.371066976998801</v>
      </c>
      <c r="AM401" s="134">
        <f t="shared" si="73"/>
        <v>-35.307931999539356</v>
      </c>
      <c r="AN401" s="134">
        <f t="shared" si="73"/>
        <v>-39.244797022079915</v>
      </c>
      <c r="AO401" s="134">
        <f t="shared" si="73"/>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5">
      <c r="A402" s="102"/>
      <c r="B402" s="112" t="s">
        <v>122</v>
      </c>
      <c r="C402" s="135"/>
      <c r="D402" s="134">
        <f t="shared" si="73"/>
        <v>81.563207348480432</v>
      </c>
      <c r="E402" s="134">
        <f t="shared" si="73"/>
        <v>81.563207348480432</v>
      </c>
      <c r="F402" s="134">
        <f t="shared" si="73"/>
        <v>81.563207348480432</v>
      </c>
      <c r="G402" s="134">
        <f t="shared" si="73"/>
        <v>81.563207348480432</v>
      </c>
      <c r="H402" s="134">
        <f t="shared" si="73"/>
        <v>81.563207348480432</v>
      </c>
      <c r="I402" s="134">
        <f t="shared" si="73"/>
        <v>81.563207348480432</v>
      </c>
      <c r="J402" s="134">
        <f t="shared" si="73"/>
        <v>79.71489570483898</v>
      </c>
      <c r="K402" s="134">
        <f t="shared" si="73"/>
        <v>76.013629814864402</v>
      </c>
      <c r="L402" s="134">
        <f t="shared" si="73"/>
        <v>72.303065532648702</v>
      </c>
      <c r="M402" s="134">
        <f t="shared" si="73"/>
        <v>68.583176441968234</v>
      </c>
      <c r="N402" s="134">
        <f t="shared" si="73"/>
        <v>64.853936041429222</v>
      </c>
      <c r="O402" s="134">
        <f t="shared" si="73"/>
        <v>61.115317744160379</v>
      </c>
      <c r="P402" s="134">
        <f t="shared" si="73"/>
        <v>57.36729487750398</v>
      </c>
      <c r="Q402" s="134">
        <f t="shared" si="73"/>
        <v>53.609840682706022</v>
      </c>
      <c r="R402" s="134">
        <f t="shared" si="73"/>
        <v>49.842928314605068</v>
      </c>
      <c r="S402" s="134">
        <f t="shared" si="73"/>
        <v>46.066530841319718</v>
      </c>
      <c r="T402" s="134">
        <f t="shared" si="73"/>
        <v>42.280621243935038</v>
      </c>
      <c r="U402" s="134">
        <f t="shared" si="73"/>
        <v>38.485172416187609</v>
      </c>
      <c r="V402" s="134">
        <f t="shared" si="73"/>
        <v>34.680157164149477</v>
      </c>
      <c r="W402" s="134">
        <f t="shared" si="73"/>
        <v>30.865548205910766</v>
      </c>
      <c r="X402" s="134">
        <f t="shared" si="73"/>
        <v>27.041318171260841</v>
      </c>
      <c r="Y402" s="134">
        <f t="shared" si="73"/>
        <v>23.207439601368616</v>
      </c>
      <c r="Z402" s="134">
        <f t="shared" si="73"/>
        <v>19.36388494846133</v>
      </c>
      <c r="AA402" s="134">
        <f t="shared" si="73"/>
        <v>15.510626575502151</v>
      </c>
      <c r="AB402" s="134">
        <f t="shared" si="73"/>
        <v>11.647636755866372</v>
      </c>
      <c r="AC402" s="134">
        <f t="shared" si="73"/>
        <v>7.774887673016309</v>
      </c>
      <c r="AD402" s="134">
        <f t="shared" si="73"/>
        <v>3.8923514201753067</v>
      </c>
      <c r="AE402" s="134">
        <f t="shared" si="73"/>
        <v>0</v>
      </c>
      <c r="AF402" s="134">
        <f t="shared" si="73"/>
        <v>-3.9021946757486461</v>
      </c>
      <c r="AG402" s="134">
        <f t="shared" si="73"/>
        <v>-7.8142607865354314</v>
      </c>
      <c r="AH402" s="134">
        <f t="shared" si="73"/>
        <v>-11.73622660338247</v>
      </c>
      <c r="AI402" s="134">
        <f t="shared" si="73"/>
        <v>-15.668120489201813</v>
      </c>
      <c r="AJ402" s="134">
        <f t="shared" si="73"/>
        <v>-19.60498551174237</v>
      </c>
      <c r="AK402" s="134">
        <f t="shared" si="73"/>
        <v>-23.541850534282929</v>
      </c>
      <c r="AL402" s="134">
        <f t="shared" si="73"/>
        <v>-27.478715556823488</v>
      </c>
      <c r="AM402" s="134">
        <f t="shared" si="73"/>
        <v>-31.415580579364047</v>
      </c>
      <c r="AN402" s="134">
        <f t="shared" si="73"/>
        <v>-35.352445601904606</v>
      </c>
      <c r="AO402" s="134">
        <f t="shared" si="73"/>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5">
      <c r="A403" s="102"/>
      <c r="B403" s="112" t="s">
        <v>123</v>
      </c>
      <c r="C403" s="135"/>
      <c r="D403" s="134">
        <f t="shared" si="73"/>
        <v>85.465402024229078</v>
      </c>
      <c r="E403" s="134">
        <f t="shared" si="73"/>
        <v>85.465402024229078</v>
      </c>
      <c r="F403" s="134">
        <f t="shared" si="73"/>
        <v>85.465402024229078</v>
      </c>
      <c r="G403" s="134">
        <f t="shared" si="73"/>
        <v>85.465402024229078</v>
      </c>
      <c r="H403" s="134">
        <f t="shared" si="73"/>
        <v>85.465402024229078</v>
      </c>
      <c r="I403" s="134">
        <f t="shared" si="73"/>
        <v>85.465402024229078</v>
      </c>
      <c r="J403" s="134">
        <f t="shared" si="73"/>
        <v>83.617090380587626</v>
      </c>
      <c r="K403" s="134">
        <f t="shared" si="73"/>
        <v>79.915824490613048</v>
      </c>
      <c r="L403" s="134">
        <f t="shared" si="73"/>
        <v>76.205260208397348</v>
      </c>
      <c r="M403" s="134">
        <f t="shared" si="73"/>
        <v>72.48537111771688</v>
      </c>
      <c r="N403" s="134">
        <f t="shared" si="73"/>
        <v>68.756130717177868</v>
      </c>
      <c r="O403" s="134">
        <f t="shared" si="73"/>
        <v>65.017512419909025</v>
      </c>
      <c r="P403" s="134">
        <f t="shared" si="73"/>
        <v>61.269489553252626</v>
      </c>
      <c r="Q403" s="134">
        <f t="shared" si="73"/>
        <v>57.512035358454668</v>
      </c>
      <c r="R403" s="134">
        <f t="shared" si="73"/>
        <v>53.745122990353714</v>
      </c>
      <c r="S403" s="134">
        <f t="shared" si="73"/>
        <v>49.968725517068364</v>
      </c>
      <c r="T403" s="134">
        <f t="shared" si="73"/>
        <v>46.182815919683684</v>
      </c>
      <c r="U403" s="134">
        <f t="shared" si="73"/>
        <v>42.387367091936255</v>
      </c>
      <c r="V403" s="134">
        <f t="shared" si="73"/>
        <v>38.582351839898124</v>
      </c>
      <c r="W403" s="134">
        <f t="shared" si="73"/>
        <v>34.767742881659416</v>
      </c>
      <c r="X403" s="134">
        <f t="shared" si="73"/>
        <v>30.943512847009487</v>
      </c>
      <c r="Y403" s="134">
        <f t="shared" si="73"/>
        <v>27.109634277117262</v>
      </c>
      <c r="Z403" s="134">
        <f t="shared" si="73"/>
        <v>23.266079624209976</v>
      </c>
      <c r="AA403" s="134">
        <f t="shared" si="73"/>
        <v>19.412821251250797</v>
      </c>
      <c r="AB403" s="134">
        <f t="shared" si="73"/>
        <v>15.549831431615019</v>
      </c>
      <c r="AC403" s="134">
        <f t="shared" si="73"/>
        <v>11.677082348764955</v>
      </c>
      <c r="AD403" s="134">
        <f t="shared" si="73"/>
        <v>7.7945460959239528</v>
      </c>
      <c r="AE403" s="134">
        <f t="shared" ref="AE403:AO403" si="74">IF(AE$373=$B403,0,IF(AE$373&gt;$B403,-0.5*AE$371-0.5*AD$371+AD403,0.5*HLOOKUP($B403,$D$370:$AO$371,2,FALSE)+0.5*HLOOKUP($B402,$D$370:$AO$371,2,FALSE)+AE402))</f>
        <v>3.9021946757486461</v>
      </c>
      <c r="AF403" s="134">
        <f t="shared" si="74"/>
        <v>0</v>
      </c>
      <c r="AG403" s="134">
        <f t="shared" si="74"/>
        <v>-3.9120661107867858</v>
      </c>
      <c r="AH403" s="134">
        <f t="shared" si="74"/>
        <v>-7.8340319276338253</v>
      </c>
      <c r="AI403" s="134">
        <f t="shared" si="74"/>
        <v>-11.765925813453169</v>
      </c>
      <c r="AJ403" s="134">
        <f t="shared" si="74"/>
        <v>-15.702790835993728</v>
      </c>
      <c r="AK403" s="134">
        <f t="shared" si="74"/>
        <v>-19.639655858534287</v>
      </c>
      <c r="AL403" s="134">
        <f t="shared" si="74"/>
        <v>-23.576520881074845</v>
      </c>
      <c r="AM403" s="134">
        <f t="shared" si="74"/>
        <v>-27.513385903615404</v>
      </c>
      <c r="AN403" s="134">
        <f t="shared" si="74"/>
        <v>-31.450250926155963</v>
      </c>
      <c r="AO403" s="134">
        <f t="shared" si="74"/>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5">
      <c r="A404" s="102"/>
      <c r="B404" s="112" t="s">
        <v>124</v>
      </c>
      <c r="C404" s="135"/>
      <c r="D404" s="134">
        <f t="shared" ref="D404:AO410" si="75">IF(D$373=$B404,0,IF(D$373&gt;$B404,-0.5*D$371-0.5*C$371+C404,0.5*HLOOKUP($B404,$D$370:$AO$371,2,FALSE)+0.5*HLOOKUP($B403,$D$370:$AO$371,2,FALSE)+D403))</f>
        <v>89.37746813501586</v>
      </c>
      <c r="E404" s="134">
        <f t="shared" si="75"/>
        <v>89.37746813501586</v>
      </c>
      <c r="F404" s="134">
        <f t="shared" si="75"/>
        <v>89.37746813501586</v>
      </c>
      <c r="G404" s="134">
        <f t="shared" si="75"/>
        <v>89.37746813501586</v>
      </c>
      <c r="H404" s="134">
        <f t="shared" si="75"/>
        <v>89.37746813501586</v>
      </c>
      <c r="I404" s="134">
        <f t="shared" si="75"/>
        <v>89.37746813501586</v>
      </c>
      <c r="J404" s="134">
        <f t="shared" si="75"/>
        <v>87.529156491374408</v>
      </c>
      <c r="K404" s="134">
        <f t="shared" si="75"/>
        <v>83.82789060139983</v>
      </c>
      <c r="L404" s="134">
        <f t="shared" si="75"/>
        <v>80.11732631918413</v>
      </c>
      <c r="M404" s="134">
        <f t="shared" si="75"/>
        <v>76.397437228503662</v>
      </c>
      <c r="N404" s="134">
        <f t="shared" si="75"/>
        <v>72.66819682796465</v>
      </c>
      <c r="O404" s="134">
        <f t="shared" si="75"/>
        <v>68.929578530695807</v>
      </c>
      <c r="P404" s="134">
        <f t="shared" si="75"/>
        <v>65.181555664039408</v>
      </c>
      <c r="Q404" s="134">
        <f t="shared" si="75"/>
        <v>61.424101469241457</v>
      </c>
      <c r="R404" s="134">
        <f t="shared" si="75"/>
        <v>57.657189101140503</v>
      </c>
      <c r="S404" s="134">
        <f t="shared" si="75"/>
        <v>53.880791627855153</v>
      </c>
      <c r="T404" s="134">
        <f t="shared" si="75"/>
        <v>50.094882030470473</v>
      </c>
      <c r="U404" s="134">
        <f t="shared" si="75"/>
        <v>46.299433202723044</v>
      </c>
      <c r="V404" s="134">
        <f t="shared" si="75"/>
        <v>42.494417950684912</v>
      </c>
      <c r="W404" s="134">
        <f t="shared" si="75"/>
        <v>38.679808992446205</v>
      </c>
      <c r="X404" s="134">
        <f t="shared" si="75"/>
        <v>34.855578957796276</v>
      </c>
      <c r="Y404" s="134">
        <f t="shared" si="75"/>
        <v>31.021700387904048</v>
      </c>
      <c r="Z404" s="134">
        <f t="shared" si="75"/>
        <v>27.178145734996761</v>
      </c>
      <c r="AA404" s="134">
        <f t="shared" si="75"/>
        <v>23.324887362037583</v>
      </c>
      <c r="AB404" s="134">
        <f t="shared" si="75"/>
        <v>19.461897542401804</v>
      </c>
      <c r="AC404" s="134">
        <f t="shared" si="75"/>
        <v>15.58914845955174</v>
      </c>
      <c r="AD404" s="134">
        <f t="shared" si="75"/>
        <v>11.706612206710739</v>
      </c>
      <c r="AE404" s="134">
        <f t="shared" si="75"/>
        <v>7.8142607865354314</v>
      </c>
      <c r="AF404" s="134">
        <f t="shared" si="75"/>
        <v>3.9120661107867858</v>
      </c>
      <c r="AG404" s="134">
        <f t="shared" si="75"/>
        <v>0</v>
      </c>
      <c r="AH404" s="134">
        <f t="shared" si="75"/>
        <v>-3.921965816847039</v>
      </c>
      <c r="AI404" s="134">
        <f t="shared" si="75"/>
        <v>-7.8538597026663837</v>
      </c>
      <c r="AJ404" s="134">
        <f t="shared" si="75"/>
        <v>-11.790724725206942</v>
      </c>
      <c r="AK404" s="134">
        <f t="shared" si="75"/>
        <v>-15.727589747747501</v>
      </c>
      <c r="AL404" s="134">
        <f t="shared" si="75"/>
        <v>-19.66445477028806</v>
      </c>
      <c r="AM404" s="134">
        <f t="shared" si="75"/>
        <v>-23.601319792828619</v>
      </c>
      <c r="AN404" s="134">
        <f t="shared" si="75"/>
        <v>-27.538184815369178</v>
      </c>
      <c r="AO404" s="134">
        <f t="shared" si="75"/>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5">
      <c r="A405" s="102"/>
      <c r="B405" s="112" t="s">
        <v>125</v>
      </c>
      <c r="C405" s="135"/>
      <c r="D405" s="134">
        <f t="shared" si="75"/>
        <v>93.299433951862895</v>
      </c>
      <c r="E405" s="134">
        <f t="shared" si="75"/>
        <v>93.299433951862895</v>
      </c>
      <c r="F405" s="134">
        <f t="shared" si="75"/>
        <v>93.299433951862895</v>
      </c>
      <c r="G405" s="134">
        <f t="shared" si="75"/>
        <v>93.299433951862895</v>
      </c>
      <c r="H405" s="134">
        <f t="shared" si="75"/>
        <v>93.299433951862895</v>
      </c>
      <c r="I405" s="134">
        <f t="shared" si="75"/>
        <v>93.299433951862895</v>
      </c>
      <c r="J405" s="134">
        <f t="shared" si="75"/>
        <v>91.451122308221443</v>
      </c>
      <c r="K405" s="134">
        <f t="shared" si="75"/>
        <v>87.749856418246864</v>
      </c>
      <c r="L405" s="134">
        <f t="shared" si="75"/>
        <v>84.039292136031165</v>
      </c>
      <c r="M405" s="134">
        <f t="shared" si="75"/>
        <v>80.319403045350697</v>
      </c>
      <c r="N405" s="134">
        <f t="shared" si="75"/>
        <v>76.590162644811684</v>
      </c>
      <c r="O405" s="134">
        <f t="shared" si="75"/>
        <v>72.851544347542841</v>
      </c>
      <c r="P405" s="134">
        <f t="shared" si="75"/>
        <v>69.103521480886442</v>
      </c>
      <c r="Q405" s="134">
        <f t="shared" si="75"/>
        <v>65.346067286088498</v>
      </c>
      <c r="R405" s="134">
        <f t="shared" si="75"/>
        <v>61.579154917987545</v>
      </c>
      <c r="S405" s="134">
        <f t="shared" si="75"/>
        <v>57.802757444702195</v>
      </c>
      <c r="T405" s="134">
        <f t="shared" si="75"/>
        <v>54.016847847317514</v>
      </c>
      <c r="U405" s="134">
        <f t="shared" si="75"/>
        <v>50.221399019570086</v>
      </c>
      <c r="V405" s="134">
        <f t="shared" si="75"/>
        <v>46.416383767531954</v>
      </c>
      <c r="W405" s="134">
        <f t="shared" si="75"/>
        <v>42.601774809293246</v>
      </c>
      <c r="X405" s="134">
        <f t="shared" si="75"/>
        <v>38.777544774643317</v>
      </c>
      <c r="Y405" s="134">
        <f t="shared" si="75"/>
        <v>34.943666204751089</v>
      </c>
      <c r="Z405" s="134">
        <f t="shared" si="75"/>
        <v>31.100111551843799</v>
      </c>
      <c r="AA405" s="134">
        <f t="shared" si="75"/>
        <v>27.246853178884621</v>
      </c>
      <c r="AB405" s="134">
        <f t="shared" si="75"/>
        <v>23.383863359248842</v>
      </c>
      <c r="AC405" s="134">
        <f t="shared" si="75"/>
        <v>19.511114276398779</v>
      </c>
      <c r="AD405" s="134">
        <f t="shared" si="75"/>
        <v>15.628578023557779</v>
      </c>
      <c r="AE405" s="134">
        <f t="shared" si="75"/>
        <v>11.73622660338247</v>
      </c>
      <c r="AF405" s="134">
        <f t="shared" si="75"/>
        <v>7.8340319276338253</v>
      </c>
      <c r="AG405" s="134">
        <f t="shared" si="75"/>
        <v>3.921965816847039</v>
      </c>
      <c r="AH405" s="134">
        <f t="shared" si="75"/>
        <v>0</v>
      </c>
      <c r="AI405" s="134">
        <f t="shared" si="75"/>
        <v>-3.9318938858193442</v>
      </c>
      <c r="AJ405" s="134">
        <f t="shared" si="75"/>
        <v>-7.8687589083599025</v>
      </c>
      <c r="AK405" s="134">
        <f t="shared" si="75"/>
        <v>-11.80562393090046</v>
      </c>
      <c r="AL405" s="134">
        <f t="shared" si="75"/>
        <v>-15.742488953441018</v>
      </c>
      <c r="AM405" s="134">
        <f t="shared" si="75"/>
        <v>-19.679353975981577</v>
      </c>
      <c r="AN405" s="134">
        <f t="shared" si="75"/>
        <v>-23.616218998522136</v>
      </c>
      <c r="AO405" s="134">
        <f t="shared" si="75"/>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5">
      <c r="A406" s="102"/>
      <c r="B406" s="112" t="s">
        <v>126</v>
      </c>
      <c r="C406" s="135"/>
      <c r="D406" s="134">
        <f t="shared" si="75"/>
        <v>97.231327837682244</v>
      </c>
      <c r="E406" s="134">
        <f t="shared" si="75"/>
        <v>97.231327837682244</v>
      </c>
      <c r="F406" s="134">
        <f t="shared" si="75"/>
        <v>97.231327837682244</v>
      </c>
      <c r="G406" s="134">
        <f t="shared" si="75"/>
        <v>97.231327837682244</v>
      </c>
      <c r="H406" s="134">
        <f t="shared" si="75"/>
        <v>97.231327837682244</v>
      </c>
      <c r="I406" s="134">
        <f t="shared" si="75"/>
        <v>97.231327837682244</v>
      </c>
      <c r="J406" s="134">
        <f t="shared" si="75"/>
        <v>95.383016194040792</v>
      </c>
      <c r="K406" s="134">
        <f t="shared" si="75"/>
        <v>91.681750304066213</v>
      </c>
      <c r="L406" s="134">
        <f t="shared" si="75"/>
        <v>87.971186021850514</v>
      </c>
      <c r="M406" s="134">
        <f t="shared" si="75"/>
        <v>84.251296931170046</v>
      </c>
      <c r="N406" s="134">
        <f t="shared" si="75"/>
        <v>80.522056530631033</v>
      </c>
      <c r="O406" s="134">
        <f t="shared" si="75"/>
        <v>76.78343823336219</v>
      </c>
      <c r="P406" s="134">
        <f t="shared" si="75"/>
        <v>73.035415366705791</v>
      </c>
      <c r="Q406" s="134">
        <f t="shared" si="75"/>
        <v>69.277961171907847</v>
      </c>
      <c r="R406" s="134">
        <f t="shared" si="75"/>
        <v>65.511048803806887</v>
      </c>
      <c r="S406" s="134">
        <f t="shared" si="75"/>
        <v>61.734651330521537</v>
      </c>
      <c r="T406" s="134">
        <f t="shared" si="75"/>
        <v>57.948741733136856</v>
      </c>
      <c r="U406" s="134">
        <f t="shared" si="75"/>
        <v>54.153292905389428</v>
      </c>
      <c r="V406" s="134">
        <f t="shared" si="75"/>
        <v>50.348277653351296</v>
      </c>
      <c r="W406" s="134">
        <f t="shared" si="75"/>
        <v>46.533668695112588</v>
      </c>
      <c r="X406" s="134">
        <f t="shared" si="75"/>
        <v>42.709438660462659</v>
      </c>
      <c r="Y406" s="134">
        <f t="shared" si="75"/>
        <v>38.875560090570431</v>
      </c>
      <c r="Z406" s="134">
        <f t="shared" si="75"/>
        <v>35.032005437663145</v>
      </c>
      <c r="AA406" s="134">
        <f t="shared" si="75"/>
        <v>31.178747064703966</v>
      </c>
      <c r="AB406" s="134">
        <f t="shared" si="75"/>
        <v>27.315757245068188</v>
      </c>
      <c r="AC406" s="134">
        <f t="shared" si="75"/>
        <v>23.443008162218124</v>
      </c>
      <c r="AD406" s="134">
        <f t="shared" si="75"/>
        <v>19.560471909377124</v>
      </c>
      <c r="AE406" s="134">
        <f t="shared" si="75"/>
        <v>15.668120489201813</v>
      </c>
      <c r="AF406" s="134">
        <f t="shared" si="75"/>
        <v>11.765925813453169</v>
      </c>
      <c r="AG406" s="134">
        <f t="shared" si="75"/>
        <v>7.8538597026663837</v>
      </c>
      <c r="AH406" s="134">
        <f t="shared" si="75"/>
        <v>3.9318938858193442</v>
      </c>
      <c r="AI406" s="134">
        <f t="shared" si="75"/>
        <v>0</v>
      </c>
      <c r="AJ406" s="134">
        <f t="shared" si="75"/>
        <v>-3.9368650225405579</v>
      </c>
      <c r="AK406" s="134">
        <f t="shared" si="75"/>
        <v>-7.8737300450811158</v>
      </c>
      <c r="AL406" s="134">
        <f t="shared" si="75"/>
        <v>-11.810595067621673</v>
      </c>
      <c r="AM406" s="134">
        <f t="shared" si="75"/>
        <v>-15.747460090162232</v>
      </c>
      <c r="AN406" s="134">
        <f t="shared" si="75"/>
        <v>-19.684325112702791</v>
      </c>
      <c r="AO406" s="134">
        <f t="shared" si="75"/>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5">
      <c r="A407" s="102"/>
      <c r="B407" s="112" t="s">
        <v>127</v>
      </c>
      <c r="C407" s="135"/>
      <c r="D407" s="134">
        <f t="shared" si="75"/>
        <v>101.1681928602228</v>
      </c>
      <c r="E407" s="134">
        <f t="shared" si="75"/>
        <v>101.1681928602228</v>
      </c>
      <c r="F407" s="134">
        <f t="shared" si="75"/>
        <v>101.1681928602228</v>
      </c>
      <c r="G407" s="134">
        <f t="shared" si="75"/>
        <v>101.1681928602228</v>
      </c>
      <c r="H407" s="134">
        <f t="shared" si="75"/>
        <v>101.1681928602228</v>
      </c>
      <c r="I407" s="134">
        <f t="shared" si="75"/>
        <v>101.1681928602228</v>
      </c>
      <c r="J407" s="134">
        <f t="shared" si="75"/>
        <v>99.319881216581351</v>
      </c>
      <c r="K407" s="134">
        <f t="shared" si="75"/>
        <v>95.618615326606772</v>
      </c>
      <c r="L407" s="134">
        <f t="shared" si="75"/>
        <v>91.908051044391073</v>
      </c>
      <c r="M407" s="134">
        <f t="shared" si="75"/>
        <v>88.188161953710605</v>
      </c>
      <c r="N407" s="134">
        <f t="shared" si="75"/>
        <v>84.458921553171592</v>
      </c>
      <c r="O407" s="134">
        <f t="shared" si="75"/>
        <v>80.720303255902749</v>
      </c>
      <c r="P407" s="134">
        <f t="shared" si="75"/>
        <v>76.97228038924635</v>
      </c>
      <c r="Q407" s="134">
        <f t="shared" si="75"/>
        <v>73.214826194448406</v>
      </c>
      <c r="R407" s="134">
        <f t="shared" si="75"/>
        <v>69.447913826347445</v>
      </c>
      <c r="S407" s="134">
        <f t="shared" si="75"/>
        <v>65.671516353062088</v>
      </c>
      <c r="T407" s="134">
        <f t="shared" si="75"/>
        <v>61.885606755677415</v>
      </c>
      <c r="U407" s="134">
        <f t="shared" si="75"/>
        <v>58.090157927929987</v>
      </c>
      <c r="V407" s="134">
        <f t="shared" si="75"/>
        <v>54.285142675891855</v>
      </c>
      <c r="W407" s="134">
        <f t="shared" si="75"/>
        <v>50.470533717653147</v>
      </c>
      <c r="X407" s="134">
        <f t="shared" si="75"/>
        <v>46.646303683003218</v>
      </c>
      <c r="Y407" s="134">
        <f t="shared" si="75"/>
        <v>42.81242511311099</v>
      </c>
      <c r="Z407" s="134">
        <f t="shared" si="75"/>
        <v>38.968870460203703</v>
      </c>
      <c r="AA407" s="134">
        <f t="shared" si="75"/>
        <v>35.115612087244521</v>
      </c>
      <c r="AB407" s="134">
        <f t="shared" si="75"/>
        <v>31.252622267608746</v>
      </c>
      <c r="AC407" s="134">
        <f t="shared" si="75"/>
        <v>27.379873184758683</v>
      </c>
      <c r="AD407" s="134">
        <f t="shared" si="75"/>
        <v>23.497336931917683</v>
      </c>
      <c r="AE407" s="134">
        <f t="shared" si="75"/>
        <v>19.60498551174237</v>
      </c>
      <c r="AF407" s="134">
        <f t="shared" si="75"/>
        <v>15.702790835993728</v>
      </c>
      <c r="AG407" s="134">
        <f t="shared" si="75"/>
        <v>11.790724725206942</v>
      </c>
      <c r="AH407" s="134">
        <f t="shared" si="75"/>
        <v>7.8687589083599025</v>
      </c>
      <c r="AI407" s="134">
        <f t="shared" si="75"/>
        <v>3.9368650225405579</v>
      </c>
      <c r="AJ407" s="134">
        <f t="shared" si="75"/>
        <v>0</v>
      </c>
      <c r="AK407" s="134">
        <f t="shared" si="75"/>
        <v>-3.9368650225405579</v>
      </c>
      <c r="AL407" s="134">
        <f t="shared" si="75"/>
        <v>-7.8737300450811158</v>
      </c>
      <c r="AM407" s="134">
        <f t="shared" si="75"/>
        <v>-11.810595067621673</v>
      </c>
      <c r="AN407" s="134">
        <f t="shared" si="75"/>
        <v>-15.747460090162232</v>
      </c>
      <c r="AO407" s="134">
        <f t="shared" si="75"/>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5">
      <c r="A408" s="102"/>
      <c r="B408" s="112" t="s">
        <v>128</v>
      </c>
      <c r="C408" s="135"/>
      <c r="D408" s="134">
        <f t="shared" si="75"/>
        <v>105.10505788276336</v>
      </c>
      <c r="E408" s="134">
        <f t="shared" si="75"/>
        <v>105.10505788276336</v>
      </c>
      <c r="F408" s="134">
        <f t="shared" si="75"/>
        <v>105.10505788276336</v>
      </c>
      <c r="G408" s="134">
        <f t="shared" si="75"/>
        <v>105.10505788276336</v>
      </c>
      <c r="H408" s="134">
        <f t="shared" si="75"/>
        <v>105.10505788276336</v>
      </c>
      <c r="I408" s="134">
        <f t="shared" si="75"/>
        <v>105.10505788276336</v>
      </c>
      <c r="J408" s="134">
        <f t="shared" si="75"/>
        <v>103.25674623912191</v>
      </c>
      <c r="K408" s="134">
        <f t="shared" si="75"/>
        <v>99.555480349147331</v>
      </c>
      <c r="L408" s="134">
        <f t="shared" si="75"/>
        <v>95.844916066931631</v>
      </c>
      <c r="M408" s="134">
        <f t="shared" si="75"/>
        <v>92.125026976251164</v>
      </c>
      <c r="N408" s="134">
        <f t="shared" si="75"/>
        <v>88.395786575712151</v>
      </c>
      <c r="O408" s="134">
        <f t="shared" si="75"/>
        <v>84.657168278443308</v>
      </c>
      <c r="P408" s="134">
        <f t="shared" si="75"/>
        <v>80.909145411786909</v>
      </c>
      <c r="Q408" s="134">
        <f t="shared" si="75"/>
        <v>77.151691216988965</v>
      </c>
      <c r="R408" s="134">
        <f t="shared" si="75"/>
        <v>73.384778848888004</v>
      </c>
      <c r="S408" s="134">
        <f t="shared" si="75"/>
        <v>69.608381375602647</v>
      </c>
      <c r="T408" s="134">
        <f t="shared" si="75"/>
        <v>65.822471778217974</v>
      </c>
      <c r="U408" s="134">
        <f t="shared" si="75"/>
        <v>62.027022950470545</v>
      </c>
      <c r="V408" s="134">
        <f t="shared" si="75"/>
        <v>58.222007698432414</v>
      </c>
      <c r="W408" s="134">
        <f t="shared" si="75"/>
        <v>54.407398740193706</v>
      </c>
      <c r="X408" s="134">
        <f t="shared" si="75"/>
        <v>50.583168705543777</v>
      </c>
      <c r="Y408" s="134">
        <f t="shared" si="75"/>
        <v>46.749290135651549</v>
      </c>
      <c r="Z408" s="134">
        <f t="shared" si="75"/>
        <v>42.905735482744262</v>
      </c>
      <c r="AA408" s="134">
        <f t="shared" si="75"/>
        <v>39.05247710978508</v>
      </c>
      <c r="AB408" s="134">
        <f t="shared" si="75"/>
        <v>35.189487290149302</v>
      </c>
      <c r="AC408" s="134">
        <f t="shared" si="75"/>
        <v>31.316738207299242</v>
      </c>
      <c r="AD408" s="134">
        <f t="shared" si="75"/>
        <v>27.434201954458242</v>
      </c>
      <c r="AE408" s="134">
        <f t="shared" si="75"/>
        <v>23.541850534282929</v>
      </c>
      <c r="AF408" s="134">
        <f t="shared" si="75"/>
        <v>19.639655858534287</v>
      </c>
      <c r="AG408" s="134">
        <f t="shared" si="75"/>
        <v>15.727589747747501</v>
      </c>
      <c r="AH408" s="134">
        <f t="shared" si="75"/>
        <v>11.80562393090046</v>
      </c>
      <c r="AI408" s="134">
        <f t="shared" si="75"/>
        <v>7.8737300450811158</v>
      </c>
      <c r="AJ408" s="134">
        <f t="shared" si="75"/>
        <v>3.9368650225405579</v>
      </c>
      <c r="AK408" s="134">
        <f t="shared" si="75"/>
        <v>0</v>
      </c>
      <c r="AL408" s="134">
        <f t="shared" si="75"/>
        <v>-3.9368650225405579</v>
      </c>
      <c r="AM408" s="134">
        <f t="shared" si="75"/>
        <v>-7.8737300450811158</v>
      </c>
      <c r="AN408" s="134">
        <f t="shared" si="75"/>
        <v>-11.810595067621673</v>
      </c>
      <c r="AO408" s="134">
        <f t="shared" si="75"/>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5">
      <c r="A409" s="102"/>
      <c r="B409" s="112" t="s">
        <v>129</v>
      </c>
      <c r="C409" s="135"/>
      <c r="D409" s="134">
        <f t="shared" si="75"/>
        <v>109.04192290530392</v>
      </c>
      <c r="E409" s="134">
        <f t="shared" si="75"/>
        <v>109.04192290530392</v>
      </c>
      <c r="F409" s="134">
        <f t="shared" si="75"/>
        <v>109.04192290530392</v>
      </c>
      <c r="G409" s="134">
        <f t="shared" si="75"/>
        <v>109.04192290530392</v>
      </c>
      <c r="H409" s="134">
        <f t="shared" si="75"/>
        <v>109.04192290530392</v>
      </c>
      <c r="I409" s="134">
        <f t="shared" si="75"/>
        <v>109.04192290530392</v>
      </c>
      <c r="J409" s="134">
        <f t="shared" si="75"/>
        <v>107.19361126166247</v>
      </c>
      <c r="K409" s="134">
        <f t="shared" si="75"/>
        <v>103.49234537168789</v>
      </c>
      <c r="L409" s="134">
        <f t="shared" si="75"/>
        <v>99.78178108947219</v>
      </c>
      <c r="M409" s="134">
        <f t="shared" si="75"/>
        <v>96.061891998791722</v>
      </c>
      <c r="N409" s="134">
        <f t="shared" si="75"/>
        <v>92.33265159825271</v>
      </c>
      <c r="O409" s="134">
        <f t="shared" si="75"/>
        <v>88.594033300983867</v>
      </c>
      <c r="P409" s="134">
        <f t="shared" si="75"/>
        <v>84.846010434327468</v>
      </c>
      <c r="Q409" s="134">
        <f t="shared" si="75"/>
        <v>81.088556239529524</v>
      </c>
      <c r="R409" s="134">
        <f t="shared" si="75"/>
        <v>77.321643871428563</v>
      </c>
      <c r="S409" s="134">
        <f t="shared" si="75"/>
        <v>73.545246398143206</v>
      </c>
      <c r="T409" s="134">
        <f t="shared" si="75"/>
        <v>69.759336800758533</v>
      </c>
      <c r="U409" s="134">
        <f t="shared" si="75"/>
        <v>65.963887973011097</v>
      </c>
      <c r="V409" s="134">
        <f t="shared" si="75"/>
        <v>62.158872720972973</v>
      </c>
      <c r="W409" s="134">
        <f t="shared" si="75"/>
        <v>58.344263762734265</v>
      </c>
      <c r="X409" s="134">
        <f t="shared" si="75"/>
        <v>54.520033728084336</v>
      </c>
      <c r="Y409" s="134">
        <f t="shared" si="75"/>
        <v>50.686155158192108</v>
      </c>
      <c r="Z409" s="134">
        <f t="shared" si="75"/>
        <v>46.842600505284821</v>
      </c>
      <c r="AA409" s="134">
        <f t="shared" si="75"/>
        <v>42.989342132325639</v>
      </c>
      <c r="AB409" s="134">
        <f t="shared" si="75"/>
        <v>39.12635231268986</v>
      </c>
      <c r="AC409" s="134">
        <f t="shared" si="75"/>
        <v>35.253603229839797</v>
      </c>
      <c r="AD409" s="134">
        <f t="shared" si="75"/>
        <v>31.371066976998801</v>
      </c>
      <c r="AE409" s="134">
        <f t="shared" si="75"/>
        <v>27.478715556823488</v>
      </c>
      <c r="AF409" s="134">
        <f t="shared" si="75"/>
        <v>23.576520881074845</v>
      </c>
      <c r="AG409" s="134">
        <f t="shared" si="75"/>
        <v>19.66445477028806</v>
      </c>
      <c r="AH409" s="134">
        <f t="shared" si="75"/>
        <v>15.742488953441018</v>
      </c>
      <c r="AI409" s="134">
        <f t="shared" si="75"/>
        <v>11.810595067621673</v>
      </c>
      <c r="AJ409" s="134">
        <f t="shared" si="75"/>
        <v>7.8737300450811158</v>
      </c>
      <c r="AK409" s="134">
        <f t="shared" si="75"/>
        <v>3.9368650225405579</v>
      </c>
      <c r="AL409" s="134">
        <f t="shared" si="75"/>
        <v>0</v>
      </c>
      <c r="AM409" s="134">
        <f t="shared" si="75"/>
        <v>-3.9368650225405579</v>
      </c>
      <c r="AN409" s="134">
        <f t="shared" si="75"/>
        <v>-7.8737300450811158</v>
      </c>
      <c r="AO409" s="134">
        <f t="shared" si="7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5">
      <c r="A410" s="102"/>
      <c r="B410" s="112" t="s">
        <v>130</v>
      </c>
      <c r="C410" s="135"/>
      <c r="D410" s="134">
        <f t="shared" si="75"/>
        <v>112.97878792784448</v>
      </c>
      <c r="E410" s="134">
        <f t="shared" si="75"/>
        <v>112.97878792784448</v>
      </c>
      <c r="F410" s="134">
        <f t="shared" si="75"/>
        <v>112.97878792784448</v>
      </c>
      <c r="G410" s="134">
        <f t="shared" si="75"/>
        <v>112.97878792784448</v>
      </c>
      <c r="H410" s="134">
        <f t="shared" si="75"/>
        <v>112.97878792784448</v>
      </c>
      <c r="I410" s="134">
        <f t="shared" si="75"/>
        <v>112.97878792784448</v>
      </c>
      <c r="J410" s="134">
        <f t="shared" si="75"/>
        <v>111.13047628420303</v>
      </c>
      <c r="K410" s="134">
        <f t="shared" si="75"/>
        <v>107.42921039422845</v>
      </c>
      <c r="L410" s="134">
        <f t="shared" si="75"/>
        <v>103.71864611201275</v>
      </c>
      <c r="M410" s="134">
        <f t="shared" si="75"/>
        <v>99.998757021332281</v>
      </c>
      <c r="N410" s="134">
        <f t="shared" si="75"/>
        <v>96.269516620793269</v>
      </c>
      <c r="O410" s="134">
        <f t="shared" si="75"/>
        <v>92.530898323524426</v>
      </c>
      <c r="P410" s="134">
        <f t="shared" si="75"/>
        <v>88.782875456868027</v>
      </c>
      <c r="Q410" s="134">
        <f t="shared" si="75"/>
        <v>85.025421262070083</v>
      </c>
      <c r="R410" s="134">
        <f t="shared" si="75"/>
        <v>81.258508893969122</v>
      </c>
      <c r="S410" s="134">
        <f t="shared" si="75"/>
        <v>77.482111420683765</v>
      </c>
      <c r="T410" s="134">
        <f t="shared" si="75"/>
        <v>73.696201823299091</v>
      </c>
      <c r="U410" s="134">
        <f t="shared" si="75"/>
        <v>69.900752995551656</v>
      </c>
      <c r="V410" s="134">
        <f t="shared" si="75"/>
        <v>66.095737743513524</v>
      </c>
      <c r="W410" s="134">
        <f t="shared" si="75"/>
        <v>62.281128785274824</v>
      </c>
      <c r="X410" s="134">
        <f t="shared" si="75"/>
        <v>58.456898750624894</v>
      </c>
      <c r="Y410" s="134">
        <f t="shared" si="75"/>
        <v>54.623020180732667</v>
      </c>
      <c r="Z410" s="134">
        <f t="shared" si="75"/>
        <v>50.77946552782538</v>
      </c>
      <c r="AA410" s="134">
        <f t="shared" si="75"/>
        <v>46.926207154866198</v>
      </c>
      <c r="AB410" s="134">
        <f t="shared" si="75"/>
        <v>43.063217335230419</v>
      </c>
      <c r="AC410" s="134">
        <f t="shared" si="75"/>
        <v>39.190468252380356</v>
      </c>
      <c r="AD410" s="134">
        <f t="shared" si="75"/>
        <v>35.307931999539356</v>
      </c>
      <c r="AE410" s="134">
        <f t="shared" ref="AE410:AO410" si="76">IF(AE$373=$B410,0,IF(AE$373&gt;$B410,-0.5*AE$371-0.5*AD$371+AD410,0.5*HLOOKUP($B410,$D$370:$AO$371,2,FALSE)+0.5*HLOOKUP($B409,$D$370:$AO$371,2,FALSE)+AE409))</f>
        <v>31.415580579364047</v>
      </c>
      <c r="AF410" s="134">
        <f t="shared" si="76"/>
        <v>27.513385903615404</v>
      </c>
      <c r="AG410" s="134">
        <f t="shared" si="76"/>
        <v>23.601319792828619</v>
      </c>
      <c r="AH410" s="134">
        <f t="shared" si="76"/>
        <v>19.679353975981577</v>
      </c>
      <c r="AI410" s="134">
        <f t="shared" si="76"/>
        <v>15.747460090162232</v>
      </c>
      <c r="AJ410" s="134">
        <f t="shared" si="76"/>
        <v>11.810595067621673</v>
      </c>
      <c r="AK410" s="134">
        <f t="shared" si="76"/>
        <v>7.8737300450811158</v>
      </c>
      <c r="AL410" s="134">
        <f t="shared" si="76"/>
        <v>3.9368650225405579</v>
      </c>
      <c r="AM410" s="134">
        <f t="shared" si="76"/>
        <v>0</v>
      </c>
      <c r="AN410" s="134">
        <f t="shared" si="76"/>
        <v>-3.9368650225405579</v>
      </c>
      <c r="AO410" s="134">
        <f t="shared" si="7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5">
      <c r="A411" s="102"/>
      <c r="B411" s="112" t="s">
        <v>131</v>
      </c>
      <c r="C411" s="135"/>
      <c r="D411" s="134">
        <f t="shared" ref="D411:AO412" si="77">IF(D$373=$B411,0,IF(D$373&gt;$B411,-0.5*D$371-0.5*C$371+C411,0.5*HLOOKUP($B411,$D$370:$AO$371,2,FALSE)+0.5*HLOOKUP($B410,$D$370:$AO$371,2,FALSE)+D410))</f>
        <v>116.91565295038504</v>
      </c>
      <c r="E411" s="134">
        <f t="shared" si="77"/>
        <v>116.91565295038504</v>
      </c>
      <c r="F411" s="134">
        <f t="shared" si="77"/>
        <v>116.91565295038504</v>
      </c>
      <c r="G411" s="134">
        <f t="shared" si="77"/>
        <v>116.91565295038504</v>
      </c>
      <c r="H411" s="134">
        <f t="shared" si="77"/>
        <v>116.91565295038504</v>
      </c>
      <c r="I411" s="134">
        <f t="shared" si="77"/>
        <v>116.91565295038504</v>
      </c>
      <c r="J411" s="134">
        <f t="shared" si="77"/>
        <v>115.06734130674359</v>
      </c>
      <c r="K411" s="134">
        <f t="shared" si="77"/>
        <v>111.36607541676901</v>
      </c>
      <c r="L411" s="134">
        <f t="shared" si="77"/>
        <v>107.65551113455331</v>
      </c>
      <c r="M411" s="134">
        <f t="shared" si="77"/>
        <v>103.93562204387284</v>
      </c>
      <c r="N411" s="134">
        <f t="shared" si="77"/>
        <v>100.20638164333383</v>
      </c>
      <c r="O411" s="134">
        <f t="shared" si="77"/>
        <v>96.467763346064984</v>
      </c>
      <c r="P411" s="134">
        <f t="shared" si="77"/>
        <v>92.719740479408586</v>
      </c>
      <c r="Q411" s="134">
        <f t="shared" si="77"/>
        <v>88.962286284610641</v>
      </c>
      <c r="R411" s="134">
        <f t="shared" si="77"/>
        <v>85.195373916509681</v>
      </c>
      <c r="S411" s="134">
        <f t="shared" si="77"/>
        <v>81.418976443224324</v>
      </c>
      <c r="T411" s="134">
        <f t="shared" si="77"/>
        <v>77.63306684583965</v>
      </c>
      <c r="U411" s="134">
        <f t="shared" si="77"/>
        <v>73.837618018092215</v>
      </c>
      <c r="V411" s="134">
        <f t="shared" si="77"/>
        <v>70.032602766054083</v>
      </c>
      <c r="W411" s="134">
        <f t="shared" si="77"/>
        <v>66.217993807815375</v>
      </c>
      <c r="X411" s="134">
        <f t="shared" si="77"/>
        <v>62.393763773165453</v>
      </c>
      <c r="Y411" s="134">
        <f t="shared" si="77"/>
        <v>58.559885203273225</v>
      </c>
      <c r="Z411" s="134">
        <f t="shared" si="77"/>
        <v>54.716330550365939</v>
      </c>
      <c r="AA411" s="134">
        <f t="shared" si="77"/>
        <v>50.863072177406757</v>
      </c>
      <c r="AB411" s="134">
        <f t="shared" si="77"/>
        <v>47.000082357770978</v>
      </c>
      <c r="AC411" s="134">
        <f t="shared" si="77"/>
        <v>43.127333274920915</v>
      </c>
      <c r="AD411" s="134">
        <f t="shared" si="77"/>
        <v>39.244797022079915</v>
      </c>
      <c r="AE411" s="134">
        <f t="shared" si="77"/>
        <v>35.352445601904606</v>
      </c>
      <c r="AF411" s="134">
        <f t="shared" si="77"/>
        <v>31.450250926155963</v>
      </c>
      <c r="AG411" s="134">
        <f t="shared" si="77"/>
        <v>27.538184815369178</v>
      </c>
      <c r="AH411" s="134">
        <f t="shared" si="77"/>
        <v>23.616218998522136</v>
      </c>
      <c r="AI411" s="134">
        <f t="shared" si="77"/>
        <v>19.684325112702791</v>
      </c>
      <c r="AJ411" s="134">
        <f t="shared" si="77"/>
        <v>15.747460090162232</v>
      </c>
      <c r="AK411" s="134">
        <f t="shared" si="77"/>
        <v>11.810595067621673</v>
      </c>
      <c r="AL411" s="134">
        <f t="shared" si="77"/>
        <v>7.8737300450811158</v>
      </c>
      <c r="AM411" s="134">
        <f t="shared" si="77"/>
        <v>3.9368650225405579</v>
      </c>
      <c r="AN411" s="134">
        <f t="shared" si="77"/>
        <v>0</v>
      </c>
      <c r="AO411" s="134">
        <f t="shared" si="7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5">
      <c r="A412" s="102"/>
      <c r="B412" s="112" t="s">
        <v>132</v>
      </c>
      <c r="C412" s="135"/>
      <c r="D412" s="134">
        <f t="shared" si="77"/>
        <v>120.8525179729256</v>
      </c>
      <c r="E412" s="134">
        <f t="shared" si="77"/>
        <v>120.8525179729256</v>
      </c>
      <c r="F412" s="134">
        <f t="shared" si="77"/>
        <v>120.8525179729256</v>
      </c>
      <c r="G412" s="134">
        <f t="shared" si="77"/>
        <v>120.8525179729256</v>
      </c>
      <c r="H412" s="134">
        <f t="shared" si="77"/>
        <v>120.8525179729256</v>
      </c>
      <c r="I412" s="134">
        <f t="shared" si="77"/>
        <v>120.8525179729256</v>
      </c>
      <c r="J412" s="134">
        <f t="shared" si="77"/>
        <v>119.00420632928414</v>
      </c>
      <c r="K412" s="134">
        <f t="shared" si="77"/>
        <v>115.30294043930957</v>
      </c>
      <c r="L412" s="134">
        <f t="shared" si="77"/>
        <v>111.59237615709387</v>
      </c>
      <c r="M412" s="134">
        <f t="shared" si="77"/>
        <v>107.8724870664134</v>
      </c>
      <c r="N412" s="134">
        <f t="shared" si="77"/>
        <v>104.14324666587439</v>
      </c>
      <c r="O412" s="134">
        <f t="shared" si="77"/>
        <v>100.40462836860554</v>
      </c>
      <c r="P412" s="134">
        <f t="shared" si="77"/>
        <v>96.656605501949144</v>
      </c>
      <c r="Q412" s="134">
        <f t="shared" si="77"/>
        <v>92.8991513071512</v>
      </c>
      <c r="R412" s="134">
        <f t="shared" si="77"/>
        <v>89.132238939050239</v>
      </c>
      <c r="S412" s="134">
        <f t="shared" si="77"/>
        <v>85.355841465764883</v>
      </c>
      <c r="T412" s="134">
        <f t="shared" si="77"/>
        <v>81.569931868380209</v>
      </c>
      <c r="U412" s="134">
        <f t="shared" si="77"/>
        <v>77.774483040632774</v>
      </c>
      <c r="V412" s="134">
        <f t="shared" si="77"/>
        <v>73.969467788594642</v>
      </c>
      <c r="W412" s="134">
        <f t="shared" si="77"/>
        <v>70.154858830355934</v>
      </c>
      <c r="X412" s="134">
        <f t="shared" si="77"/>
        <v>66.330628795706005</v>
      </c>
      <c r="Y412" s="134">
        <f t="shared" si="77"/>
        <v>62.496750225813784</v>
      </c>
      <c r="Z412" s="134">
        <f t="shared" si="77"/>
        <v>58.653195572906498</v>
      </c>
      <c r="AA412" s="134">
        <f t="shared" si="77"/>
        <v>54.799937199947315</v>
      </c>
      <c r="AB412" s="134">
        <f t="shared" si="77"/>
        <v>50.936947380311537</v>
      </c>
      <c r="AC412" s="134">
        <f t="shared" si="77"/>
        <v>47.064198297461473</v>
      </c>
      <c r="AD412" s="134">
        <f t="shared" si="77"/>
        <v>43.181662044620474</v>
      </c>
      <c r="AE412" s="134">
        <f t="shared" si="77"/>
        <v>39.289310624445164</v>
      </c>
      <c r="AF412" s="134">
        <f t="shared" si="77"/>
        <v>35.387115948696518</v>
      </c>
      <c r="AG412" s="134">
        <f t="shared" si="77"/>
        <v>31.475049837909737</v>
      </c>
      <c r="AH412" s="134">
        <f t="shared" si="77"/>
        <v>27.553084021062695</v>
      </c>
      <c r="AI412" s="134">
        <f t="shared" si="77"/>
        <v>23.621190135243349</v>
      </c>
      <c r="AJ412" s="134">
        <f t="shared" si="77"/>
        <v>19.684325112702791</v>
      </c>
      <c r="AK412" s="134">
        <f t="shared" si="77"/>
        <v>15.747460090162232</v>
      </c>
      <c r="AL412" s="134">
        <f t="shared" si="77"/>
        <v>11.810595067621673</v>
      </c>
      <c r="AM412" s="134">
        <f t="shared" si="77"/>
        <v>7.8737300450811158</v>
      </c>
      <c r="AN412" s="134">
        <f t="shared" si="77"/>
        <v>3.9368650225405579</v>
      </c>
      <c r="AO412" s="134">
        <f t="shared" si="77"/>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5" x14ac:dyDescent="0.3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5">
      <c r="B414" s="5" t="s">
        <v>151</v>
      </c>
    </row>
    <row r="415" spans="1:95" ht="15" customHeight="1" x14ac:dyDescent="0.3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5">
      <c r="A416" s="102"/>
      <c r="B416" s="151" t="s">
        <v>141</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5">
      <c r="A417" s="102"/>
      <c r="B417" s="151"/>
      <c r="C417" s="64" t="s">
        <v>223</v>
      </c>
      <c r="D417" s="12" t="s">
        <v>95</v>
      </c>
      <c r="E417" s="13" t="s">
        <v>96</v>
      </c>
      <c r="F417" s="97" t="s">
        <v>97</v>
      </c>
      <c r="G417" s="97" t="s">
        <v>98</v>
      </c>
      <c r="H417" s="97" t="s">
        <v>99</v>
      </c>
      <c r="I417" s="97" t="s">
        <v>100</v>
      </c>
      <c r="J417" s="97" t="s">
        <v>101</v>
      </c>
      <c r="K417" s="97" t="s">
        <v>102</v>
      </c>
      <c r="L417" s="97" t="s">
        <v>103</v>
      </c>
      <c r="M417" s="97" t="s">
        <v>104</v>
      </c>
      <c r="N417" s="97" t="s">
        <v>105</v>
      </c>
      <c r="O417" s="97" t="s">
        <v>106</v>
      </c>
      <c r="P417" s="97" t="s">
        <v>107</v>
      </c>
      <c r="Q417" s="97" t="s">
        <v>108</v>
      </c>
      <c r="R417" s="97" t="s">
        <v>109</v>
      </c>
      <c r="S417" s="97" t="s">
        <v>110</v>
      </c>
      <c r="T417" s="97" t="s">
        <v>111</v>
      </c>
      <c r="U417" s="97" t="s">
        <v>112</v>
      </c>
      <c r="V417" s="97" t="s">
        <v>113</v>
      </c>
      <c r="W417" s="97" t="s">
        <v>114</v>
      </c>
      <c r="X417" s="97" t="s">
        <v>115</v>
      </c>
      <c r="Y417" s="97" t="s">
        <v>116</v>
      </c>
      <c r="Z417" s="97" t="s">
        <v>117</v>
      </c>
      <c r="AA417" s="97" t="s">
        <v>118</v>
      </c>
      <c r="AB417" s="97" t="s">
        <v>119</v>
      </c>
      <c r="AC417" s="97" t="s">
        <v>120</v>
      </c>
      <c r="AD417" s="97" t="s">
        <v>121</v>
      </c>
      <c r="AE417" s="97" t="s">
        <v>122</v>
      </c>
      <c r="AF417" s="97" t="s">
        <v>123</v>
      </c>
      <c r="AG417" s="97" t="s">
        <v>124</v>
      </c>
      <c r="AH417" s="97" t="s">
        <v>125</v>
      </c>
      <c r="AI417" s="97" t="s">
        <v>126</v>
      </c>
      <c r="AJ417" s="97" t="s">
        <v>127</v>
      </c>
      <c r="AK417" s="97" t="s">
        <v>128</v>
      </c>
      <c r="AL417" s="97" t="s">
        <v>129</v>
      </c>
      <c r="AM417" s="97" t="s">
        <v>130</v>
      </c>
      <c r="AN417" s="97" t="s">
        <v>131</v>
      </c>
      <c r="AO417" s="97" t="s">
        <v>132</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5">
      <c r="A418" s="102"/>
      <c r="B418" s="102" t="s">
        <v>229</v>
      </c>
      <c r="C418" s="102">
        <f>Road_mask</f>
        <v>1</v>
      </c>
      <c r="D418" s="118">
        <v>0</v>
      </c>
      <c r="E418" s="118">
        <v>0</v>
      </c>
      <c r="F418" s="118">
        <v>0</v>
      </c>
      <c r="G418" s="118">
        <v>0</v>
      </c>
      <c r="H418" s="118">
        <v>0</v>
      </c>
      <c r="I418" s="118">
        <v>0</v>
      </c>
      <c r="J418" s="118">
        <f t="shared" ref="J418:AO418" si="78">Dementia_values_road_1db_in</f>
        <v>5.5961349895426427</v>
      </c>
      <c r="K418" s="118">
        <f t="shared" si="78"/>
        <v>5.6080767559404956</v>
      </c>
      <c r="L418" s="118">
        <f t="shared" si="78"/>
        <v>5.6200450915981293</v>
      </c>
      <c r="M418" s="118">
        <f t="shared" si="78"/>
        <v>5.6320400580102508</v>
      </c>
      <c r="N418" s="118">
        <f t="shared" si="78"/>
        <v>5.6440617168191443</v>
      </c>
      <c r="O418" s="118">
        <f t="shared" si="78"/>
        <v>5.6561101298145759</v>
      </c>
      <c r="P418" s="118">
        <f t="shared" si="78"/>
        <v>5.6681853589355677</v>
      </c>
      <c r="Q418" s="118">
        <f t="shared" si="78"/>
        <v>5.6802874662685419</v>
      </c>
      <c r="R418" s="118">
        <f t="shared" si="78"/>
        <v>5.6924165140499028</v>
      </c>
      <c r="S418" s="118">
        <f t="shared" si="78"/>
        <v>5.7045725646649679</v>
      </c>
      <c r="T418" s="118">
        <f t="shared" si="78"/>
        <v>5.7167556806489044</v>
      </c>
      <c r="U418" s="118">
        <f t="shared" si="78"/>
        <v>5.7289659246870492</v>
      </c>
      <c r="V418" s="118">
        <f t="shared" si="78"/>
        <v>5.7412033596150751</v>
      </c>
      <c r="W418" s="118">
        <f t="shared" si="78"/>
        <v>5.7534680484196503</v>
      </c>
      <c r="X418" s="118">
        <f t="shared" si="78"/>
        <v>5.765760054238898</v>
      </c>
      <c r="Y418" s="118">
        <f t="shared" si="78"/>
        <v>5.77807944036197</v>
      </c>
      <c r="Z418" s="118">
        <f t="shared" si="78"/>
        <v>5.7904262702306832</v>
      </c>
      <c r="AA418" s="118">
        <f t="shared" si="78"/>
        <v>5.8028006074384022</v>
      </c>
      <c r="AB418" s="118">
        <f t="shared" si="78"/>
        <v>5.8152025157322251</v>
      </c>
      <c r="AC418" s="118">
        <f t="shared" si="78"/>
        <v>5.8276320590118109</v>
      </c>
      <c r="AD418" s="118">
        <f t="shared" si="78"/>
        <v>5.8400893013299449</v>
      </c>
      <c r="AE418" s="118">
        <f t="shared" si="78"/>
        <v>5.8525743068939855</v>
      </c>
      <c r="AF418" s="118">
        <f t="shared" si="78"/>
        <v>5.865087140065433</v>
      </c>
      <c r="AG418" s="118">
        <f t="shared" si="78"/>
        <v>5.8776278653600595</v>
      </c>
      <c r="AH418" s="118">
        <f t="shared" si="78"/>
        <v>5.8901965474491833</v>
      </c>
      <c r="AI418" s="118">
        <f t="shared" si="78"/>
        <v>5.9027932511585135</v>
      </c>
      <c r="AJ418" s="118">
        <f t="shared" si="78"/>
        <v>5.9027932511585135</v>
      </c>
      <c r="AK418" s="118">
        <f t="shared" si="78"/>
        <v>5.9027932511585135</v>
      </c>
      <c r="AL418" s="118">
        <f t="shared" si="78"/>
        <v>5.9027932511585135</v>
      </c>
      <c r="AM418" s="118">
        <f t="shared" si="78"/>
        <v>5.9027932511585135</v>
      </c>
      <c r="AN418" s="118">
        <f t="shared" si="78"/>
        <v>5.9027932511585135</v>
      </c>
      <c r="AO418" s="118">
        <f t="shared" si="78"/>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5">
      <c r="A419" s="102"/>
      <c r="B419" s="102" t="s">
        <v>230</v>
      </c>
      <c r="C419" s="101">
        <f>Rail_mask</f>
        <v>0</v>
      </c>
      <c r="D419" s="118">
        <v>0</v>
      </c>
      <c r="E419" s="118">
        <v>0</v>
      </c>
      <c r="F419" s="118">
        <v>0</v>
      </c>
      <c r="G419" s="118">
        <v>0</v>
      </c>
      <c r="H419" s="118">
        <v>0</v>
      </c>
      <c r="I419" s="118">
        <v>0</v>
      </c>
      <c r="J419" s="118">
        <f t="shared" ref="J419:AO419" si="79">Dementia_values_rail_1db_in</f>
        <v>6.0557593009490045</v>
      </c>
      <c r="K419" s="118">
        <f t="shared" si="79"/>
        <v>6.0698042728608499</v>
      </c>
      <c r="L419" s="118">
        <f t="shared" si="79"/>
        <v>6.083883207945421</v>
      </c>
      <c r="M419" s="118">
        <f t="shared" si="79"/>
        <v>6.0979961916402177</v>
      </c>
      <c r="N419" s="118">
        <f t="shared" si="79"/>
        <v>6.112143309606183</v>
      </c>
      <c r="O419" s="118">
        <f t="shared" si="79"/>
        <v>6.1263246477271771</v>
      </c>
      <c r="P419" s="118">
        <f t="shared" si="79"/>
        <v>6.1405402921116909</v>
      </c>
      <c r="Q419" s="118">
        <f t="shared" si="79"/>
        <v>6.1547903290914201</v>
      </c>
      <c r="R419" s="118">
        <f t="shared" si="79"/>
        <v>6.1690748452253352</v>
      </c>
      <c r="S419" s="118">
        <f t="shared" si="79"/>
        <v>6.1833939272964757</v>
      </c>
      <c r="T419" s="118">
        <f t="shared" si="79"/>
        <v>6.1977476623153445</v>
      </c>
      <c r="U419" s="118">
        <f t="shared" si="79"/>
        <v>6.2121361375185931</v>
      </c>
      <c r="V419" s="118">
        <f t="shared" si="79"/>
        <v>6.2265594403715916</v>
      </c>
      <c r="W419" s="118">
        <f t="shared" si="79"/>
        <v>6.2410176585668626</v>
      </c>
      <c r="X419" s="118">
        <f t="shared" si="79"/>
        <v>6.2555108800268373</v>
      </c>
      <c r="Y419" s="118">
        <f t="shared" si="79"/>
        <v>6.2700391929026322</v>
      </c>
      <c r="Z419" s="118">
        <f t="shared" si="79"/>
        <v>6.2846026855759929</v>
      </c>
      <c r="AA419" s="118">
        <f t="shared" si="79"/>
        <v>6.2992014466586301</v>
      </c>
      <c r="AB419" s="118">
        <f t="shared" si="79"/>
        <v>6.3138355649952702</v>
      </c>
      <c r="AC419" s="118">
        <f t="shared" si="79"/>
        <v>6.3285051296604076</v>
      </c>
      <c r="AD419" s="118">
        <f t="shared" si="79"/>
        <v>6.3432102299626765</v>
      </c>
      <c r="AE419" s="118">
        <f t="shared" si="79"/>
        <v>6.3579509554436608</v>
      </c>
      <c r="AF419" s="118">
        <f t="shared" si="79"/>
        <v>6.3727273958782362</v>
      </c>
      <c r="AG419" s="118">
        <f t="shared" si="79"/>
        <v>6.3875396412766392</v>
      </c>
      <c r="AH419" s="118">
        <f t="shared" si="79"/>
        <v>6.4023877818832071</v>
      </c>
      <c r="AI419" s="118">
        <f t="shared" si="79"/>
        <v>6.4172719081790657</v>
      </c>
      <c r="AJ419" s="118">
        <f t="shared" si="79"/>
        <v>6.4172719081790657</v>
      </c>
      <c r="AK419" s="118">
        <f t="shared" si="79"/>
        <v>6.4172719081790657</v>
      </c>
      <c r="AL419" s="118">
        <f t="shared" si="79"/>
        <v>6.4172719081790657</v>
      </c>
      <c r="AM419" s="118">
        <f t="shared" si="79"/>
        <v>6.4172719081790657</v>
      </c>
      <c r="AN419" s="118">
        <f t="shared" si="79"/>
        <v>6.4172719081790657</v>
      </c>
      <c r="AO419" s="118">
        <f t="shared" si="79"/>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5">
      <c r="A420" s="102"/>
      <c r="B420" s="102" t="s">
        <v>231</v>
      </c>
      <c r="C420" s="101">
        <f>Aviation_mask</f>
        <v>0</v>
      </c>
      <c r="D420" s="118">
        <v>0</v>
      </c>
      <c r="E420" s="118">
        <v>0</v>
      </c>
      <c r="F420" s="118">
        <v>0</v>
      </c>
      <c r="G420" s="118">
        <v>0</v>
      </c>
      <c r="H420" s="118">
        <v>0</v>
      </c>
      <c r="I420" s="118">
        <v>0</v>
      </c>
      <c r="J420" s="118">
        <f t="shared" ref="J420:AO420" si="80">Dementia_values_aviation_1db_in</f>
        <v>10.7737470973864</v>
      </c>
      <c r="K420" s="118">
        <f t="shared" si="80"/>
        <v>10.818163438389666</v>
      </c>
      <c r="L420" s="118">
        <f t="shared" si="80"/>
        <v>10.862770859994386</v>
      </c>
      <c r="M420" s="118">
        <f t="shared" si="80"/>
        <v>10.907570217995223</v>
      </c>
      <c r="N420" s="118">
        <f t="shared" si="80"/>
        <v>10.952562372162364</v>
      </c>
      <c r="O420" s="118">
        <f t="shared" si="80"/>
        <v>10.997748186261683</v>
      </c>
      <c r="P420" s="118">
        <f t="shared" si="80"/>
        <v>11.043128528071891</v>
      </c>
      <c r="Q420" s="118">
        <f t="shared" si="80"/>
        <v>11.08870426940527</v>
      </c>
      <c r="R420" s="118">
        <f t="shared" si="80"/>
        <v>11.134476286127047</v>
      </c>
      <c r="S420" s="118">
        <f t="shared" si="80"/>
        <v>11.18044545817466</v>
      </c>
      <c r="T420" s="118">
        <f t="shared" si="80"/>
        <v>11.226612669576307</v>
      </c>
      <c r="U420" s="118">
        <f t="shared" si="80"/>
        <v>11.272978808472336</v>
      </c>
      <c r="V420" s="118">
        <f t="shared" si="80"/>
        <v>11.319544767133424</v>
      </c>
      <c r="W420" s="118">
        <f t="shared" si="80"/>
        <v>11.366311441981869</v>
      </c>
      <c r="X420" s="118">
        <f t="shared" si="80"/>
        <v>11.413279733609643</v>
      </c>
      <c r="Y420" s="118">
        <f t="shared" si="80"/>
        <v>11.460450546800622</v>
      </c>
      <c r="Z420" s="118">
        <f t="shared" si="80"/>
        <v>11.507824790549106</v>
      </c>
      <c r="AA420" s="118">
        <f t="shared" si="80"/>
        <v>11.555403378080758</v>
      </c>
      <c r="AB420" s="118">
        <f t="shared" si="80"/>
        <v>11.603187226872244</v>
      </c>
      <c r="AC420" s="118">
        <f t="shared" si="80"/>
        <v>11.651177258673407</v>
      </c>
      <c r="AD420" s="118">
        <f t="shared" si="80"/>
        <v>11.699374399525089</v>
      </c>
      <c r="AE420" s="118">
        <f t="shared" si="80"/>
        <v>11.747779579782469</v>
      </c>
      <c r="AF420" s="118">
        <f t="shared" si="80"/>
        <v>11.796393734134195</v>
      </c>
      <c r="AG420" s="118">
        <f t="shared" si="80"/>
        <v>11.845217801623152</v>
      </c>
      <c r="AH420" s="118">
        <f t="shared" si="80"/>
        <v>11.894252725669256</v>
      </c>
      <c r="AI420" s="118">
        <f t="shared" si="80"/>
        <v>11.943499454087371</v>
      </c>
      <c r="AJ420" s="118">
        <f t="shared" si="80"/>
        <v>11.943499454087371</v>
      </c>
      <c r="AK420" s="118">
        <f t="shared" si="80"/>
        <v>11.943499454087371</v>
      </c>
      <c r="AL420" s="118">
        <f t="shared" si="80"/>
        <v>11.943499454087371</v>
      </c>
      <c r="AM420" s="118">
        <f t="shared" si="80"/>
        <v>11.943499454087371</v>
      </c>
      <c r="AN420" s="118">
        <f t="shared" si="80"/>
        <v>11.943499454087371</v>
      </c>
      <c r="AO420" s="118">
        <f t="shared" si="80"/>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5">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5">
      <c r="A422" s="102"/>
      <c r="B422" s="151" t="s">
        <v>141</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5">
      <c r="A423" s="102"/>
      <c r="B423" s="151"/>
      <c r="C423" s="102"/>
      <c r="D423" s="12" t="s">
        <v>95</v>
      </c>
      <c r="E423" s="13" t="s">
        <v>96</v>
      </c>
      <c r="F423" s="97" t="s">
        <v>97</v>
      </c>
      <c r="G423" s="97" t="s">
        <v>98</v>
      </c>
      <c r="H423" s="97" t="s">
        <v>99</v>
      </c>
      <c r="I423" s="97" t="s">
        <v>100</v>
      </c>
      <c r="J423" s="97" t="s">
        <v>101</v>
      </c>
      <c r="K423" s="97" t="s">
        <v>102</v>
      </c>
      <c r="L423" s="97" t="s">
        <v>103</v>
      </c>
      <c r="M423" s="97" t="s">
        <v>104</v>
      </c>
      <c r="N423" s="97" t="s">
        <v>105</v>
      </c>
      <c r="O423" s="97" t="s">
        <v>106</v>
      </c>
      <c r="P423" s="97" t="s">
        <v>107</v>
      </c>
      <c r="Q423" s="97" t="s">
        <v>108</v>
      </c>
      <c r="R423" s="97" t="s">
        <v>109</v>
      </c>
      <c r="S423" s="97" t="s">
        <v>110</v>
      </c>
      <c r="T423" s="97" t="s">
        <v>111</v>
      </c>
      <c r="U423" s="97" t="s">
        <v>112</v>
      </c>
      <c r="V423" s="97" t="s">
        <v>113</v>
      </c>
      <c r="W423" s="97" t="s">
        <v>114</v>
      </c>
      <c r="X423" s="97" t="s">
        <v>115</v>
      </c>
      <c r="Y423" s="97" t="s">
        <v>116</v>
      </c>
      <c r="Z423" s="97" t="s">
        <v>117</v>
      </c>
      <c r="AA423" s="97" t="s">
        <v>118</v>
      </c>
      <c r="AB423" s="97" t="s">
        <v>119</v>
      </c>
      <c r="AC423" s="97" t="s">
        <v>120</v>
      </c>
      <c r="AD423" s="97" t="s">
        <v>121</v>
      </c>
      <c r="AE423" s="97" t="s">
        <v>122</v>
      </c>
      <c r="AF423" s="97" t="s">
        <v>123</v>
      </c>
      <c r="AG423" s="97" t="s">
        <v>124</v>
      </c>
      <c r="AH423" s="97" t="s">
        <v>125</v>
      </c>
      <c r="AI423" s="97" t="s">
        <v>126</v>
      </c>
      <c r="AJ423" s="97" t="s">
        <v>127</v>
      </c>
      <c r="AK423" s="97" t="s">
        <v>128</v>
      </c>
      <c r="AL423" s="97" t="s">
        <v>129</v>
      </c>
      <c r="AM423" s="97" t="s">
        <v>130</v>
      </c>
      <c r="AN423" s="97" t="s">
        <v>131</v>
      </c>
      <c r="AO423" s="97" t="s">
        <v>132</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5">
      <c r="A424" s="102"/>
      <c r="B424" s="102" t="s">
        <v>228</v>
      </c>
      <c r="C424" s="102"/>
      <c r="D424" s="118">
        <v>0</v>
      </c>
      <c r="E424" s="118">
        <v>0</v>
      </c>
      <c r="F424" s="118">
        <v>0</v>
      </c>
      <c r="G424" s="118">
        <v>0</v>
      </c>
      <c r="H424" s="118">
        <v>0</v>
      </c>
      <c r="I424" s="118">
        <v>0</v>
      </c>
      <c r="J424" s="118">
        <f t="shared" ref="J424:AO424" si="81">Dementia_values_road_1dB*Road_mask +Dementia_values_rail_1dB*Rail_mask +Dementia_values_aviation_1dB*Aviation_mask</f>
        <v>5.5961349895426427</v>
      </c>
      <c r="K424" s="118">
        <f t="shared" si="81"/>
        <v>5.6080767559404956</v>
      </c>
      <c r="L424" s="118">
        <f t="shared" si="81"/>
        <v>5.6200450915981293</v>
      </c>
      <c r="M424" s="118">
        <f t="shared" si="81"/>
        <v>5.6320400580102508</v>
      </c>
      <c r="N424" s="118">
        <f t="shared" si="81"/>
        <v>5.6440617168191443</v>
      </c>
      <c r="O424" s="118">
        <f t="shared" si="81"/>
        <v>5.6561101298145759</v>
      </c>
      <c r="P424" s="118">
        <f t="shared" si="81"/>
        <v>5.6681853589355677</v>
      </c>
      <c r="Q424" s="118">
        <f t="shared" si="81"/>
        <v>5.6802874662685419</v>
      </c>
      <c r="R424" s="118">
        <f t="shared" si="81"/>
        <v>5.6924165140499028</v>
      </c>
      <c r="S424" s="118">
        <f t="shared" si="81"/>
        <v>5.7045725646649679</v>
      </c>
      <c r="T424" s="118">
        <f t="shared" si="81"/>
        <v>5.7167556806489044</v>
      </c>
      <c r="U424" s="118">
        <f t="shared" si="81"/>
        <v>5.7289659246870492</v>
      </c>
      <c r="V424" s="118">
        <f t="shared" si="81"/>
        <v>5.7412033596150751</v>
      </c>
      <c r="W424" s="118">
        <f t="shared" si="81"/>
        <v>5.7534680484196503</v>
      </c>
      <c r="X424" s="118">
        <f t="shared" si="81"/>
        <v>5.765760054238898</v>
      </c>
      <c r="Y424" s="118">
        <f t="shared" si="81"/>
        <v>5.77807944036197</v>
      </c>
      <c r="Z424" s="118">
        <f t="shared" si="81"/>
        <v>5.7904262702306832</v>
      </c>
      <c r="AA424" s="118">
        <f t="shared" si="81"/>
        <v>5.8028006074384022</v>
      </c>
      <c r="AB424" s="118">
        <f t="shared" si="81"/>
        <v>5.8152025157322251</v>
      </c>
      <c r="AC424" s="118">
        <f t="shared" si="81"/>
        <v>5.8276320590118109</v>
      </c>
      <c r="AD424" s="118">
        <f t="shared" si="81"/>
        <v>5.8400893013299449</v>
      </c>
      <c r="AE424" s="118">
        <f t="shared" si="81"/>
        <v>5.8525743068939855</v>
      </c>
      <c r="AF424" s="118">
        <f t="shared" si="81"/>
        <v>5.865087140065433</v>
      </c>
      <c r="AG424" s="118">
        <f t="shared" si="81"/>
        <v>5.8776278653600595</v>
      </c>
      <c r="AH424" s="118">
        <f t="shared" si="81"/>
        <v>5.8901965474491833</v>
      </c>
      <c r="AI424" s="118">
        <f t="shared" si="81"/>
        <v>5.9027932511585135</v>
      </c>
      <c r="AJ424" s="118">
        <f t="shared" si="81"/>
        <v>5.9027932511585135</v>
      </c>
      <c r="AK424" s="118">
        <f t="shared" si="81"/>
        <v>5.9027932511585135</v>
      </c>
      <c r="AL424" s="118">
        <f t="shared" si="81"/>
        <v>5.9027932511585135</v>
      </c>
      <c r="AM424" s="118">
        <f t="shared" si="81"/>
        <v>5.9027932511585135</v>
      </c>
      <c r="AN424" s="118">
        <f t="shared" si="81"/>
        <v>5.9027932511585135</v>
      </c>
      <c r="AO424" s="118">
        <f t="shared" si="81"/>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5">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4"/>
      <c r="C426" s="49" t="s">
        <v>94</v>
      </c>
      <c r="D426" s="70" t="s">
        <v>95</v>
      </c>
      <c r="E426" s="108" t="s">
        <v>96</v>
      </c>
      <c r="F426" s="108" t="s">
        <v>97</v>
      </c>
      <c r="G426" s="108" t="s">
        <v>98</v>
      </c>
      <c r="H426" s="108" t="s">
        <v>99</v>
      </c>
      <c r="I426" s="108" t="s">
        <v>100</v>
      </c>
      <c r="J426" s="108" t="s">
        <v>101</v>
      </c>
      <c r="K426" s="108" t="s">
        <v>102</v>
      </c>
      <c r="L426" s="108" t="s">
        <v>103</v>
      </c>
      <c r="M426" s="108" t="s">
        <v>104</v>
      </c>
      <c r="N426" s="108" t="s">
        <v>105</v>
      </c>
      <c r="O426" s="108" t="s">
        <v>106</v>
      </c>
      <c r="P426" s="108" t="s">
        <v>107</v>
      </c>
      <c r="Q426" s="108" t="s">
        <v>108</v>
      </c>
      <c r="R426" s="108" t="s">
        <v>109</v>
      </c>
      <c r="S426" s="108" t="s">
        <v>110</v>
      </c>
      <c r="T426" s="108" t="s">
        <v>111</v>
      </c>
      <c r="U426" s="108" t="s">
        <v>112</v>
      </c>
      <c r="V426" s="108" t="s">
        <v>113</v>
      </c>
      <c r="W426" s="108" t="s">
        <v>114</v>
      </c>
      <c r="X426" s="108" t="s">
        <v>115</v>
      </c>
      <c r="Y426" s="108" t="s">
        <v>116</v>
      </c>
      <c r="Z426" s="108" t="s">
        <v>117</v>
      </c>
      <c r="AA426" s="108" t="s">
        <v>118</v>
      </c>
      <c r="AB426" s="108" t="s">
        <v>119</v>
      </c>
      <c r="AC426" s="108" t="s">
        <v>120</v>
      </c>
      <c r="AD426" s="108" t="s">
        <v>121</v>
      </c>
      <c r="AE426" s="108" t="s">
        <v>122</v>
      </c>
      <c r="AF426" s="108" t="s">
        <v>123</v>
      </c>
      <c r="AG426" s="108" t="s">
        <v>124</v>
      </c>
      <c r="AH426" s="108" t="s">
        <v>125</v>
      </c>
      <c r="AI426" s="108" t="s">
        <v>126</v>
      </c>
      <c r="AJ426" s="108" t="s">
        <v>127</v>
      </c>
      <c r="AK426" s="108" t="s">
        <v>128</v>
      </c>
      <c r="AL426" s="108" t="s">
        <v>129</v>
      </c>
      <c r="AM426" s="108" t="s">
        <v>130</v>
      </c>
      <c r="AN426" s="108" t="s">
        <v>131</v>
      </c>
      <c r="AO426" s="108"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133</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2.7980674947713213</v>
      </c>
      <c r="AX427" s="17">
        <f t="shared" si="83"/>
        <v>5.6021058727415696</v>
      </c>
      <c r="AY427" s="17">
        <f t="shared" si="83"/>
        <v>5.614060923769312</v>
      </c>
      <c r="AZ427" s="17">
        <f t="shared" si="83"/>
        <v>5.62604257480419</v>
      </c>
      <c r="BA427" s="17">
        <f t="shared" si="83"/>
        <v>5.638050887414698</v>
      </c>
      <c r="BB427" s="17">
        <f t="shared" si="83"/>
        <v>5.6500859233168601</v>
      </c>
      <c r="BC427" s="17">
        <f t="shared" si="83"/>
        <v>5.6621477443750718</v>
      </c>
      <c r="BD427" s="17">
        <f t="shared" si="83"/>
        <v>5.6742364126020544</v>
      </c>
      <c r="BE427" s="17">
        <f t="shared" si="83"/>
        <v>5.6863519901592223</v>
      </c>
      <c r="BF427" s="17">
        <f t="shared" si="83"/>
        <v>5.6984945393574353</v>
      </c>
      <c r="BG427" s="17">
        <f t="shared" si="83"/>
        <v>5.7106641226569366</v>
      </c>
      <c r="BH427" s="17">
        <f t="shared" si="83"/>
        <v>5.7228608026679773</v>
      </c>
      <c r="BI427" s="17">
        <f t="shared" si="83"/>
        <v>5.7350846421510617</v>
      </c>
      <c r="BJ427" s="17">
        <f t="shared" si="83"/>
        <v>5.7473357040173632</v>
      </c>
      <c r="BK427" s="17">
        <f t="shared" si="83"/>
        <v>5.7596140513292742</v>
      </c>
      <c r="BL427" s="17">
        <f t="shared" si="83"/>
        <v>5.7719197473004336</v>
      </c>
      <c r="BM427" s="17">
        <f t="shared" si="83"/>
        <v>5.7842528552963266</v>
      </c>
      <c r="BN427" s="17">
        <f t="shared" si="83"/>
        <v>5.7966134388345427</v>
      </c>
      <c r="BO427" s="17">
        <f t="shared" si="83"/>
        <v>5.8090015615853137</v>
      </c>
      <c r="BP427" s="17">
        <f t="shared" si="83"/>
        <v>5.821417287372018</v>
      </c>
      <c r="BQ427" s="17">
        <f t="shared" si="83"/>
        <v>5.8338606801708774</v>
      </c>
      <c r="BR427" s="17">
        <f t="shared" si="83"/>
        <v>5.8463318041119656</v>
      </c>
      <c r="BS427" s="17">
        <f t="shared" si="83"/>
        <v>5.8588307234797092</v>
      </c>
      <c r="BT427" s="17">
        <f t="shared" si="83"/>
        <v>5.8713575027127458</v>
      </c>
      <c r="BU427" s="17">
        <f t="shared" si="83"/>
        <v>5.8839122064046219</v>
      </c>
      <c r="BV427" s="17">
        <f t="shared" si="83"/>
        <v>5.896494899303848</v>
      </c>
      <c r="BW427" s="17">
        <f t="shared" si="83"/>
        <v>5.9027932511585135</v>
      </c>
      <c r="BX427" s="17">
        <f t="shared" si="83"/>
        <v>5.9027932511585135</v>
      </c>
      <c r="BY427" s="17">
        <f t="shared" si="83"/>
        <v>5.9027932511585135</v>
      </c>
      <c r="BZ427" s="17">
        <f t="shared" si="83"/>
        <v>5.9027932511585135</v>
      </c>
      <c r="CA427" s="17">
        <f t="shared" si="83"/>
        <v>5.9027932511585135</v>
      </c>
      <c r="CB427" s="17">
        <f t="shared" si="83"/>
        <v>5.9027932511585135</v>
      </c>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8" t="s">
        <v>95</v>
      </c>
      <c r="C428" s="125"/>
      <c r="D428" s="134">
        <f>IF(D$426=$B428,0,IF(D$426&gt;$B428,-0.5*D$424-0.5*C$424+C428,0.5*HLOOKUP($B428,$D$423:$AO$424,2,FALSE)+0.5*HLOOKUP($B427,$D$423:$AO$424,2,FALSE)+D427))</f>
        <v>0</v>
      </c>
      <c r="E428" s="134">
        <f t="shared" ref="E428:AO428" si="84">IF(E$426=$B428,0,IF(E$426&gt;$B428,-0.5*E$424-0.5*D$424+D428,0.5*HLOOKUP($B428,$D$423:$AO$424,2,FALSE)+0.5*HLOOKUP($B427,$D$423:$AO$424,2,FALSE)+E427))</f>
        <v>0</v>
      </c>
      <c r="F428" s="134">
        <f t="shared" si="84"/>
        <v>0</v>
      </c>
      <c r="G428" s="134">
        <f t="shared" si="84"/>
        <v>0</v>
      </c>
      <c r="H428" s="134">
        <f t="shared" si="84"/>
        <v>0</v>
      </c>
      <c r="I428" s="134">
        <f t="shared" si="84"/>
        <v>0</v>
      </c>
      <c r="J428" s="134">
        <f t="shared" si="84"/>
        <v>-2.7980674947713213</v>
      </c>
      <c r="K428" s="134">
        <f t="shared" si="84"/>
        <v>-8.4001733675128918</v>
      </c>
      <c r="L428" s="134">
        <f t="shared" si="84"/>
        <v>-14.014234291282204</v>
      </c>
      <c r="M428" s="134">
        <f t="shared" si="84"/>
        <v>-19.640276866086396</v>
      </c>
      <c r="N428" s="134">
        <f t="shared" si="84"/>
        <v>-25.278327753501095</v>
      </c>
      <c r="O428" s="134">
        <f t="shared" si="84"/>
        <v>-30.928413676817954</v>
      </c>
      <c r="P428" s="134">
        <f t="shared" si="84"/>
        <v>-36.590561421193023</v>
      </c>
      <c r="Q428" s="134">
        <f t="shared" si="84"/>
        <v>-42.264797833795079</v>
      </c>
      <c r="R428" s="134">
        <f t="shared" si="84"/>
        <v>-47.951149823954303</v>
      </c>
      <c r="S428" s="134">
        <f t="shared" si="84"/>
        <v>-53.649644363311737</v>
      </c>
      <c r="T428" s="134">
        <f t="shared" si="84"/>
        <v>-59.360308485968673</v>
      </c>
      <c r="U428" s="134">
        <f t="shared" si="84"/>
        <v>-65.083169288636654</v>
      </c>
      <c r="V428" s="134">
        <f t="shared" si="84"/>
        <v>-70.818253930787719</v>
      </c>
      <c r="W428" s="134">
        <f t="shared" si="84"/>
        <v>-76.565589634805079</v>
      </c>
      <c r="X428" s="134">
        <f t="shared" si="84"/>
        <v>-82.325203686134358</v>
      </c>
      <c r="Y428" s="134">
        <f t="shared" si="84"/>
        <v>-88.097123433434788</v>
      </c>
      <c r="Z428" s="134">
        <f t="shared" si="84"/>
        <v>-93.881376288731119</v>
      </c>
      <c r="AA428" s="134">
        <f t="shared" si="84"/>
        <v>-99.677989727565659</v>
      </c>
      <c r="AB428" s="134">
        <f t="shared" si="84"/>
        <v>-105.48699128915098</v>
      </c>
      <c r="AC428" s="134">
        <f t="shared" si="84"/>
        <v>-111.30840857652299</v>
      </c>
      <c r="AD428" s="134">
        <f t="shared" si="84"/>
        <v>-117.14226925669387</v>
      </c>
      <c r="AE428" s="134">
        <f t="shared" si="84"/>
        <v>-122.98860106080583</v>
      </c>
      <c r="AF428" s="134">
        <f t="shared" si="84"/>
        <v>-128.84743178428553</v>
      </c>
      <c r="AG428" s="134">
        <f t="shared" si="84"/>
        <v>-134.71878928699829</v>
      </c>
      <c r="AH428" s="134">
        <f t="shared" si="84"/>
        <v>-140.60270149340292</v>
      </c>
      <c r="AI428" s="134">
        <f t="shared" si="84"/>
        <v>-146.49919639270678</v>
      </c>
      <c r="AJ428" s="134">
        <f t="shared" si="84"/>
        <v>-152.40198964386531</v>
      </c>
      <c r="AK428" s="134">
        <f t="shared" si="84"/>
        <v>-158.30478289502383</v>
      </c>
      <c r="AL428" s="134">
        <f t="shared" si="84"/>
        <v>-164.20757614618236</v>
      </c>
      <c r="AM428" s="134">
        <f t="shared" si="84"/>
        <v>-170.11036939734089</v>
      </c>
      <c r="AN428" s="134">
        <f t="shared" si="84"/>
        <v>-176.01316264849942</v>
      </c>
      <c r="AO428" s="134">
        <f t="shared" si="84"/>
        <v>-181.91595589965794</v>
      </c>
      <c r="AQ428" s="17">
        <f>SUM($AQ427:AQ427)</f>
        <v>0</v>
      </c>
      <c r="AR428" s="17">
        <f>SUM($AQ427:AR427)</f>
        <v>0</v>
      </c>
      <c r="AS428" s="17">
        <f>SUM($AQ427:AS427)</f>
        <v>0</v>
      </c>
      <c r="AT428" s="17">
        <f>SUM($AQ427:AT427)</f>
        <v>0</v>
      </c>
      <c r="AU428" s="17">
        <f>SUM($AQ427:AU427)</f>
        <v>0</v>
      </c>
      <c r="AV428" s="17">
        <f>SUM($AQ427:AV427)</f>
        <v>0</v>
      </c>
      <c r="AW428" s="17">
        <f>SUM($AQ427:AW427)</f>
        <v>2.7980674947713213</v>
      </c>
      <c r="AX428" s="17">
        <f>SUM($AQ427:AX427)</f>
        <v>8.4001733675128918</v>
      </c>
      <c r="AY428" s="17">
        <f>SUM($AQ427:AY427)</f>
        <v>14.014234291282204</v>
      </c>
      <c r="AZ428" s="17">
        <f>SUM($AQ427:AZ427)</f>
        <v>19.640276866086396</v>
      </c>
      <c r="BA428" s="17">
        <f>SUM($AQ427:BA427)</f>
        <v>25.278327753501095</v>
      </c>
      <c r="BB428" s="17">
        <f>SUM($AQ427:BB427)</f>
        <v>30.928413676817954</v>
      </c>
      <c r="BC428" s="17">
        <f>SUM($AQ427:BC427)</f>
        <v>36.590561421193023</v>
      </c>
      <c r="BD428" s="17">
        <f>SUM($AQ427:BD427)</f>
        <v>42.264797833795079</v>
      </c>
      <c r="BE428" s="17">
        <f>SUM($AQ427:BE427)</f>
        <v>47.951149823954303</v>
      </c>
      <c r="BF428" s="17">
        <f>SUM($AQ427:BF427)</f>
        <v>53.649644363311737</v>
      </c>
      <c r="BG428" s="17">
        <f>SUM($AQ427:BG427)</f>
        <v>59.360308485968673</v>
      </c>
      <c r="BH428" s="17">
        <f>SUM($AQ427:BH427)</f>
        <v>65.083169288636654</v>
      </c>
      <c r="BI428" s="17">
        <f>SUM($AQ427:BI427)</f>
        <v>70.818253930787719</v>
      </c>
      <c r="BJ428" s="17">
        <f>SUM($AQ427:BJ427)</f>
        <v>76.565589634805079</v>
      </c>
      <c r="BK428" s="17">
        <f>SUM($AQ427:BK427)</f>
        <v>82.325203686134358</v>
      </c>
      <c r="BL428" s="17">
        <f>SUM($AQ427:BL427)</f>
        <v>88.097123433434788</v>
      </c>
      <c r="BM428" s="17">
        <f>SUM($AQ427:BM427)</f>
        <v>93.881376288731119</v>
      </c>
      <c r="BN428" s="17">
        <f>SUM($AQ427:BN427)</f>
        <v>99.677989727565659</v>
      </c>
      <c r="BO428" s="17">
        <f>SUM($AQ427:BO427)</f>
        <v>105.48699128915098</v>
      </c>
      <c r="BP428" s="17">
        <f>SUM($AQ427:BP427)</f>
        <v>111.30840857652299</v>
      </c>
      <c r="BQ428" s="17">
        <f>SUM($AQ427:BQ427)</f>
        <v>117.14226925669387</v>
      </c>
      <c r="BR428" s="17">
        <f>SUM($AQ427:BR427)</f>
        <v>122.98860106080583</v>
      </c>
      <c r="BS428" s="17">
        <f>SUM($AQ427:BS427)</f>
        <v>128.84743178428553</v>
      </c>
      <c r="BT428" s="17">
        <f>SUM($AQ427:BT427)</f>
        <v>134.71878928699829</v>
      </c>
      <c r="BU428" s="17">
        <f>SUM($AQ427:BU427)</f>
        <v>140.60270149340292</v>
      </c>
      <c r="BV428" s="17">
        <f>SUM($AQ427:BV427)</f>
        <v>146.49919639270678</v>
      </c>
      <c r="BW428" s="17">
        <f>SUM($AQ427:BW427)</f>
        <v>152.40198964386531</v>
      </c>
      <c r="BX428" s="17">
        <f>SUM($AQ427:BX427)</f>
        <v>158.30478289502383</v>
      </c>
      <c r="BY428" s="17">
        <f>SUM($AQ427:BY427)</f>
        <v>164.20757614618236</v>
      </c>
      <c r="BZ428" s="17">
        <f>SUM($AQ427:BZ427)</f>
        <v>170.11036939734089</v>
      </c>
      <c r="CA428" s="17">
        <f>SUM($AQ427:CA427)</f>
        <v>176.01316264849942</v>
      </c>
      <c r="CB428" s="17">
        <f>SUM($AQ427:CB427)</f>
        <v>181.91595589965794</v>
      </c>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2" t="s">
        <v>96</v>
      </c>
      <c r="C429" s="135"/>
      <c r="D429" s="134">
        <f t="shared" ref="D429:AO435" si="85">IF(D$426=$B429,0,IF(D$426&gt;$B429,-0.5*D$424-0.5*C$424+C429,0.5*HLOOKUP($B429,$D$423:$AO$424,2,FALSE)+0.5*HLOOKUP($B428,$D$423:$AO$424,2,FALSE)+D428))</f>
        <v>0</v>
      </c>
      <c r="E429" s="134">
        <f t="shared" si="85"/>
        <v>0</v>
      </c>
      <c r="F429" s="134">
        <f t="shared" si="85"/>
        <v>0</v>
      </c>
      <c r="G429" s="134">
        <f t="shared" si="85"/>
        <v>0</v>
      </c>
      <c r="H429" s="134">
        <f t="shared" si="85"/>
        <v>0</v>
      </c>
      <c r="I429" s="134">
        <f t="shared" si="85"/>
        <v>0</v>
      </c>
      <c r="J429" s="134">
        <f t="shared" si="85"/>
        <v>-2.7980674947713213</v>
      </c>
      <c r="K429" s="134">
        <f t="shared" si="85"/>
        <v>-8.4001733675128918</v>
      </c>
      <c r="L429" s="134">
        <f t="shared" si="85"/>
        <v>-14.014234291282204</v>
      </c>
      <c r="M429" s="134">
        <f t="shared" si="85"/>
        <v>-19.640276866086396</v>
      </c>
      <c r="N429" s="134">
        <f t="shared" si="85"/>
        <v>-25.278327753501095</v>
      </c>
      <c r="O429" s="134">
        <f t="shared" si="85"/>
        <v>-30.928413676817954</v>
      </c>
      <c r="P429" s="134">
        <f t="shared" si="85"/>
        <v>-36.590561421193023</v>
      </c>
      <c r="Q429" s="134">
        <f t="shared" si="85"/>
        <v>-42.264797833795079</v>
      </c>
      <c r="R429" s="134">
        <f t="shared" si="85"/>
        <v>-47.951149823954303</v>
      </c>
      <c r="S429" s="134">
        <f t="shared" si="85"/>
        <v>-53.649644363311737</v>
      </c>
      <c r="T429" s="134">
        <f t="shared" si="85"/>
        <v>-59.360308485968673</v>
      </c>
      <c r="U429" s="134">
        <f t="shared" si="85"/>
        <v>-65.083169288636654</v>
      </c>
      <c r="V429" s="134">
        <f t="shared" si="85"/>
        <v>-70.818253930787719</v>
      </c>
      <c r="W429" s="134">
        <f t="shared" si="85"/>
        <v>-76.565589634805079</v>
      </c>
      <c r="X429" s="134">
        <f t="shared" si="85"/>
        <v>-82.325203686134358</v>
      </c>
      <c r="Y429" s="134">
        <f t="shared" si="85"/>
        <v>-88.097123433434788</v>
      </c>
      <c r="Z429" s="134">
        <f t="shared" si="85"/>
        <v>-93.881376288731119</v>
      </c>
      <c r="AA429" s="134">
        <f t="shared" si="85"/>
        <v>-99.677989727565659</v>
      </c>
      <c r="AB429" s="134">
        <f t="shared" si="85"/>
        <v>-105.48699128915098</v>
      </c>
      <c r="AC429" s="134">
        <f t="shared" si="85"/>
        <v>-111.30840857652299</v>
      </c>
      <c r="AD429" s="134">
        <f t="shared" si="85"/>
        <v>-117.14226925669387</v>
      </c>
      <c r="AE429" s="134">
        <f t="shared" si="85"/>
        <v>-122.98860106080583</v>
      </c>
      <c r="AF429" s="134">
        <f t="shared" si="85"/>
        <v>-128.84743178428553</v>
      </c>
      <c r="AG429" s="134">
        <f t="shared" si="85"/>
        <v>-134.71878928699829</v>
      </c>
      <c r="AH429" s="134">
        <f t="shared" si="85"/>
        <v>-140.60270149340292</v>
      </c>
      <c r="AI429" s="134">
        <f t="shared" si="85"/>
        <v>-146.49919639270678</v>
      </c>
      <c r="AJ429" s="134">
        <f t="shared" si="85"/>
        <v>-152.40198964386531</v>
      </c>
      <c r="AK429" s="134">
        <f t="shared" si="85"/>
        <v>-158.30478289502383</v>
      </c>
      <c r="AL429" s="134">
        <f t="shared" si="85"/>
        <v>-164.20757614618236</v>
      </c>
      <c r="AM429" s="134">
        <f t="shared" si="85"/>
        <v>-170.11036939734089</v>
      </c>
      <c r="AN429" s="134">
        <f t="shared" si="85"/>
        <v>-176.01316264849942</v>
      </c>
      <c r="AO429" s="134">
        <f t="shared" si="85"/>
        <v>-181.91595589965794</v>
      </c>
      <c r="AP429" s="99">
        <f>COUNTIF(AQ429:CB429,TRUE)</f>
        <v>38</v>
      </c>
      <c r="AQ429" s="98" t="b">
        <f>AQ428=-D428</f>
        <v>1</v>
      </c>
      <c r="AR429" s="98" t="b">
        <f t="shared" ref="AR429:CB429" si="86">AR428=-E428</f>
        <v>1</v>
      </c>
      <c r="AS429" s="98" t="b">
        <f t="shared" si="86"/>
        <v>1</v>
      </c>
      <c r="AT429" s="98" t="b">
        <f t="shared" si="86"/>
        <v>1</v>
      </c>
      <c r="AU429" s="98" t="b">
        <f t="shared" si="86"/>
        <v>1</v>
      </c>
      <c r="AV429" s="98" t="b">
        <f t="shared" si="86"/>
        <v>1</v>
      </c>
      <c r="AW429" s="98" t="b">
        <f t="shared" si="86"/>
        <v>1</v>
      </c>
      <c r="AX429" s="98" t="b">
        <f t="shared" si="86"/>
        <v>1</v>
      </c>
      <c r="AY429" s="98" t="b">
        <f t="shared" si="86"/>
        <v>1</v>
      </c>
      <c r="AZ429" s="98" t="b">
        <f t="shared" si="86"/>
        <v>1</v>
      </c>
      <c r="BA429" s="98" t="b">
        <f t="shared" si="86"/>
        <v>1</v>
      </c>
      <c r="BB429" s="98" t="b">
        <f t="shared" si="86"/>
        <v>1</v>
      </c>
      <c r="BC429" s="98" t="b">
        <f t="shared" si="86"/>
        <v>1</v>
      </c>
      <c r="BD429" s="98" t="b">
        <f t="shared" si="86"/>
        <v>1</v>
      </c>
      <c r="BE429" s="98" t="b">
        <f t="shared" si="86"/>
        <v>1</v>
      </c>
      <c r="BF429" s="98" t="b">
        <f t="shared" si="86"/>
        <v>1</v>
      </c>
      <c r="BG429" s="98" t="b">
        <f t="shared" si="86"/>
        <v>1</v>
      </c>
      <c r="BH429" s="98" t="b">
        <f t="shared" si="86"/>
        <v>1</v>
      </c>
      <c r="BI429" s="98" t="b">
        <f t="shared" si="86"/>
        <v>1</v>
      </c>
      <c r="BJ429" s="98" t="b">
        <f t="shared" si="86"/>
        <v>1</v>
      </c>
      <c r="BK429" s="98" t="b">
        <f t="shared" si="86"/>
        <v>1</v>
      </c>
      <c r="BL429" s="98" t="b">
        <f t="shared" si="86"/>
        <v>1</v>
      </c>
      <c r="BM429" s="98" t="b">
        <f t="shared" si="86"/>
        <v>1</v>
      </c>
      <c r="BN429" s="98" t="b">
        <f t="shared" si="86"/>
        <v>1</v>
      </c>
      <c r="BO429" s="98" t="b">
        <f t="shared" si="86"/>
        <v>1</v>
      </c>
      <c r="BP429" s="98" t="b">
        <f t="shared" si="86"/>
        <v>1</v>
      </c>
      <c r="BQ429" s="98" t="b">
        <f t="shared" si="86"/>
        <v>1</v>
      </c>
      <c r="BR429" s="98" t="b">
        <f t="shared" si="86"/>
        <v>1</v>
      </c>
      <c r="BS429" s="98" t="b">
        <f t="shared" si="86"/>
        <v>1</v>
      </c>
      <c r="BT429" s="98" t="b">
        <f t="shared" si="86"/>
        <v>1</v>
      </c>
      <c r="BU429" s="98" t="b">
        <f t="shared" si="86"/>
        <v>1</v>
      </c>
      <c r="BV429" s="98" t="b">
        <f t="shared" si="86"/>
        <v>1</v>
      </c>
      <c r="BW429" s="98" t="b">
        <f t="shared" si="86"/>
        <v>1</v>
      </c>
      <c r="BX429" s="98" t="b">
        <f t="shared" si="86"/>
        <v>1</v>
      </c>
      <c r="BY429" s="98" t="b">
        <f t="shared" si="86"/>
        <v>1</v>
      </c>
      <c r="BZ429" s="98" t="b">
        <f t="shared" si="86"/>
        <v>1</v>
      </c>
      <c r="CA429" s="98" t="b">
        <f t="shared" si="86"/>
        <v>1</v>
      </c>
      <c r="CB429" s="98"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2" t="s">
        <v>97</v>
      </c>
      <c r="C430" s="135"/>
      <c r="D430" s="134">
        <f t="shared" si="85"/>
        <v>0</v>
      </c>
      <c r="E430" s="134">
        <f t="shared" si="85"/>
        <v>0</v>
      </c>
      <c r="F430" s="134">
        <f t="shared" si="85"/>
        <v>0</v>
      </c>
      <c r="G430" s="134">
        <f t="shared" si="85"/>
        <v>0</v>
      </c>
      <c r="H430" s="134">
        <f t="shared" si="85"/>
        <v>0</v>
      </c>
      <c r="I430" s="134">
        <f t="shared" si="85"/>
        <v>0</v>
      </c>
      <c r="J430" s="134">
        <f t="shared" si="85"/>
        <v>-2.7980674947713213</v>
      </c>
      <c r="K430" s="134">
        <f t="shared" si="85"/>
        <v>-8.4001733675128918</v>
      </c>
      <c r="L430" s="134">
        <f t="shared" si="85"/>
        <v>-14.014234291282204</v>
      </c>
      <c r="M430" s="134">
        <f t="shared" si="85"/>
        <v>-19.640276866086396</v>
      </c>
      <c r="N430" s="134">
        <f t="shared" si="85"/>
        <v>-25.278327753501095</v>
      </c>
      <c r="O430" s="134">
        <f t="shared" si="85"/>
        <v>-30.928413676817954</v>
      </c>
      <c r="P430" s="134">
        <f t="shared" si="85"/>
        <v>-36.590561421193023</v>
      </c>
      <c r="Q430" s="134">
        <f t="shared" si="85"/>
        <v>-42.264797833795079</v>
      </c>
      <c r="R430" s="134">
        <f t="shared" si="85"/>
        <v>-47.951149823954303</v>
      </c>
      <c r="S430" s="134">
        <f t="shared" si="85"/>
        <v>-53.649644363311737</v>
      </c>
      <c r="T430" s="134">
        <f t="shared" si="85"/>
        <v>-59.360308485968673</v>
      </c>
      <c r="U430" s="134">
        <f t="shared" si="85"/>
        <v>-65.083169288636654</v>
      </c>
      <c r="V430" s="134">
        <f t="shared" si="85"/>
        <v>-70.818253930787719</v>
      </c>
      <c r="W430" s="134">
        <f t="shared" si="85"/>
        <v>-76.565589634805079</v>
      </c>
      <c r="X430" s="134">
        <f t="shared" si="85"/>
        <v>-82.325203686134358</v>
      </c>
      <c r="Y430" s="134">
        <f t="shared" si="85"/>
        <v>-88.097123433434788</v>
      </c>
      <c r="Z430" s="134">
        <f t="shared" si="85"/>
        <v>-93.881376288731119</v>
      </c>
      <c r="AA430" s="134">
        <f t="shared" si="85"/>
        <v>-99.677989727565659</v>
      </c>
      <c r="AB430" s="134">
        <f t="shared" si="85"/>
        <v>-105.48699128915098</v>
      </c>
      <c r="AC430" s="134">
        <f t="shared" si="85"/>
        <v>-111.30840857652299</v>
      </c>
      <c r="AD430" s="134">
        <f t="shared" si="85"/>
        <v>-117.14226925669387</v>
      </c>
      <c r="AE430" s="134">
        <f t="shared" si="85"/>
        <v>-122.98860106080583</v>
      </c>
      <c r="AF430" s="134">
        <f t="shared" si="85"/>
        <v>-128.84743178428553</v>
      </c>
      <c r="AG430" s="134">
        <f t="shared" si="85"/>
        <v>-134.71878928699829</v>
      </c>
      <c r="AH430" s="134">
        <f t="shared" si="85"/>
        <v>-140.60270149340292</v>
      </c>
      <c r="AI430" s="134">
        <f t="shared" si="85"/>
        <v>-146.49919639270678</v>
      </c>
      <c r="AJ430" s="134">
        <f t="shared" si="85"/>
        <v>-152.40198964386531</v>
      </c>
      <c r="AK430" s="134">
        <f t="shared" si="85"/>
        <v>-158.30478289502383</v>
      </c>
      <c r="AL430" s="134">
        <f t="shared" si="85"/>
        <v>-164.20757614618236</v>
      </c>
      <c r="AM430" s="134">
        <f t="shared" si="85"/>
        <v>-170.11036939734089</v>
      </c>
      <c r="AN430" s="134">
        <f t="shared" si="85"/>
        <v>-176.01316264849942</v>
      </c>
      <c r="AO430" s="134">
        <f t="shared" si="85"/>
        <v>-181.91595589965794</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2" t="s">
        <v>98</v>
      </c>
      <c r="C431" s="135"/>
      <c r="D431" s="134">
        <f t="shared" si="85"/>
        <v>0</v>
      </c>
      <c r="E431" s="134">
        <f t="shared" si="85"/>
        <v>0</v>
      </c>
      <c r="F431" s="134">
        <f t="shared" si="85"/>
        <v>0</v>
      </c>
      <c r="G431" s="134">
        <f t="shared" si="85"/>
        <v>0</v>
      </c>
      <c r="H431" s="134">
        <f t="shared" si="85"/>
        <v>0</v>
      </c>
      <c r="I431" s="134">
        <f t="shared" si="85"/>
        <v>0</v>
      </c>
      <c r="J431" s="134">
        <f t="shared" si="85"/>
        <v>-2.7980674947713213</v>
      </c>
      <c r="K431" s="134">
        <f t="shared" si="85"/>
        <v>-8.4001733675128918</v>
      </c>
      <c r="L431" s="134">
        <f t="shared" si="85"/>
        <v>-14.014234291282204</v>
      </c>
      <c r="M431" s="134">
        <f t="shared" si="85"/>
        <v>-19.640276866086396</v>
      </c>
      <c r="N431" s="134">
        <f t="shared" si="85"/>
        <v>-25.278327753501095</v>
      </c>
      <c r="O431" s="134">
        <f t="shared" si="85"/>
        <v>-30.928413676817954</v>
      </c>
      <c r="P431" s="134">
        <f t="shared" si="85"/>
        <v>-36.590561421193023</v>
      </c>
      <c r="Q431" s="134">
        <f t="shared" si="85"/>
        <v>-42.264797833795079</v>
      </c>
      <c r="R431" s="134">
        <f t="shared" si="85"/>
        <v>-47.951149823954303</v>
      </c>
      <c r="S431" s="134">
        <f t="shared" si="85"/>
        <v>-53.649644363311737</v>
      </c>
      <c r="T431" s="134">
        <f t="shared" si="85"/>
        <v>-59.360308485968673</v>
      </c>
      <c r="U431" s="134">
        <f t="shared" si="85"/>
        <v>-65.083169288636654</v>
      </c>
      <c r="V431" s="134">
        <f t="shared" si="85"/>
        <v>-70.818253930787719</v>
      </c>
      <c r="W431" s="134">
        <f t="shared" si="85"/>
        <v>-76.565589634805079</v>
      </c>
      <c r="X431" s="134">
        <f t="shared" si="85"/>
        <v>-82.325203686134358</v>
      </c>
      <c r="Y431" s="134">
        <f t="shared" si="85"/>
        <v>-88.097123433434788</v>
      </c>
      <c r="Z431" s="134">
        <f t="shared" si="85"/>
        <v>-93.881376288731119</v>
      </c>
      <c r="AA431" s="134">
        <f t="shared" si="85"/>
        <v>-99.677989727565659</v>
      </c>
      <c r="AB431" s="134">
        <f t="shared" si="85"/>
        <v>-105.48699128915098</v>
      </c>
      <c r="AC431" s="134">
        <f t="shared" si="85"/>
        <v>-111.30840857652299</v>
      </c>
      <c r="AD431" s="134">
        <f t="shared" si="85"/>
        <v>-117.14226925669387</v>
      </c>
      <c r="AE431" s="134">
        <f t="shared" si="85"/>
        <v>-122.98860106080583</v>
      </c>
      <c r="AF431" s="134">
        <f t="shared" si="85"/>
        <v>-128.84743178428553</v>
      </c>
      <c r="AG431" s="134">
        <f t="shared" si="85"/>
        <v>-134.71878928699829</v>
      </c>
      <c r="AH431" s="134">
        <f t="shared" si="85"/>
        <v>-140.60270149340292</v>
      </c>
      <c r="AI431" s="134">
        <f t="shared" si="85"/>
        <v>-146.49919639270678</v>
      </c>
      <c r="AJ431" s="134">
        <f t="shared" si="85"/>
        <v>-152.40198964386531</v>
      </c>
      <c r="AK431" s="134">
        <f t="shared" si="85"/>
        <v>-158.30478289502383</v>
      </c>
      <c r="AL431" s="134">
        <f t="shared" si="85"/>
        <v>-164.20757614618236</v>
      </c>
      <c r="AM431" s="134">
        <f t="shared" si="85"/>
        <v>-170.11036939734089</v>
      </c>
      <c r="AN431" s="134">
        <f t="shared" si="85"/>
        <v>-176.01316264849942</v>
      </c>
      <c r="AO431" s="134">
        <f t="shared" si="85"/>
        <v>-181.91595589965794</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2" t="s">
        <v>99</v>
      </c>
      <c r="C432" s="135"/>
      <c r="D432" s="134">
        <f t="shared" si="85"/>
        <v>0</v>
      </c>
      <c r="E432" s="134">
        <f t="shared" si="85"/>
        <v>0</v>
      </c>
      <c r="F432" s="134">
        <f t="shared" si="85"/>
        <v>0</v>
      </c>
      <c r="G432" s="134">
        <f t="shared" si="85"/>
        <v>0</v>
      </c>
      <c r="H432" s="134">
        <f t="shared" si="85"/>
        <v>0</v>
      </c>
      <c r="I432" s="134">
        <f t="shared" si="85"/>
        <v>0</v>
      </c>
      <c r="J432" s="134">
        <f t="shared" si="85"/>
        <v>-2.7980674947713213</v>
      </c>
      <c r="K432" s="134">
        <f t="shared" si="85"/>
        <v>-8.4001733675128918</v>
      </c>
      <c r="L432" s="134">
        <f t="shared" si="85"/>
        <v>-14.014234291282204</v>
      </c>
      <c r="M432" s="134">
        <f t="shared" si="85"/>
        <v>-19.640276866086396</v>
      </c>
      <c r="N432" s="134">
        <f t="shared" si="85"/>
        <v>-25.278327753501095</v>
      </c>
      <c r="O432" s="134">
        <f t="shared" si="85"/>
        <v>-30.928413676817954</v>
      </c>
      <c r="P432" s="134">
        <f t="shared" si="85"/>
        <v>-36.590561421193023</v>
      </c>
      <c r="Q432" s="134">
        <f t="shared" si="85"/>
        <v>-42.264797833795079</v>
      </c>
      <c r="R432" s="134">
        <f t="shared" si="85"/>
        <v>-47.951149823954303</v>
      </c>
      <c r="S432" s="134">
        <f t="shared" si="85"/>
        <v>-53.649644363311737</v>
      </c>
      <c r="T432" s="134">
        <f t="shared" si="85"/>
        <v>-59.360308485968673</v>
      </c>
      <c r="U432" s="134">
        <f t="shared" si="85"/>
        <v>-65.083169288636654</v>
      </c>
      <c r="V432" s="134">
        <f t="shared" si="85"/>
        <v>-70.818253930787719</v>
      </c>
      <c r="W432" s="134">
        <f t="shared" si="85"/>
        <v>-76.565589634805079</v>
      </c>
      <c r="X432" s="134">
        <f t="shared" si="85"/>
        <v>-82.325203686134358</v>
      </c>
      <c r="Y432" s="134">
        <f t="shared" si="85"/>
        <v>-88.097123433434788</v>
      </c>
      <c r="Z432" s="134">
        <f t="shared" si="85"/>
        <v>-93.881376288731119</v>
      </c>
      <c r="AA432" s="134">
        <f t="shared" si="85"/>
        <v>-99.677989727565659</v>
      </c>
      <c r="AB432" s="134">
        <f t="shared" si="85"/>
        <v>-105.48699128915098</v>
      </c>
      <c r="AC432" s="134">
        <f t="shared" si="85"/>
        <v>-111.30840857652299</v>
      </c>
      <c r="AD432" s="134">
        <f t="shared" si="85"/>
        <v>-117.14226925669387</v>
      </c>
      <c r="AE432" s="134">
        <f t="shared" si="85"/>
        <v>-122.98860106080583</v>
      </c>
      <c r="AF432" s="134">
        <f t="shared" si="85"/>
        <v>-128.84743178428553</v>
      </c>
      <c r="AG432" s="134">
        <f t="shared" si="85"/>
        <v>-134.71878928699829</v>
      </c>
      <c r="AH432" s="134">
        <f t="shared" si="85"/>
        <v>-140.60270149340292</v>
      </c>
      <c r="AI432" s="134">
        <f t="shared" si="85"/>
        <v>-146.49919639270678</v>
      </c>
      <c r="AJ432" s="134">
        <f t="shared" si="85"/>
        <v>-152.40198964386531</v>
      </c>
      <c r="AK432" s="134">
        <f t="shared" si="85"/>
        <v>-158.30478289502383</v>
      </c>
      <c r="AL432" s="134">
        <f t="shared" si="85"/>
        <v>-164.20757614618236</v>
      </c>
      <c r="AM432" s="134">
        <f t="shared" si="85"/>
        <v>-170.11036939734089</v>
      </c>
      <c r="AN432" s="134">
        <f t="shared" si="85"/>
        <v>-176.01316264849942</v>
      </c>
      <c r="AO432" s="134">
        <f t="shared" si="85"/>
        <v>-181.91595589965794</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2" t="s">
        <v>100</v>
      </c>
      <c r="C433" s="135"/>
      <c r="D433" s="134">
        <f t="shared" si="85"/>
        <v>0</v>
      </c>
      <c r="E433" s="134">
        <f t="shared" si="85"/>
        <v>0</v>
      </c>
      <c r="F433" s="134">
        <f t="shared" si="85"/>
        <v>0</v>
      </c>
      <c r="G433" s="134">
        <f t="shared" si="85"/>
        <v>0</v>
      </c>
      <c r="H433" s="134">
        <f t="shared" si="85"/>
        <v>0</v>
      </c>
      <c r="I433" s="134">
        <f t="shared" si="85"/>
        <v>0</v>
      </c>
      <c r="J433" s="134">
        <f t="shared" si="85"/>
        <v>-2.7980674947713213</v>
      </c>
      <c r="K433" s="134">
        <f t="shared" si="85"/>
        <v>-8.4001733675128918</v>
      </c>
      <c r="L433" s="134">
        <f t="shared" si="85"/>
        <v>-14.014234291282204</v>
      </c>
      <c r="M433" s="134">
        <f t="shared" si="85"/>
        <v>-19.640276866086396</v>
      </c>
      <c r="N433" s="134">
        <f t="shared" si="85"/>
        <v>-25.278327753501095</v>
      </c>
      <c r="O433" s="134">
        <f t="shared" si="85"/>
        <v>-30.928413676817954</v>
      </c>
      <c r="P433" s="134">
        <f t="shared" si="85"/>
        <v>-36.590561421193023</v>
      </c>
      <c r="Q433" s="134">
        <f t="shared" si="85"/>
        <v>-42.264797833795079</v>
      </c>
      <c r="R433" s="134">
        <f t="shared" si="85"/>
        <v>-47.951149823954303</v>
      </c>
      <c r="S433" s="134">
        <f t="shared" si="85"/>
        <v>-53.649644363311737</v>
      </c>
      <c r="T433" s="134">
        <f t="shared" si="85"/>
        <v>-59.360308485968673</v>
      </c>
      <c r="U433" s="134">
        <f t="shared" si="85"/>
        <v>-65.083169288636654</v>
      </c>
      <c r="V433" s="134">
        <f t="shared" si="85"/>
        <v>-70.818253930787719</v>
      </c>
      <c r="W433" s="134">
        <f t="shared" si="85"/>
        <v>-76.565589634805079</v>
      </c>
      <c r="X433" s="134">
        <f t="shared" si="85"/>
        <v>-82.325203686134358</v>
      </c>
      <c r="Y433" s="134">
        <f t="shared" si="85"/>
        <v>-88.097123433434788</v>
      </c>
      <c r="Z433" s="134">
        <f t="shared" si="85"/>
        <v>-93.881376288731119</v>
      </c>
      <c r="AA433" s="134">
        <f t="shared" si="85"/>
        <v>-99.677989727565659</v>
      </c>
      <c r="AB433" s="134">
        <f t="shared" si="85"/>
        <v>-105.48699128915098</v>
      </c>
      <c r="AC433" s="134">
        <f t="shared" si="85"/>
        <v>-111.30840857652299</v>
      </c>
      <c r="AD433" s="134">
        <f t="shared" si="85"/>
        <v>-117.14226925669387</v>
      </c>
      <c r="AE433" s="134">
        <f t="shared" si="85"/>
        <v>-122.98860106080583</v>
      </c>
      <c r="AF433" s="134">
        <f t="shared" si="85"/>
        <v>-128.84743178428553</v>
      </c>
      <c r="AG433" s="134">
        <f t="shared" si="85"/>
        <v>-134.71878928699829</v>
      </c>
      <c r="AH433" s="134">
        <f t="shared" si="85"/>
        <v>-140.60270149340292</v>
      </c>
      <c r="AI433" s="134">
        <f t="shared" si="85"/>
        <v>-146.49919639270678</v>
      </c>
      <c r="AJ433" s="134">
        <f t="shared" si="85"/>
        <v>-152.40198964386531</v>
      </c>
      <c r="AK433" s="134">
        <f t="shared" si="85"/>
        <v>-158.30478289502383</v>
      </c>
      <c r="AL433" s="134">
        <f t="shared" si="85"/>
        <v>-164.20757614618236</v>
      </c>
      <c r="AM433" s="134">
        <f t="shared" si="85"/>
        <v>-170.11036939734089</v>
      </c>
      <c r="AN433" s="134">
        <f t="shared" si="85"/>
        <v>-176.01316264849942</v>
      </c>
      <c r="AO433" s="134">
        <f t="shared" si="85"/>
        <v>-181.91595589965794</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2" t="s">
        <v>101</v>
      </c>
      <c r="C434" s="135"/>
      <c r="D434" s="134">
        <f t="shared" si="85"/>
        <v>2.7980674947713213</v>
      </c>
      <c r="E434" s="134">
        <f t="shared" si="85"/>
        <v>2.7980674947713213</v>
      </c>
      <c r="F434" s="134">
        <f t="shared" si="85"/>
        <v>2.7980674947713213</v>
      </c>
      <c r="G434" s="134">
        <f t="shared" si="85"/>
        <v>2.7980674947713213</v>
      </c>
      <c r="H434" s="134">
        <f t="shared" si="85"/>
        <v>2.7980674947713213</v>
      </c>
      <c r="I434" s="134">
        <f t="shared" si="85"/>
        <v>2.7980674947713213</v>
      </c>
      <c r="J434" s="134">
        <f t="shared" si="85"/>
        <v>0</v>
      </c>
      <c r="K434" s="134">
        <f t="shared" si="85"/>
        <v>-5.6021058727415696</v>
      </c>
      <c r="L434" s="134">
        <f t="shared" si="85"/>
        <v>-11.216166796510882</v>
      </c>
      <c r="M434" s="134">
        <f t="shared" si="85"/>
        <v>-16.842209371315072</v>
      </c>
      <c r="N434" s="134">
        <f t="shared" si="85"/>
        <v>-22.480260258729771</v>
      </c>
      <c r="O434" s="134">
        <f t="shared" si="85"/>
        <v>-28.13034618204663</v>
      </c>
      <c r="P434" s="134">
        <f t="shared" si="85"/>
        <v>-33.792493926421699</v>
      </c>
      <c r="Q434" s="134">
        <f t="shared" si="85"/>
        <v>-39.466730339023755</v>
      </c>
      <c r="R434" s="134">
        <f t="shared" si="85"/>
        <v>-45.153082329182979</v>
      </c>
      <c r="S434" s="134">
        <f t="shared" si="85"/>
        <v>-50.851576868540413</v>
      </c>
      <c r="T434" s="134">
        <f t="shared" si="85"/>
        <v>-56.562240991197349</v>
      </c>
      <c r="U434" s="134">
        <f t="shared" si="85"/>
        <v>-62.285101793865323</v>
      </c>
      <c r="V434" s="134">
        <f t="shared" si="85"/>
        <v>-68.020186436016388</v>
      </c>
      <c r="W434" s="134">
        <f t="shared" si="85"/>
        <v>-73.767522140033748</v>
      </c>
      <c r="X434" s="134">
        <f t="shared" si="85"/>
        <v>-79.527136191363027</v>
      </c>
      <c r="Y434" s="134">
        <f t="shared" si="85"/>
        <v>-85.299055938663457</v>
      </c>
      <c r="Z434" s="134">
        <f t="shared" si="85"/>
        <v>-91.083308793959787</v>
      </c>
      <c r="AA434" s="134">
        <f t="shared" si="85"/>
        <v>-96.879922232794328</v>
      </c>
      <c r="AB434" s="134">
        <f t="shared" si="85"/>
        <v>-102.68892379437965</v>
      </c>
      <c r="AC434" s="134">
        <f t="shared" si="85"/>
        <v>-108.51034108175166</v>
      </c>
      <c r="AD434" s="134">
        <f t="shared" si="85"/>
        <v>-114.34420176192253</v>
      </c>
      <c r="AE434" s="134">
        <f t="shared" si="85"/>
        <v>-120.1905335660345</v>
      </c>
      <c r="AF434" s="134">
        <f t="shared" si="85"/>
        <v>-126.04936428951422</v>
      </c>
      <c r="AG434" s="134">
        <f t="shared" si="85"/>
        <v>-131.92072179222697</v>
      </c>
      <c r="AH434" s="134">
        <f t="shared" si="85"/>
        <v>-137.8046339986316</v>
      </c>
      <c r="AI434" s="134">
        <f t="shared" si="85"/>
        <v>-143.70112889793546</v>
      </c>
      <c r="AJ434" s="134">
        <f t="shared" si="85"/>
        <v>-149.60392214909399</v>
      </c>
      <c r="AK434" s="134">
        <f t="shared" si="85"/>
        <v>-155.50671540025252</v>
      </c>
      <c r="AL434" s="134">
        <f t="shared" si="85"/>
        <v>-161.40950865141104</v>
      </c>
      <c r="AM434" s="134">
        <f t="shared" si="85"/>
        <v>-167.31230190256957</v>
      </c>
      <c r="AN434" s="134">
        <f t="shared" si="85"/>
        <v>-173.2150951537281</v>
      </c>
      <c r="AO434" s="134">
        <f t="shared" si="85"/>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2" t="s">
        <v>102</v>
      </c>
      <c r="C435" s="135"/>
      <c r="D435" s="134">
        <f t="shared" si="85"/>
        <v>8.4001733675128918</v>
      </c>
      <c r="E435" s="134">
        <f t="shared" si="85"/>
        <v>8.4001733675128918</v>
      </c>
      <c r="F435" s="134">
        <f t="shared" si="85"/>
        <v>8.4001733675128918</v>
      </c>
      <c r="G435" s="134">
        <f t="shared" si="85"/>
        <v>8.4001733675128918</v>
      </c>
      <c r="H435" s="134">
        <f t="shared" si="85"/>
        <v>8.4001733675128918</v>
      </c>
      <c r="I435" s="134">
        <f t="shared" si="85"/>
        <v>8.4001733675128918</v>
      </c>
      <c r="J435" s="134">
        <f t="shared" si="85"/>
        <v>5.6021058727415696</v>
      </c>
      <c r="K435" s="134">
        <f t="shared" si="85"/>
        <v>0</v>
      </c>
      <c r="L435" s="134">
        <f t="shared" si="85"/>
        <v>-5.614060923769312</v>
      </c>
      <c r="M435" s="134">
        <f t="shared" si="85"/>
        <v>-11.240103498573502</v>
      </c>
      <c r="N435" s="134">
        <f t="shared" si="85"/>
        <v>-16.8781543859882</v>
      </c>
      <c r="O435" s="134">
        <f t="shared" si="85"/>
        <v>-22.528240309305062</v>
      </c>
      <c r="P435" s="134">
        <f t="shared" si="85"/>
        <v>-28.190388053680135</v>
      </c>
      <c r="Q435" s="134">
        <f t="shared" si="85"/>
        <v>-33.864624466282187</v>
      </c>
      <c r="R435" s="134">
        <f t="shared" si="85"/>
        <v>-39.550976456441411</v>
      </c>
      <c r="S435" s="134">
        <f t="shared" si="85"/>
        <v>-45.249470995798845</v>
      </c>
      <c r="T435" s="134">
        <f t="shared" si="85"/>
        <v>-50.960135118455781</v>
      </c>
      <c r="U435" s="134">
        <f t="shared" si="85"/>
        <v>-56.682995921123762</v>
      </c>
      <c r="V435" s="134">
        <f t="shared" si="85"/>
        <v>-62.418080563274827</v>
      </c>
      <c r="W435" s="134">
        <f t="shared" si="85"/>
        <v>-68.165416267292187</v>
      </c>
      <c r="X435" s="134">
        <f t="shared" si="85"/>
        <v>-73.925030318621467</v>
      </c>
      <c r="Y435" s="134">
        <f t="shared" si="85"/>
        <v>-79.696950065921897</v>
      </c>
      <c r="Z435" s="134">
        <f t="shared" si="85"/>
        <v>-85.481202921218227</v>
      </c>
      <c r="AA435" s="134">
        <f t="shared" si="85"/>
        <v>-91.277816360052768</v>
      </c>
      <c r="AB435" s="134">
        <f t="shared" si="85"/>
        <v>-97.086817921638087</v>
      </c>
      <c r="AC435" s="134">
        <f t="shared" si="85"/>
        <v>-102.9082352090101</v>
      </c>
      <c r="AD435" s="134">
        <f t="shared" si="85"/>
        <v>-108.74209588918097</v>
      </c>
      <c r="AE435" s="134">
        <f t="shared" ref="AE435:AO435" si="87">IF(AE$426=$B435,0,IF(AE$426&gt;$B435,-0.5*AE$424-0.5*AD$424+AD435,0.5*HLOOKUP($B435,$D$423:$AO$424,2,FALSE)+0.5*HLOOKUP($B434,$D$423:$AO$424,2,FALSE)+AE434))</f>
        <v>-114.58842769329294</v>
      </c>
      <c r="AF435" s="134">
        <f t="shared" si="87"/>
        <v>-120.44725841677266</v>
      </c>
      <c r="AG435" s="134">
        <f t="shared" si="87"/>
        <v>-126.3186159194854</v>
      </c>
      <c r="AH435" s="134">
        <f t="shared" si="87"/>
        <v>-132.20252812589001</v>
      </c>
      <c r="AI435" s="134">
        <f t="shared" si="87"/>
        <v>-138.09902302519387</v>
      </c>
      <c r="AJ435" s="134">
        <f t="shared" si="87"/>
        <v>-144.00181627635237</v>
      </c>
      <c r="AK435" s="134">
        <f t="shared" si="87"/>
        <v>-149.9046095275109</v>
      </c>
      <c r="AL435" s="134">
        <f t="shared" si="87"/>
        <v>-155.80740277866943</v>
      </c>
      <c r="AM435" s="134">
        <f t="shared" si="87"/>
        <v>-161.71019602982796</v>
      </c>
      <c r="AN435" s="134">
        <f t="shared" si="87"/>
        <v>-167.61298928098648</v>
      </c>
      <c r="AO435" s="134">
        <f t="shared" si="87"/>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2" t="s">
        <v>103</v>
      </c>
      <c r="C436" s="135"/>
      <c r="D436" s="134">
        <f t="shared" ref="D436:AO442" si="88">IF(D$426=$B436,0,IF(D$426&gt;$B436,-0.5*D$424-0.5*C$424+C436,0.5*HLOOKUP($B436,$D$423:$AO$424,2,FALSE)+0.5*HLOOKUP($B435,$D$423:$AO$424,2,FALSE)+D435))</f>
        <v>14.014234291282204</v>
      </c>
      <c r="E436" s="134">
        <f t="shared" si="88"/>
        <v>14.014234291282204</v>
      </c>
      <c r="F436" s="134">
        <f t="shared" si="88"/>
        <v>14.014234291282204</v>
      </c>
      <c r="G436" s="134">
        <f t="shared" si="88"/>
        <v>14.014234291282204</v>
      </c>
      <c r="H436" s="134">
        <f t="shared" si="88"/>
        <v>14.014234291282204</v>
      </c>
      <c r="I436" s="134">
        <f t="shared" si="88"/>
        <v>14.014234291282204</v>
      </c>
      <c r="J436" s="134">
        <f t="shared" si="88"/>
        <v>11.216166796510882</v>
      </c>
      <c r="K436" s="134">
        <f t="shared" si="88"/>
        <v>5.614060923769312</v>
      </c>
      <c r="L436" s="134">
        <f t="shared" si="88"/>
        <v>0</v>
      </c>
      <c r="M436" s="134">
        <f t="shared" si="88"/>
        <v>-5.62604257480419</v>
      </c>
      <c r="N436" s="134">
        <f t="shared" si="88"/>
        <v>-11.264093462218888</v>
      </c>
      <c r="O436" s="134">
        <f t="shared" si="88"/>
        <v>-16.914179385535746</v>
      </c>
      <c r="P436" s="134">
        <f t="shared" si="88"/>
        <v>-22.576327129910819</v>
      </c>
      <c r="Q436" s="134">
        <f t="shared" si="88"/>
        <v>-28.250563542512872</v>
      </c>
      <c r="R436" s="134">
        <f t="shared" si="88"/>
        <v>-33.936915532672096</v>
      </c>
      <c r="S436" s="134">
        <f t="shared" si="88"/>
        <v>-39.635410072029529</v>
      </c>
      <c r="T436" s="134">
        <f t="shared" si="88"/>
        <v>-45.346074194686466</v>
      </c>
      <c r="U436" s="134">
        <f t="shared" si="88"/>
        <v>-51.068934997354447</v>
      </c>
      <c r="V436" s="134">
        <f t="shared" si="88"/>
        <v>-56.804019639505512</v>
      </c>
      <c r="W436" s="134">
        <f t="shared" si="88"/>
        <v>-62.551355343522872</v>
      </c>
      <c r="X436" s="134">
        <f t="shared" si="88"/>
        <v>-68.310969394852151</v>
      </c>
      <c r="Y436" s="134">
        <f t="shared" si="88"/>
        <v>-74.082889142152581</v>
      </c>
      <c r="Z436" s="134">
        <f t="shared" si="88"/>
        <v>-79.867141997448911</v>
      </c>
      <c r="AA436" s="134">
        <f t="shared" si="88"/>
        <v>-85.663755436283452</v>
      </c>
      <c r="AB436" s="134">
        <f t="shared" si="88"/>
        <v>-91.472756997868771</v>
      </c>
      <c r="AC436" s="134">
        <f t="shared" si="88"/>
        <v>-97.294174285240786</v>
      </c>
      <c r="AD436" s="134">
        <f t="shared" si="88"/>
        <v>-103.12803496541166</v>
      </c>
      <c r="AE436" s="134">
        <f t="shared" si="88"/>
        <v>-108.97436676952363</v>
      </c>
      <c r="AF436" s="134">
        <f t="shared" si="88"/>
        <v>-114.83319749300334</v>
      </c>
      <c r="AG436" s="134">
        <f t="shared" si="88"/>
        <v>-120.70455499571608</v>
      </c>
      <c r="AH436" s="134">
        <f t="shared" si="88"/>
        <v>-126.5884672021207</v>
      </c>
      <c r="AI436" s="134">
        <f t="shared" si="88"/>
        <v>-132.48496210142454</v>
      </c>
      <c r="AJ436" s="134">
        <f t="shared" si="88"/>
        <v>-138.38775535258304</v>
      </c>
      <c r="AK436" s="134">
        <f t="shared" si="88"/>
        <v>-144.29054860374157</v>
      </c>
      <c r="AL436" s="134">
        <f t="shared" si="88"/>
        <v>-150.1933418549001</v>
      </c>
      <c r="AM436" s="134">
        <f t="shared" si="88"/>
        <v>-156.09613510605863</v>
      </c>
      <c r="AN436" s="134">
        <f t="shared" si="88"/>
        <v>-161.99892835721715</v>
      </c>
      <c r="AO436" s="134">
        <f t="shared" si="88"/>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2" t="s">
        <v>104</v>
      </c>
      <c r="C437" s="135"/>
      <c r="D437" s="134">
        <f t="shared" si="88"/>
        <v>19.640276866086396</v>
      </c>
      <c r="E437" s="134">
        <f t="shared" si="88"/>
        <v>19.640276866086396</v>
      </c>
      <c r="F437" s="134">
        <f t="shared" si="88"/>
        <v>19.640276866086396</v>
      </c>
      <c r="G437" s="134">
        <f t="shared" si="88"/>
        <v>19.640276866086396</v>
      </c>
      <c r="H437" s="134">
        <f t="shared" si="88"/>
        <v>19.640276866086396</v>
      </c>
      <c r="I437" s="134">
        <f t="shared" si="88"/>
        <v>19.640276866086396</v>
      </c>
      <c r="J437" s="134">
        <f t="shared" si="88"/>
        <v>16.842209371315072</v>
      </c>
      <c r="K437" s="134">
        <f t="shared" si="88"/>
        <v>11.240103498573502</v>
      </c>
      <c r="L437" s="134">
        <f t="shared" si="88"/>
        <v>5.62604257480419</v>
      </c>
      <c r="M437" s="134">
        <f t="shared" si="88"/>
        <v>0</v>
      </c>
      <c r="N437" s="134">
        <f t="shared" si="88"/>
        <v>-5.638050887414698</v>
      </c>
      <c r="O437" s="134">
        <f t="shared" si="88"/>
        <v>-11.288136810731558</v>
      </c>
      <c r="P437" s="134">
        <f t="shared" si="88"/>
        <v>-16.950284555106631</v>
      </c>
      <c r="Q437" s="134">
        <f t="shared" si="88"/>
        <v>-22.624520967708683</v>
      </c>
      <c r="R437" s="134">
        <f t="shared" si="88"/>
        <v>-28.310872957867907</v>
      </c>
      <c r="S437" s="134">
        <f t="shared" si="88"/>
        <v>-34.009367497225341</v>
      </c>
      <c r="T437" s="134">
        <f t="shared" si="88"/>
        <v>-39.720031619882278</v>
      </c>
      <c r="U437" s="134">
        <f t="shared" si="88"/>
        <v>-45.442892422550258</v>
      </c>
      <c r="V437" s="134">
        <f t="shared" si="88"/>
        <v>-51.177977064701324</v>
      </c>
      <c r="W437" s="134">
        <f t="shared" si="88"/>
        <v>-56.925312768718683</v>
      </c>
      <c r="X437" s="134">
        <f t="shared" si="88"/>
        <v>-62.684926820047956</v>
      </c>
      <c r="Y437" s="134">
        <f t="shared" si="88"/>
        <v>-68.456846567348393</v>
      </c>
      <c r="Z437" s="134">
        <f t="shared" si="88"/>
        <v>-74.241099422644723</v>
      </c>
      <c r="AA437" s="134">
        <f t="shared" si="88"/>
        <v>-80.037712861479264</v>
      </c>
      <c r="AB437" s="134">
        <f t="shared" si="88"/>
        <v>-85.846714423064583</v>
      </c>
      <c r="AC437" s="134">
        <f t="shared" si="88"/>
        <v>-91.668131710436597</v>
      </c>
      <c r="AD437" s="134">
        <f t="shared" si="88"/>
        <v>-97.501992390607469</v>
      </c>
      <c r="AE437" s="134">
        <f t="shared" si="88"/>
        <v>-103.34832419471944</v>
      </c>
      <c r="AF437" s="134">
        <f t="shared" si="88"/>
        <v>-109.20715491819915</v>
      </c>
      <c r="AG437" s="134">
        <f t="shared" si="88"/>
        <v>-115.07851242091189</v>
      </c>
      <c r="AH437" s="134">
        <f t="shared" si="88"/>
        <v>-120.96242462731651</v>
      </c>
      <c r="AI437" s="134">
        <f t="shared" si="88"/>
        <v>-126.85891952662035</v>
      </c>
      <c r="AJ437" s="134">
        <f t="shared" si="88"/>
        <v>-132.76171277777888</v>
      </c>
      <c r="AK437" s="134">
        <f t="shared" si="88"/>
        <v>-138.66450602893741</v>
      </c>
      <c r="AL437" s="134">
        <f t="shared" si="88"/>
        <v>-144.56729928009594</v>
      </c>
      <c r="AM437" s="134">
        <f t="shared" si="88"/>
        <v>-150.47009253125447</v>
      </c>
      <c r="AN437" s="134">
        <f t="shared" si="88"/>
        <v>-156.37288578241299</v>
      </c>
      <c r="AO437" s="134">
        <f t="shared" si="88"/>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2" t="s">
        <v>105</v>
      </c>
      <c r="C438" s="135"/>
      <c r="D438" s="134">
        <f t="shared" si="88"/>
        <v>25.278327753501095</v>
      </c>
      <c r="E438" s="134">
        <f t="shared" si="88"/>
        <v>25.278327753501095</v>
      </c>
      <c r="F438" s="134">
        <f t="shared" si="88"/>
        <v>25.278327753501095</v>
      </c>
      <c r="G438" s="134">
        <f t="shared" si="88"/>
        <v>25.278327753501095</v>
      </c>
      <c r="H438" s="134">
        <f t="shared" si="88"/>
        <v>25.278327753501095</v>
      </c>
      <c r="I438" s="134">
        <f t="shared" si="88"/>
        <v>25.278327753501095</v>
      </c>
      <c r="J438" s="134">
        <f t="shared" si="88"/>
        <v>22.480260258729771</v>
      </c>
      <c r="K438" s="134">
        <f t="shared" si="88"/>
        <v>16.8781543859882</v>
      </c>
      <c r="L438" s="134">
        <f t="shared" si="88"/>
        <v>11.264093462218888</v>
      </c>
      <c r="M438" s="134">
        <f t="shared" si="88"/>
        <v>5.638050887414698</v>
      </c>
      <c r="N438" s="134">
        <f t="shared" si="88"/>
        <v>0</v>
      </c>
      <c r="O438" s="134">
        <f t="shared" si="88"/>
        <v>-5.6500859233168601</v>
      </c>
      <c r="P438" s="134">
        <f t="shared" si="88"/>
        <v>-11.312233667691931</v>
      </c>
      <c r="Q438" s="134">
        <f t="shared" si="88"/>
        <v>-16.986470080293984</v>
      </c>
      <c r="R438" s="134">
        <f t="shared" si="88"/>
        <v>-22.672822070453208</v>
      </c>
      <c r="S438" s="134">
        <f t="shared" si="88"/>
        <v>-28.371316609810641</v>
      </c>
      <c r="T438" s="134">
        <f t="shared" si="88"/>
        <v>-34.081980732467578</v>
      </c>
      <c r="U438" s="134">
        <f t="shared" si="88"/>
        <v>-39.804841535135552</v>
      </c>
      <c r="V438" s="134">
        <f t="shared" si="88"/>
        <v>-45.539926177286617</v>
      </c>
      <c r="W438" s="134">
        <f t="shared" si="88"/>
        <v>-51.287261881303976</v>
      </c>
      <c r="X438" s="134">
        <f t="shared" si="88"/>
        <v>-57.046875932633249</v>
      </c>
      <c r="Y438" s="134">
        <f t="shared" si="88"/>
        <v>-62.818795679933686</v>
      </c>
      <c r="Z438" s="134">
        <f t="shared" si="88"/>
        <v>-68.603048535230016</v>
      </c>
      <c r="AA438" s="134">
        <f t="shared" si="88"/>
        <v>-74.399661974064557</v>
      </c>
      <c r="AB438" s="134">
        <f t="shared" si="88"/>
        <v>-80.208663535649876</v>
      </c>
      <c r="AC438" s="134">
        <f t="shared" si="88"/>
        <v>-86.030080823021891</v>
      </c>
      <c r="AD438" s="134">
        <f t="shared" si="88"/>
        <v>-91.863941503192763</v>
      </c>
      <c r="AE438" s="134">
        <f t="shared" si="88"/>
        <v>-97.710273307304732</v>
      </c>
      <c r="AF438" s="134">
        <f t="shared" si="88"/>
        <v>-103.56910403078444</v>
      </c>
      <c r="AG438" s="134">
        <f t="shared" si="88"/>
        <v>-109.44046153349719</v>
      </c>
      <c r="AH438" s="134">
        <f t="shared" si="88"/>
        <v>-115.3243737399018</v>
      </c>
      <c r="AI438" s="134">
        <f t="shared" si="88"/>
        <v>-121.22086863920565</v>
      </c>
      <c r="AJ438" s="134">
        <f t="shared" si="88"/>
        <v>-127.12366189036416</v>
      </c>
      <c r="AK438" s="134">
        <f t="shared" si="88"/>
        <v>-133.02645514152266</v>
      </c>
      <c r="AL438" s="134">
        <f t="shared" si="88"/>
        <v>-138.92924839268119</v>
      </c>
      <c r="AM438" s="134">
        <f t="shared" si="88"/>
        <v>-144.83204164383972</v>
      </c>
      <c r="AN438" s="134">
        <f t="shared" si="88"/>
        <v>-150.73483489499824</v>
      </c>
      <c r="AO438" s="134">
        <f t="shared" si="88"/>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2" t="s">
        <v>106</v>
      </c>
      <c r="C439" s="135"/>
      <c r="D439" s="134">
        <f t="shared" si="88"/>
        <v>30.928413676817954</v>
      </c>
      <c r="E439" s="134">
        <f t="shared" si="88"/>
        <v>30.928413676817954</v>
      </c>
      <c r="F439" s="134">
        <f t="shared" si="88"/>
        <v>30.928413676817954</v>
      </c>
      <c r="G439" s="134">
        <f t="shared" si="88"/>
        <v>30.928413676817954</v>
      </c>
      <c r="H439" s="134">
        <f t="shared" si="88"/>
        <v>30.928413676817954</v>
      </c>
      <c r="I439" s="134">
        <f t="shared" si="88"/>
        <v>30.928413676817954</v>
      </c>
      <c r="J439" s="134">
        <f t="shared" si="88"/>
        <v>28.13034618204663</v>
      </c>
      <c r="K439" s="134">
        <f t="shared" si="88"/>
        <v>22.528240309305062</v>
      </c>
      <c r="L439" s="134">
        <f t="shared" si="88"/>
        <v>16.914179385535746</v>
      </c>
      <c r="M439" s="134">
        <f t="shared" si="88"/>
        <v>11.288136810731558</v>
      </c>
      <c r="N439" s="134">
        <f t="shared" si="88"/>
        <v>5.6500859233168601</v>
      </c>
      <c r="O439" s="134">
        <f t="shared" si="88"/>
        <v>0</v>
      </c>
      <c r="P439" s="134">
        <f t="shared" si="88"/>
        <v>-5.6621477443750718</v>
      </c>
      <c r="Q439" s="134">
        <f t="shared" si="88"/>
        <v>-11.336384156977125</v>
      </c>
      <c r="R439" s="134">
        <f t="shared" si="88"/>
        <v>-17.022736147136349</v>
      </c>
      <c r="S439" s="134">
        <f t="shared" si="88"/>
        <v>-22.721230686493783</v>
      </c>
      <c r="T439" s="134">
        <f t="shared" si="88"/>
        <v>-28.43189480915072</v>
      </c>
      <c r="U439" s="134">
        <f t="shared" si="88"/>
        <v>-34.1547556118187</v>
      </c>
      <c r="V439" s="134">
        <f t="shared" si="88"/>
        <v>-39.889840253969766</v>
      </c>
      <c r="W439" s="134">
        <f t="shared" si="88"/>
        <v>-45.637175957987125</v>
      </c>
      <c r="X439" s="134">
        <f t="shared" si="88"/>
        <v>-51.396790009316398</v>
      </c>
      <c r="Y439" s="134">
        <f t="shared" si="88"/>
        <v>-57.168709756616835</v>
      </c>
      <c r="Z439" s="134">
        <f t="shared" si="88"/>
        <v>-62.952962611913165</v>
      </c>
      <c r="AA439" s="134">
        <f t="shared" si="88"/>
        <v>-68.749576050747706</v>
      </c>
      <c r="AB439" s="134">
        <f t="shared" si="88"/>
        <v>-74.558577612333025</v>
      </c>
      <c r="AC439" s="134">
        <f t="shared" si="88"/>
        <v>-80.379994899705039</v>
      </c>
      <c r="AD439" s="134">
        <f t="shared" si="88"/>
        <v>-86.213855579875911</v>
      </c>
      <c r="AE439" s="134">
        <f t="shared" si="88"/>
        <v>-92.060187383987881</v>
      </c>
      <c r="AF439" s="134">
        <f t="shared" si="88"/>
        <v>-97.919018107467593</v>
      </c>
      <c r="AG439" s="134">
        <f t="shared" si="88"/>
        <v>-103.79037561018033</v>
      </c>
      <c r="AH439" s="134">
        <f t="shared" si="88"/>
        <v>-109.67428781658495</v>
      </c>
      <c r="AI439" s="134">
        <f t="shared" si="88"/>
        <v>-115.5707827158888</v>
      </c>
      <c r="AJ439" s="134">
        <f t="shared" si="88"/>
        <v>-121.47357596704731</v>
      </c>
      <c r="AK439" s="134">
        <f t="shared" si="88"/>
        <v>-127.37636921820582</v>
      </c>
      <c r="AL439" s="134">
        <f t="shared" si="88"/>
        <v>-133.27916246936434</v>
      </c>
      <c r="AM439" s="134">
        <f t="shared" si="88"/>
        <v>-139.18195572052286</v>
      </c>
      <c r="AN439" s="134">
        <f t="shared" si="88"/>
        <v>-145.08474897168139</v>
      </c>
      <c r="AO439" s="134">
        <f t="shared" si="88"/>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2" t="s">
        <v>107</v>
      </c>
      <c r="C440" s="135"/>
      <c r="D440" s="134">
        <f t="shared" si="88"/>
        <v>36.590561421193023</v>
      </c>
      <c r="E440" s="134">
        <f t="shared" si="88"/>
        <v>36.590561421193023</v>
      </c>
      <c r="F440" s="134">
        <f t="shared" si="88"/>
        <v>36.590561421193023</v>
      </c>
      <c r="G440" s="134">
        <f t="shared" si="88"/>
        <v>36.590561421193023</v>
      </c>
      <c r="H440" s="134">
        <f t="shared" si="88"/>
        <v>36.590561421193023</v>
      </c>
      <c r="I440" s="134">
        <f t="shared" si="88"/>
        <v>36.590561421193023</v>
      </c>
      <c r="J440" s="134">
        <f t="shared" si="88"/>
        <v>33.792493926421699</v>
      </c>
      <c r="K440" s="134">
        <f t="shared" si="88"/>
        <v>28.190388053680135</v>
      </c>
      <c r="L440" s="134">
        <f t="shared" si="88"/>
        <v>22.576327129910819</v>
      </c>
      <c r="M440" s="134">
        <f t="shared" si="88"/>
        <v>16.950284555106631</v>
      </c>
      <c r="N440" s="134">
        <f t="shared" si="88"/>
        <v>11.312233667691931</v>
      </c>
      <c r="O440" s="134">
        <f t="shared" si="88"/>
        <v>5.6621477443750718</v>
      </c>
      <c r="P440" s="134">
        <f t="shared" si="88"/>
        <v>0</v>
      </c>
      <c r="Q440" s="134">
        <f t="shared" si="88"/>
        <v>-5.6742364126020544</v>
      </c>
      <c r="R440" s="134">
        <f t="shared" si="88"/>
        <v>-11.360588402761277</v>
      </c>
      <c r="S440" s="134">
        <f t="shared" si="88"/>
        <v>-17.059082942118714</v>
      </c>
      <c r="T440" s="134">
        <f t="shared" si="88"/>
        <v>-22.76974706477565</v>
      </c>
      <c r="U440" s="134">
        <f t="shared" si="88"/>
        <v>-28.492607867443628</v>
      </c>
      <c r="V440" s="134">
        <f t="shared" si="88"/>
        <v>-34.227692509594689</v>
      </c>
      <c r="W440" s="134">
        <f t="shared" si="88"/>
        <v>-39.975028213612049</v>
      </c>
      <c r="X440" s="134">
        <f t="shared" si="88"/>
        <v>-45.734642264941321</v>
      </c>
      <c r="Y440" s="134">
        <f t="shared" si="88"/>
        <v>-51.506562012241758</v>
      </c>
      <c r="Z440" s="134">
        <f t="shared" si="88"/>
        <v>-57.290814867538089</v>
      </c>
      <c r="AA440" s="134">
        <f t="shared" si="88"/>
        <v>-63.08742830637263</v>
      </c>
      <c r="AB440" s="134">
        <f t="shared" si="88"/>
        <v>-68.896429867957949</v>
      </c>
      <c r="AC440" s="134">
        <f t="shared" si="88"/>
        <v>-74.717847155329963</v>
      </c>
      <c r="AD440" s="134">
        <f t="shared" si="88"/>
        <v>-80.551707835500835</v>
      </c>
      <c r="AE440" s="134">
        <f t="shared" si="88"/>
        <v>-86.398039639612804</v>
      </c>
      <c r="AF440" s="134">
        <f t="shared" si="88"/>
        <v>-92.256870363092517</v>
      </c>
      <c r="AG440" s="134">
        <f t="shared" si="88"/>
        <v>-98.128227865805258</v>
      </c>
      <c r="AH440" s="134">
        <f t="shared" si="88"/>
        <v>-104.01214007220987</v>
      </c>
      <c r="AI440" s="134">
        <f t="shared" si="88"/>
        <v>-109.90863497151372</v>
      </c>
      <c r="AJ440" s="134">
        <f t="shared" si="88"/>
        <v>-115.81142822267223</v>
      </c>
      <c r="AK440" s="134">
        <f t="shared" si="88"/>
        <v>-121.71422147383075</v>
      </c>
      <c r="AL440" s="134">
        <f t="shared" si="88"/>
        <v>-127.61701472498926</v>
      </c>
      <c r="AM440" s="134">
        <f t="shared" si="88"/>
        <v>-133.51980797614777</v>
      </c>
      <c r="AN440" s="134">
        <f t="shared" si="88"/>
        <v>-139.4226012273063</v>
      </c>
      <c r="AO440" s="134">
        <f t="shared" si="88"/>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2" t="s">
        <v>108</v>
      </c>
      <c r="C441" s="135"/>
      <c r="D441" s="134">
        <f t="shared" si="88"/>
        <v>42.264797833795079</v>
      </c>
      <c r="E441" s="134">
        <f t="shared" si="88"/>
        <v>42.264797833795079</v>
      </c>
      <c r="F441" s="134">
        <f t="shared" si="88"/>
        <v>42.264797833795079</v>
      </c>
      <c r="G441" s="134">
        <f t="shared" si="88"/>
        <v>42.264797833795079</v>
      </c>
      <c r="H441" s="134">
        <f t="shared" si="88"/>
        <v>42.264797833795079</v>
      </c>
      <c r="I441" s="134">
        <f t="shared" si="88"/>
        <v>42.264797833795079</v>
      </c>
      <c r="J441" s="134">
        <f t="shared" si="88"/>
        <v>39.466730339023755</v>
      </c>
      <c r="K441" s="134">
        <f t="shared" si="88"/>
        <v>33.864624466282187</v>
      </c>
      <c r="L441" s="134">
        <f t="shared" si="88"/>
        <v>28.250563542512872</v>
      </c>
      <c r="M441" s="134">
        <f t="shared" si="88"/>
        <v>22.624520967708683</v>
      </c>
      <c r="N441" s="134">
        <f t="shared" si="88"/>
        <v>16.986470080293984</v>
      </c>
      <c r="O441" s="134">
        <f t="shared" si="88"/>
        <v>11.336384156977125</v>
      </c>
      <c r="P441" s="134">
        <f t="shared" si="88"/>
        <v>5.6742364126020544</v>
      </c>
      <c r="Q441" s="134">
        <f t="shared" si="88"/>
        <v>0</v>
      </c>
      <c r="R441" s="134">
        <f t="shared" si="88"/>
        <v>-5.6863519901592223</v>
      </c>
      <c r="S441" s="134">
        <f t="shared" si="88"/>
        <v>-11.384846529516658</v>
      </c>
      <c r="T441" s="134">
        <f t="shared" si="88"/>
        <v>-17.095510652173594</v>
      </c>
      <c r="U441" s="134">
        <f t="shared" si="88"/>
        <v>-22.818371454841571</v>
      </c>
      <c r="V441" s="134">
        <f t="shared" si="88"/>
        <v>-28.553456096992633</v>
      </c>
      <c r="W441" s="134">
        <f t="shared" si="88"/>
        <v>-34.300791801009993</v>
      </c>
      <c r="X441" s="134">
        <f t="shared" si="88"/>
        <v>-40.060405852339265</v>
      </c>
      <c r="Y441" s="134">
        <f t="shared" si="88"/>
        <v>-45.832325599639702</v>
      </c>
      <c r="Z441" s="134">
        <f t="shared" si="88"/>
        <v>-51.616578454936032</v>
      </c>
      <c r="AA441" s="134">
        <f t="shared" si="88"/>
        <v>-57.413191893770573</v>
      </c>
      <c r="AB441" s="134">
        <f t="shared" si="88"/>
        <v>-63.222193455355885</v>
      </c>
      <c r="AC441" s="134">
        <f t="shared" si="88"/>
        <v>-69.043610742727907</v>
      </c>
      <c r="AD441" s="134">
        <f t="shared" si="88"/>
        <v>-74.877471422898779</v>
      </c>
      <c r="AE441" s="134">
        <f t="shared" si="88"/>
        <v>-80.723803227010748</v>
      </c>
      <c r="AF441" s="134">
        <f t="shared" si="88"/>
        <v>-86.582633950490461</v>
      </c>
      <c r="AG441" s="134">
        <f t="shared" si="88"/>
        <v>-92.453991453203201</v>
      </c>
      <c r="AH441" s="134">
        <f t="shared" si="88"/>
        <v>-98.337903659607818</v>
      </c>
      <c r="AI441" s="134">
        <f t="shared" si="88"/>
        <v>-104.23439855891166</v>
      </c>
      <c r="AJ441" s="134">
        <f t="shared" si="88"/>
        <v>-110.13719181007018</v>
      </c>
      <c r="AK441" s="134">
        <f t="shared" si="88"/>
        <v>-116.03998506122869</v>
      </c>
      <c r="AL441" s="134">
        <f t="shared" si="88"/>
        <v>-121.9427783123872</v>
      </c>
      <c r="AM441" s="134">
        <f t="shared" si="88"/>
        <v>-127.84557156354572</v>
      </c>
      <c r="AN441" s="134">
        <f t="shared" si="88"/>
        <v>-133.74836481470425</v>
      </c>
      <c r="AO441" s="134">
        <f t="shared" si="88"/>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2" t="s">
        <v>109</v>
      </c>
      <c r="C442" s="135"/>
      <c r="D442" s="134">
        <f t="shared" si="88"/>
        <v>47.951149823954303</v>
      </c>
      <c r="E442" s="134">
        <f t="shared" si="88"/>
        <v>47.951149823954303</v>
      </c>
      <c r="F442" s="134">
        <f t="shared" si="88"/>
        <v>47.951149823954303</v>
      </c>
      <c r="G442" s="134">
        <f t="shared" si="88"/>
        <v>47.951149823954303</v>
      </c>
      <c r="H442" s="134">
        <f t="shared" si="88"/>
        <v>47.951149823954303</v>
      </c>
      <c r="I442" s="134">
        <f t="shared" si="88"/>
        <v>47.951149823954303</v>
      </c>
      <c r="J442" s="134">
        <f t="shared" si="88"/>
        <v>45.153082329182979</v>
      </c>
      <c r="K442" s="134">
        <f t="shared" si="88"/>
        <v>39.550976456441411</v>
      </c>
      <c r="L442" s="134">
        <f t="shared" si="88"/>
        <v>33.936915532672096</v>
      </c>
      <c r="M442" s="134">
        <f t="shared" si="88"/>
        <v>28.310872957867907</v>
      </c>
      <c r="N442" s="134">
        <f t="shared" si="88"/>
        <v>22.672822070453208</v>
      </c>
      <c r="O442" s="134">
        <f t="shared" si="88"/>
        <v>17.022736147136349</v>
      </c>
      <c r="P442" s="134">
        <f t="shared" si="88"/>
        <v>11.360588402761277</v>
      </c>
      <c r="Q442" s="134">
        <f t="shared" si="88"/>
        <v>5.6863519901592223</v>
      </c>
      <c r="R442" s="134">
        <f t="shared" si="88"/>
        <v>0</v>
      </c>
      <c r="S442" s="134">
        <f t="shared" si="88"/>
        <v>-5.6984945393574353</v>
      </c>
      <c r="T442" s="134">
        <f t="shared" si="88"/>
        <v>-11.409158662014372</v>
      </c>
      <c r="U442" s="134">
        <f t="shared" si="88"/>
        <v>-17.132019464682351</v>
      </c>
      <c r="V442" s="134">
        <f t="shared" si="88"/>
        <v>-22.867104106833413</v>
      </c>
      <c r="W442" s="134">
        <f t="shared" si="88"/>
        <v>-28.614439810850776</v>
      </c>
      <c r="X442" s="134">
        <f t="shared" si="88"/>
        <v>-34.374053862180048</v>
      </c>
      <c r="Y442" s="134">
        <f t="shared" si="88"/>
        <v>-40.145973609480478</v>
      </c>
      <c r="Z442" s="134">
        <f t="shared" si="88"/>
        <v>-45.930226464776808</v>
      </c>
      <c r="AA442" s="134">
        <f t="shared" si="88"/>
        <v>-51.726839903611349</v>
      </c>
      <c r="AB442" s="134">
        <f t="shared" si="88"/>
        <v>-57.535841465196661</v>
      </c>
      <c r="AC442" s="134">
        <f t="shared" si="88"/>
        <v>-63.357258752568683</v>
      </c>
      <c r="AD442" s="134">
        <f t="shared" si="88"/>
        <v>-69.191119432739555</v>
      </c>
      <c r="AE442" s="134">
        <f t="shared" ref="AE442:AO442" si="89">IF(AE$426=$B442,0,IF(AE$426&gt;$B442,-0.5*AE$424-0.5*AD$424+AD442,0.5*HLOOKUP($B442,$D$423:$AO$424,2,FALSE)+0.5*HLOOKUP($B441,$D$423:$AO$424,2,FALSE)+AE441))</f>
        <v>-75.037451236851524</v>
      </c>
      <c r="AF442" s="134">
        <f t="shared" si="89"/>
        <v>-80.896281960331237</v>
      </c>
      <c r="AG442" s="134">
        <f t="shared" si="89"/>
        <v>-86.767639463043977</v>
      </c>
      <c r="AH442" s="134">
        <f t="shared" si="89"/>
        <v>-92.651551669448594</v>
      </c>
      <c r="AI442" s="134">
        <f t="shared" si="89"/>
        <v>-98.54804656875244</v>
      </c>
      <c r="AJ442" s="134">
        <f t="shared" si="89"/>
        <v>-104.45083981991095</v>
      </c>
      <c r="AK442" s="134">
        <f t="shared" si="89"/>
        <v>-110.35363307106947</v>
      </c>
      <c r="AL442" s="134">
        <f t="shared" si="89"/>
        <v>-116.25642632222798</v>
      </c>
      <c r="AM442" s="134">
        <f t="shared" si="89"/>
        <v>-122.15921957338649</v>
      </c>
      <c r="AN442" s="134">
        <f t="shared" si="89"/>
        <v>-128.06201282454501</v>
      </c>
      <c r="AO442" s="134">
        <f t="shared" si="89"/>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2" t="s">
        <v>110</v>
      </c>
      <c r="C443" s="135"/>
      <c r="D443" s="134">
        <f t="shared" ref="D443:AO449" si="90">IF(D$426=$B443,0,IF(D$426&gt;$B443,-0.5*D$424-0.5*C$424+C443,0.5*HLOOKUP($B443,$D$423:$AO$424,2,FALSE)+0.5*HLOOKUP($B442,$D$423:$AO$424,2,FALSE)+D442))</f>
        <v>53.649644363311737</v>
      </c>
      <c r="E443" s="134">
        <f t="shared" si="90"/>
        <v>53.649644363311737</v>
      </c>
      <c r="F443" s="134">
        <f t="shared" si="90"/>
        <v>53.649644363311737</v>
      </c>
      <c r="G443" s="134">
        <f t="shared" si="90"/>
        <v>53.649644363311737</v>
      </c>
      <c r="H443" s="134">
        <f t="shared" si="90"/>
        <v>53.649644363311737</v>
      </c>
      <c r="I443" s="134">
        <f t="shared" si="90"/>
        <v>53.649644363311737</v>
      </c>
      <c r="J443" s="134">
        <f t="shared" si="90"/>
        <v>50.851576868540413</v>
      </c>
      <c r="K443" s="134">
        <f t="shared" si="90"/>
        <v>45.249470995798845</v>
      </c>
      <c r="L443" s="134">
        <f t="shared" si="90"/>
        <v>39.635410072029529</v>
      </c>
      <c r="M443" s="134">
        <f t="shared" si="90"/>
        <v>34.009367497225341</v>
      </c>
      <c r="N443" s="134">
        <f t="shared" si="90"/>
        <v>28.371316609810641</v>
      </c>
      <c r="O443" s="134">
        <f t="shared" si="90"/>
        <v>22.721230686493783</v>
      </c>
      <c r="P443" s="134">
        <f t="shared" si="90"/>
        <v>17.059082942118714</v>
      </c>
      <c r="Q443" s="134">
        <f t="shared" si="90"/>
        <v>11.384846529516658</v>
      </c>
      <c r="R443" s="134">
        <f t="shared" si="90"/>
        <v>5.6984945393574353</v>
      </c>
      <c r="S443" s="134">
        <f t="shared" si="90"/>
        <v>0</v>
      </c>
      <c r="T443" s="134">
        <f t="shared" si="90"/>
        <v>-5.7106641226569366</v>
      </c>
      <c r="U443" s="134">
        <f t="shared" si="90"/>
        <v>-11.433524925324914</v>
      </c>
      <c r="V443" s="134">
        <f t="shared" si="90"/>
        <v>-17.168609567475976</v>
      </c>
      <c r="W443" s="134">
        <f t="shared" si="90"/>
        <v>-22.915945271493339</v>
      </c>
      <c r="X443" s="134">
        <f t="shared" si="90"/>
        <v>-28.675559322822615</v>
      </c>
      <c r="Y443" s="134">
        <f t="shared" si="90"/>
        <v>-34.447479070123052</v>
      </c>
      <c r="Z443" s="134">
        <f t="shared" si="90"/>
        <v>-40.231731925419382</v>
      </c>
      <c r="AA443" s="134">
        <f t="shared" si="90"/>
        <v>-46.028345364253923</v>
      </c>
      <c r="AB443" s="134">
        <f t="shared" si="90"/>
        <v>-51.837346925839235</v>
      </c>
      <c r="AC443" s="134">
        <f t="shared" si="90"/>
        <v>-57.658764213211256</v>
      </c>
      <c r="AD443" s="134">
        <f t="shared" si="90"/>
        <v>-63.492624893382136</v>
      </c>
      <c r="AE443" s="134">
        <f t="shared" si="90"/>
        <v>-69.338956697494098</v>
      </c>
      <c r="AF443" s="134">
        <f t="shared" si="90"/>
        <v>-75.19778742097381</v>
      </c>
      <c r="AG443" s="134">
        <f t="shared" si="90"/>
        <v>-81.069144923686551</v>
      </c>
      <c r="AH443" s="134">
        <f t="shared" si="90"/>
        <v>-86.953057130091167</v>
      </c>
      <c r="AI443" s="134">
        <f t="shared" si="90"/>
        <v>-92.849552029395014</v>
      </c>
      <c r="AJ443" s="134">
        <f t="shared" si="90"/>
        <v>-98.752345280553527</v>
      </c>
      <c r="AK443" s="134">
        <f t="shared" si="90"/>
        <v>-104.65513853171204</v>
      </c>
      <c r="AL443" s="134">
        <f t="shared" si="90"/>
        <v>-110.55793178287055</v>
      </c>
      <c r="AM443" s="134">
        <f t="shared" si="90"/>
        <v>-116.46072503402907</v>
      </c>
      <c r="AN443" s="134">
        <f t="shared" si="90"/>
        <v>-122.36351828518758</v>
      </c>
      <c r="AO443" s="134">
        <f t="shared" si="90"/>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2" t="s">
        <v>111</v>
      </c>
      <c r="C444" s="135"/>
      <c r="D444" s="134">
        <f t="shared" si="90"/>
        <v>59.360308485968673</v>
      </c>
      <c r="E444" s="134">
        <f t="shared" si="90"/>
        <v>59.360308485968673</v>
      </c>
      <c r="F444" s="134">
        <f t="shared" si="90"/>
        <v>59.360308485968673</v>
      </c>
      <c r="G444" s="134">
        <f t="shared" si="90"/>
        <v>59.360308485968673</v>
      </c>
      <c r="H444" s="134">
        <f t="shared" si="90"/>
        <v>59.360308485968673</v>
      </c>
      <c r="I444" s="134">
        <f t="shared" si="90"/>
        <v>59.360308485968673</v>
      </c>
      <c r="J444" s="134">
        <f t="shared" si="90"/>
        <v>56.562240991197349</v>
      </c>
      <c r="K444" s="134">
        <f t="shared" si="90"/>
        <v>50.960135118455781</v>
      </c>
      <c r="L444" s="134">
        <f t="shared" si="90"/>
        <v>45.346074194686466</v>
      </c>
      <c r="M444" s="134">
        <f t="shared" si="90"/>
        <v>39.720031619882278</v>
      </c>
      <c r="N444" s="134">
        <f t="shared" si="90"/>
        <v>34.081980732467578</v>
      </c>
      <c r="O444" s="134">
        <f t="shared" si="90"/>
        <v>28.43189480915072</v>
      </c>
      <c r="P444" s="134">
        <f t="shared" si="90"/>
        <v>22.76974706477565</v>
      </c>
      <c r="Q444" s="134">
        <f t="shared" si="90"/>
        <v>17.095510652173594</v>
      </c>
      <c r="R444" s="134">
        <f t="shared" si="90"/>
        <v>11.409158662014372</v>
      </c>
      <c r="S444" s="134">
        <f t="shared" si="90"/>
        <v>5.7106641226569366</v>
      </c>
      <c r="T444" s="134">
        <f t="shared" si="90"/>
        <v>0</v>
      </c>
      <c r="U444" s="134">
        <f t="shared" si="90"/>
        <v>-5.7228608026679773</v>
      </c>
      <c r="V444" s="134">
        <f t="shared" si="90"/>
        <v>-11.457945444819039</v>
      </c>
      <c r="W444" s="134">
        <f t="shared" si="90"/>
        <v>-17.205281148836402</v>
      </c>
      <c r="X444" s="134">
        <f t="shared" si="90"/>
        <v>-22.964895200165678</v>
      </c>
      <c r="Y444" s="134">
        <f t="shared" si="90"/>
        <v>-28.736814947466112</v>
      </c>
      <c r="Z444" s="134">
        <f t="shared" si="90"/>
        <v>-34.521067802762438</v>
      </c>
      <c r="AA444" s="134">
        <f t="shared" si="90"/>
        <v>-40.317681241596979</v>
      </c>
      <c r="AB444" s="134">
        <f t="shared" si="90"/>
        <v>-46.126682803182291</v>
      </c>
      <c r="AC444" s="134">
        <f t="shared" si="90"/>
        <v>-51.948100090554306</v>
      </c>
      <c r="AD444" s="134">
        <f t="shared" si="90"/>
        <v>-57.781960770725185</v>
      </c>
      <c r="AE444" s="134">
        <f t="shared" si="90"/>
        <v>-63.628292574837147</v>
      </c>
      <c r="AF444" s="134">
        <f t="shared" si="90"/>
        <v>-69.48712329831686</v>
      </c>
      <c r="AG444" s="134">
        <f t="shared" si="90"/>
        <v>-75.3584808010296</v>
      </c>
      <c r="AH444" s="134">
        <f t="shared" si="90"/>
        <v>-81.242393007434217</v>
      </c>
      <c r="AI444" s="134">
        <f t="shared" si="90"/>
        <v>-87.138887906738063</v>
      </c>
      <c r="AJ444" s="134">
        <f t="shared" si="90"/>
        <v>-93.041681157896576</v>
      </c>
      <c r="AK444" s="134">
        <f t="shared" si="90"/>
        <v>-98.94447440905509</v>
      </c>
      <c r="AL444" s="134">
        <f t="shared" si="90"/>
        <v>-104.8472676602136</v>
      </c>
      <c r="AM444" s="134">
        <f t="shared" si="90"/>
        <v>-110.75006091137212</v>
      </c>
      <c r="AN444" s="134">
        <f t="shared" si="90"/>
        <v>-116.65285416253063</v>
      </c>
      <c r="AO444" s="134">
        <f t="shared" si="90"/>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2" t="s">
        <v>112</v>
      </c>
      <c r="C445" s="135"/>
      <c r="D445" s="134">
        <f t="shared" si="90"/>
        <v>65.083169288636654</v>
      </c>
      <c r="E445" s="134">
        <f t="shared" si="90"/>
        <v>65.083169288636654</v>
      </c>
      <c r="F445" s="134">
        <f t="shared" si="90"/>
        <v>65.083169288636654</v>
      </c>
      <c r="G445" s="134">
        <f t="shared" si="90"/>
        <v>65.083169288636654</v>
      </c>
      <c r="H445" s="134">
        <f t="shared" si="90"/>
        <v>65.083169288636654</v>
      </c>
      <c r="I445" s="134">
        <f t="shared" si="90"/>
        <v>65.083169288636654</v>
      </c>
      <c r="J445" s="134">
        <f t="shared" si="90"/>
        <v>62.285101793865323</v>
      </c>
      <c r="K445" s="134">
        <f t="shared" si="90"/>
        <v>56.682995921123762</v>
      </c>
      <c r="L445" s="134">
        <f t="shared" si="90"/>
        <v>51.068934997354447</v>
      </c>
      <c r="M445" s="134">
        <f t="shared" si="90"/>
        <v>45.442892422550258</v>
      </c>
      <c r="N445" s="134">
        <f t="shared" si="90"/>
        <v>39.804841535135552</v>
      </c>
      <c r="O445" s="134">
        <f t="shared" si="90"/>
        <v>34.1547556118187</v>
      </c>
      <c r="P445" s="134">
        <f t="shared" si="90"/>
        <v>28.492607867443628</v>
      </c>
      <c r="Q445" s="134">
        <f t="shared" si="90"/>
        <v>22.818371454841571</v>
      </c>
      <c r="R445" s="134">
        <f t="shared" si="90"/>
        <v>17.132019464682351</v>
      </c>
      <c r="S445" s="134">
        <f t="shared" si="90"/>
        <v>11.433524925324914</v>
      </c>
      <c r="T445" s="134">
        <f t="shared" si="90"/>
        <v>5.7228608026679773</v>
      </c>
      <c r="U445" s="134">
        <f t="shared" si="90"/>
        <v>0</v>
      </c>
      <c r="V445" s="134">
        <f t="shared" si="90"/>
        <v>-5.7350846421510617</v>
      </c>
      <c r="W445" s="134">
        <f t="shared" si="90"/>
        <v>-11.482420346168425</v>
      </c>
      <c r="X445" s="134">
        <f t="shared" si="90"/>
        <v>-17.242034397497697</v>
      </c>
      <c r="Y445" s="134">
        <f t="shared" si="90"/>
        <v>-23.013954144798131</v>
      </c>
      <c r="Z445" s="134">
        <f t="shared" si="90"/>
        <v>-28.798207000094457</v>
      </c>
      <c r="AA445" s="134">
        <f t="shared" si="90"/>
        <v>-34.594820438928998</v>
      </c>
      <c r="AB445" s="134">
        <f t="shared" si="90"/>
        <v>-40.40382200051431</v>
      </c>
      <c r="AC445" s="134">
        <f t="shared" si="90"/>
        <v>-46.225239287886325</v>
      </c>
      <c r="AD445" s="134">
        <f t="shared" si="90"/>
        <v>-52.059099968057204</v>
      </c>
      <c r="AE445" s="134">
        <f t="shared" si="90"/>
        <v>-57.905431772169166</v>
      </c>
      <c r="AF445" s="134">
        <f t="shared" si="90"/>
        <v>-63.764262495648879</v>
      </c>
      <c r="AG445" s="134">
        <f t="shared" si="90"/>
        <v>-69.635619998361619</v>
      </c>
      <c r="AH445" s="134">
        <f t="shared" si="90"/>
        <v>-75.519532204766236</v>
      </c>
      <c r="AI445" s="134">
        <f t="shared" si="90"/>
        <v>-81.416027104070082</v>
      </c>
      <c r="AJ445" s="134">
        <f t="shared" si="90"/>
        <v>-87.318820355228596</v>
      </c>
      <c r="AK445" s="134">
        <f t="shared" si="90"/>
        <v>-93.221613606387109</v>
      </c>
      <c r="AL445" s="134">
        <f t="shared" si="90"/>
        <v>-99.124406857545623</v>
      </c>
      <c r="AM445" s="134">
        <f t="shared" si="90"/>
        <v>-105.02720010870414</v>
      </c>
      <c r="AN445" s="134">
        <f t="shared" si="90"/>
        <v>-110.92999335986265</v>
      </c>
      <c r="AO445" s="134">
        <f t="shared" si="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2" t="s">
        <v>113</v>
      </c>
      <c r="C446" s="135"/>
      <c r="D446" s="134">
        <f t="shared" si="90"/>
        <v>70.818253930787719</v>
      </c>
      <c r="E446" s="134">
        <f t="shared" si="90"/>
        <v>70.818253930787719</v>
      </c>
      <c r="F446" s="134">
        <f t="shared" si="90"/>
        <v>70.818253930787719</v>
      </c>
      <c r="G446" s="134">
        <f t="shared" si="90"/>
        <v>70.818253930787719</v>
      </c>
      <c r="H446" s="134">
        <f t="shared" si="90"/>
        <v>70.818253930787719</v>
      </c>
      <c r="I446" s="134">
        <f t="shared" si="90"/>
        <v>70.818253930787719</v>
      </c>
      <c r="J446" s="134">
        <f t="shared" si="90"/>
        <v>68.020186436016388</v>
      </c>
      <c r="K446" s="134">
        <f t="shared" si="90"/>
        <v>62.418080563274827</v>
      </c>
      <c r="L446" s="134">
        <f t="shared" si="90"/>
        <v>56.804019639505512</v>
      </c>
      <c r="M446" s="134">
        <f t="shared" si="90"/>
        <v>51.177977064701324</v>
      </c>
      <c r="N446" s="134">
        <f t="shared" si="90"/>
        <v>45.539926177286617</v>
      </c>
      <c r="O446" s="134">
        <f t="shared" si="90"/>
        <v>39.889840253969766</v>
      </c>
      <c r="P446" s="134">
        <f t="shared" si="90"/>
        <v>34.227692509594689</v>
      </c>
      <c r="Q446" s="134">
        <f t="shared" si="90"/>
        <v>28.553456096992633</v>
      </c>
      <c r="R446" s="134">
        <f t="shared" si="90"/>
        <v>22.867104106833413</v>
      </c>
      <c r="S446" s="134">
        <f t="shared" si="90"/>
        <v>17.168609567475976</v>
      </c>
      <c r="T446" s="134">
        <f t="shared" si="90"/>
        <v>11.457945444819039</v>
      </c>
      <c r="U446" s="134">
        <f t="shared" si="90"/>
        <v>5.7350846421510617</v>
      </c>
      <c r="V446" s="134">
        <f t="shared" si="90"/>
        <v>0</v>
      </c>
      <c r="W446" s="134">
        <f t="shared" si="90"/>
        <v>-5.7473357040173632</v>
      </c>
      <c r="X446" s="134">
        <f t="shared" si="90"/>
        <v>-11.506949755346637</v>
      </c>
      <c r="Y446" s="134">
        <f t="shared" si="90"/>
        <v>-17.278869502647069</v>
      </c>
      <c r="Z446" s="134">
        <f t="shared" si="90"/>
        <v>-23.063122357943396</v>
      </c>
      <c r="AA446" s="134">
        <f t="shared" si="90"/>
        <v>-28.85973579677794</v>
      </c>
      <c r="AB446" s="134">
        <f t="shared" si="90"/>
        <v>-34.668737358363252</v>
      </c>
      <c r="AC446" s="134">
        <f t="shared" si="90"/>
        <v>-40.490154645735274</v>
      </c>
      <c r="AD446" s="134">
        <f t="shared" si="90"/>
        <v>-46.324015325906153</v>
      </c>
      <c r="AE446" s="134">
        <f t="shared" si="90"/>
        <v>-52.170347130018115</v>
      </c>
      <c r="AF446" s="134">
        <f t="shared" si="90"/>
        <v>-58.029177853497828</v>
      </c>
      <c r="AG446" s="134">
        <f t="shared" si="90"/>
        <v>-63.900535356210575</v>
      </c>
      <c r="AH446" s="134">
        <f t="shared" si="90"/>
        <v>-69.784447562615199</v>
      </c>
      <c r="AI446" s="134">
        <f t="shared" si="90"/>
        <v>-75.680942461919045</v>
      </c>
      <c r="AJ446" s="134">
        <f t="shared" si="90"/>
        <v>-81.583735713077559</v>
      </c>
      <c r="AK446" s="134">
        <f t="shared" si="90"/>
        <v>-87.486528964236072</v>
      </c>
      <c r="AL446" s="134">
        <f t="shared" si="90"/>
        <v>-93.389322215394586</v>
      </c>
      <c r="AM446" s="134">
        <f t="shared" si="90"/>
        <v>-99.292115466553099</v>
      </c>
      <c r="AN446" s="134">
        <f t="shared" si="90"/>
        <v>-105.19490871771161</v>
      </c>
      <c r="AO446" s="134">
        <f t="shared" si="90"/>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2" t="s">
        <v>114</v>
      </c>
      <c r="C447" s="135"/>
      <c r="D447" s="134">
        <f t="shared" si="90"/>
        <v>76.565589634805079</v>
      </c>
      <c r="E447" s="134">
        <f t="shared" si="90"/>
        <v>76.565589634805079</v>
      </c>
      <c r="F447" s="134">
        <f t="shared" si="90"/>
        <v>76.565589634805079</v>
      </c>
      <c r="G447" s="134">
        <f t="shared" si="90"/>
        <v>76.565589634805079</v>
      </c>
      <c r="H447" s="134">
        <f t="shared" si="90"/>
        <v>76.565589634805079</v>
      </c>
      <c r="I447" s="134">
        <f t="shared" si="90"/>
        <v>76.565589634805079</v>
      </c>
      <c r="J447" s="134">
        <f t="shared" si="90"/>
        <v>73.767522140033748</v>
      </c>
      <c r="K447" s="134">
        <f t="shared" si="90"/>
        <v>68.165416267292187</v>
      </c>
      <c r="L447" s="134">
        <f t="shared" si="90"/>
        <v>62.551355343522872</v>
      </c>
      <c r="M447" s="134">
        <f t="shared" si="90"/>
        <v>56.925312768718683</v>
      </c>
      <c r="N447" s="134">
        <f t="shared" si="90"/>
        <v>51.287261881303976</v>
      </c>
      <c r="O447" s="134">
        <f t="shared" si="90"/>
        <v>45.637175957987125</v>
      </c>
      <c r="P447" s="134">
        <f t="shared" si="90"/>
        <v>39.975028213612049</v>
      </c>
      <c r="Q447" s="134">
        <f t="shared" si="90"/>
        <v>34.300791801009993</v>
      </c>
      <c r="R447" s="134">
        <f t="shared" si="90"/>
        <v>28.614439810850776</v>
      </c>
      <c r="S447" s="134">
        <f t="shared" si="90"/>
        <v>22.915945271493339</v>
      </c>
      <c r="T447" s="134">
        <f t="shared" si="90"/>
        <v>17.205281148836402</v>
      </c>
      <c r="U447" s="134">
        <f t="shared" si="90"/>
        <v>11.482420346168425</v>
      </c>
      <c r="V447" s="134">
        <f t="shared" si="90"/>
        <v>5.7473357040173632</v>
      </c>
      <c r="W447" s="134">
        <f t="shared" si="90"/>
        <v>0</v>
      </c>
      <c r="X447" s="134">
        <f t="shared" si="90"/>
        <v>-5.7596140513292742</v>
      </c>
      <c r="Y447" s="134">
        <f t="shared" si="90"/>
        <v>-11.531533798629708</v>
      </c>
      <c r="Z447" s="134">
        <f t="shared" si="90"/>
        <v>-17.315786653926033</v>
      </c>
      <c r="AA447" s="134">
        <f t="shared" si="90"/>
        <v>-23.112400092760574</v>
      </c>
      <c r="AB447" s="134">
        <f t="shared" si="90"/>
        <v>-28.921401654345885</v>
      </c>
      <c r="AC447" s="134">
        <f t="shared" si="90"/>
        <v>-34.7428189417179</v>
      </c>
      <c r="AD447" s="134">
        <f t="shared" si="90"/>
        <v>-40.576679621888779</v>
      </c>
      <c r="AE447" s="134">
        <f t="shared" si="90"/>
        <v>-46.423011426000741</v>
      </c>
      <c r="AF447" s="134">
        <f t="shared" si="90"/>
        <v>-52.281842149480454</v>
      </c>
      <c r="AG447" s="134">
        <f t="shared" si="90"/>
        <v>-58.153199652193202</v>
      </c>
      <c r="AH447" s="134">
        <f t="shared" si="90"/>
        <v>-64.037111858597825</v>
      </c>
      <c r="AI447" s="134">
        <f t="shared" si="90"/>
        <v>-69.933606757901671</v>
      </c>
      <c r="AJ447" s="134">
        <f t="shared" si="90"/>
        <v>-75.836400009060185</v>
      </c>
      <c r="AK447" s="134">
        <f t="shared" si="90"/>
        <v>-81.739193260218698</v>
      </c>
      <c r="AL447" s="134">
        <f t="shared" si="90"/>
        <v>-87.641986511377212</v>
      </c>
      <c r="AM447" s="134">
        <f t="shared" si="90"/>
        <v>-93.544779762535725</v>
      </c>
      <c r="AN447" s="134">
        <f t="shared" si="90"/>
        <v>-99.447573013694239</v>
      </c>
      <c r="AO447" s="134">
        <f t="shared" si="90"/>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2" t="s">
        <v>115</v>
      </c>
      <c r="C448" s="135"/>
      <c r="D448" s="134">
        <f t="shared" si="90"/>
        <v>82.325203686134358</v>
      </c>
      <c r="E448" s="134">
        <f t="shared" si="90"/>
        <v>82.325203686134358</v>
      </c>
      <c r="F448" s="134">
        <f t="shared" si="90"/>
        <v>82.325203686134358</v>
      </c>
      <c r="G448" s="134">
        <f t="shared" si="90"/>
        <v>82.325203686134358</v>
      </c>
      <c r="H448" s="134">
        <f t="shared" si="90"/>
        <v>82.325203686134358</v>
      </c>
      <c r="I448" s="134">
        <f t="shared" si="90"/>
        <v>82.325203686134358</v>
      </c>
      <c r="J448" s="134">
        <f t="shared" si="90"/>
        <v>79.527136191363027</v>
      </c>
      <c r="K448" s="134">
        <f t="shared" si="90"/>
        <v>73.925030318621467</v>
      </c>
      <c r="L448" s="134">
        <f t="shared" si="90"/>
        <v>68.310969394852151</v>
      </c>
      <c r="M448" s="134">
        <f t="shared" si="90"/>
        <v>62.684926820047956</v>
      </c>
      <c r="N448" s="134">
        <f t="shared" si="90"/>
        <v>57.046875932633249</v>
      </c>
      <c r="O448" s="134">
        <f t="shared" si="90"/>
        <v>51.396790009316398</v>
      </c>
      <c r="P448" s="134">
        <f t="shared" si="90"/>
        <v>45.734642264941321</v>
      </c>
      <c r="Q448" s="134">
        <f t="shared" si="90"/>
        <v>40.060405852339265</v>
      </c>
      <c r="R448" s="134">
        <f t="shared" si="90"/>
        <v>34.374053862180048</v>
      </c>
      <c r="S448" s="134">
        <f t="shared" si="90"/>
        <v>28.675559322822615</v>
      </c>
      <c r="T448" s="134">
        <f t="shared" si="90"/>
        <v>22.964895200165678</v>
      </c>
      <c r="U448" s="134">
        <f t="shared" si="90"/>
        <v>17.242034397497697</v>
      </c>
      <c r="V448" s="134">
        <f t="shared" si="90"/>
        <v>11.506949755346637</v>
      </c>
      <c r="W448" s="134">
        <f t="shared" si="90"/>
        <v>5.7596140513292742</v>
      </c>
      <c r="X448" s="134">
        <f t="shared" si="90"/>
        <v>0</v>
      </c>
      <c r="Y448" s="134">
        <f t="shared" si="90"/>
        <v>-5.7719197473004336</v>
      </c>
      <c r="Z448" s="134">
        <f t="shared" si="90"/>
        <v>-11.55617260259676</v>
      </c>
      <c r="AA448" s="134">
        <f t="shared" si="90"/>
        <v>-17.352786041431301</v>
      </c>
      <c r="AB448" s="134">
        <f t="shared" si="90"/>
        <v>-23.161787603016613</v>
      </c>
      <c r="AC448" s="134">
        <f t="shared" si="90"/>
        <v>-28.983204890388631</v>
      </c>
      <c r="AD448" s="134">
        <f t="shared" si="90"/>
        <v>-34.817065570559507</v>
      </c>
      <c r="AE448" s="134">
        <f t="shared" si="90"/>
        <v>-40.663397374671476</v>
      </c>
      <c r="AF448" s="134">
        <f t="shared" si="90"/>
        <v>-46.522228098151189</v>
      </c>
      <c r="AG448" s="134">
        <f t="shared" si="90"/>
        <v>-52.393585600863936</v>
      </c>
      <c r="AH448" s="134">
        <f t="shared" si="90"/>
        <v>-58.27749780726856</v>
      </c>
      <c r="AI448" s="134">
        <f t="shared" si="90"/>
        <v>-64.173992706572406</v>
      </c>
      <c r="AJ448" s="134">
        <f t="shared" si="90"/>
        <v>-70.07678595773092</v>
      </c>
      <c r="AK448" s="134">
        <f t="shared" si="90"/>
        <v>-75.979579208889433</v>
      </c>
      <c r="AL448" s="134">
        <f t="shared" si="90"/>
        <v>-81.882372460047947</v>
      </c>
      <c r="AM448" s="134">
        <f t="shared" si="90"/>
        <v>-87.78516571120646</v>
      </c>
      <c r="AN448" s="134">
        <f t="shared" si="90"/>
        <v>-93.687958962364974</v>
      </c>
      <c r="AO448" s="134">
        <f t="shared" si="90"/>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2" t="s">
        <v>116</v>
      </c>
      <c r="C449" s="135"/>
      <c r="D449" s="134">
        <f t="shared" si="90"/>
        <v>88.097123433434788</v>
      </c>
      <c r="E449" s="134">
        <f t="shared" si="90"/>
        <v>88.097123433434788</v>
      </c>
      <c r="F449" s="134">
        <f t="shared" si="90"/>
        <v>88.097123433434788</v>
      </c>
      <c r="G449" s="134">
        <f t="shared" si="90"/>
        <v>88.097123433434788</v>
      </c>
      <c r="H449" s="134">
        <f t="shared" si="90"/>
        <v>88.097123433434788</v>
      </c>
      <c r="I449" s="134">
        <f t="shared" si="90"/>
        <v>88.097123433434788</v>
      </c>
      <c r="J449" s="134">
        <f t="shared" si="90"/>
        <v>85.299055938663457</v>
      </c>
      <c r="K449" s="134">
        <f t="shared" si="90"/>
        <v>79.696950065921897</v>
      </c>
      <c r="L449" s="134">
        <f t="shared" si="90"/>
        <v>74.082889142152581</v>
      </c>
      <c r="M449" s="134">
        <f t="shared" si="90"/>
        <v>68.456846567348393</v>
      </c>
      <c r="N449" s="134">
        <f t="shared" si="90"/>
        <v>62.818795679933686</v>
      </c>
      <c r="O449" s="134">
        <f t="shared" si="90"/>
        <v>57.168709756616835</v>
      </c>
      <c r="P449" s="134">
        <f t="shared" si="90"/>
        <v>51.506562012241758</v>
      </c>
      <c r="Q449" s="134">
        <f t="shared" si="90"/>
        <v>45.832325599639702</v>
      </c>
      <c r="R449" s="134">
        <f t="shared" si="90"/>
        <v>40.145973609480478</v>
      </c>
      <c r="S449" s="134">
        <f t="shared" si="90"/>
        <v>34.447479070123052</v>
      </c>
      <c r="T449" s="134">
        <f t="shared" si="90"/>
        <v>28.736814947466112</v>
      </c>
      <c r="U449" s="134">
        <f t="shared" si="90"/>
        <v>23.013954144798131</v>
      </c>
      <c r="V449" s="134">
        <f t="shared" si="90"/>
        <v>17.278869502647069</v>
      </c>
      <c r="W449" s="134">
        <f t="shared" si="90"/>
        <v>11.531533798629708</v>
      </c>
      <c r="X449" s="134">
        <f t="shared" si="90"/>
        <v>5.7719197473004336</v>
      </c>
      <c r="Y449" s="134">
        <f t="shared" si="90"/>
        <v>0</v>
      </c>
      <c r="Z449" s="134">
        <f t="shared" si="90"/>
        <v>-5.7842528552963266</v>
      </c>
      <c r="AA449" s="134">
        <f t="shared" si="90"/>
        <v>-11.580866294130869</v>
      </c>
      <c r="AB449" s="134">
        <f t="shared" si="90"/>
        <v>-17.389867855716183</v>
      </c>
      <c r="AC449" s="134">
        <f t="shared" si="90"/>
        <v>-23.211285143088201</v>
      </c>
      <c r="AD449" s="134">
        <f t="shared" si="90"/>
        <v>-29.045145823259077</v>
      </c>
      <c r="AE449" s="134">
        <f t="shared" ref="AE449:AO449" si="91">IF(AE$426=$B449,0,IF(AE$426&gt;$B449,-0.5*AE$424-0.5*AD$424+AD449,0.5*HLOOKUP($B449,$D$423:$AO$424,2,FALSE)+0.5*HLOOKUP($B448,$D$423:$AO$424,2,FALSE)+AE448))</f>
        <v>-34.891477627371046</v>
      </c>
      <c r="AF449" s="134">
        <f t="shared" si="91"/>
        <v>-40.750308350850759</v>
      </c>
      <c r="AG449" s="134">
        <f t="shared" si="91"/>
        <v>-46.621665853563506</v>
      </c>
      <c r="AH449" s="134">
        <f t="shared" si="91"/>
        <v>-52.50557805996813</v>
      </c>
      <c r="AI449" s="134">
        <f t="shared" si="91"/>
        <v>-58.402072959271976</v>
      </c>
      <c r="AJ449" s="134">
        <f t="shared" si="91"/>
        <v>-64.30486621043049</v>
      </c>
      <c r="AK449" s="134">
        <f t="shared" si="91"/>
        <v>-70.207659461589003</v>
      </c>
      <c r="AL449" s="134">
        <f t="shared" si="91"/>
        <v>-76.110452712747517</v>
      </c>
      <c r="AM449" s="134">
        <f t="shared" si="91"/>
        <v>-82.01324596390603</v>
      </c>
      <c r="AN449" s="134">
        <f t="shared" si="91"/>
        <v>-87.916039215064544</v>
      </c>
      <c r="AO449" s="134">
        <f t="shared" si="91"/>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2" t="s">
        <v>117</v>
      </c>
      <c r="C450" s="135"/>
      <c r="D450" s="134">
        <f t="shared" ref="D450:AO456" si="92">IF(D$426=$B450,0,IF(D$426&gt;$B450,-0.5*D$424-0.5*C$424+C450,0.5*HLOOKUP($B450,$D$423:$AO$424,2,FALSE)+0.5*HLOOKUP($B449,$D$423:$AO$424,2,FALSE)+D449))</f>
        <v>93.881376288731119</v>
      </c>
      <c r="E450" s="134">
        <f t="shared" si="92"/>
        <v>93.881376288731119</v>
      </c>
      <c r="F450" s="134">
        <f t="shared" si="92"/>
        <v>93.881376288731119</v>
      </c>
      <c r="G450" s="134">
        <f t="shared" si="92"/>
        <v>93.881376288731119</v>
      </c>
      <c r="H450" s="134">
        <f t="shared" si="92"/>
        <v>93.881376288731119</v>
      </c>
      <c r="I450" s="134">
        <f t="shared" si="92"/>
        <v>93.881376288731119</v>
      </c>
      <c r="J450" s="134">
        <f t="shared" si="92"/>
        <v>91.083308793959787</v>
      </c>
      <c r="K450" s="134">
        <f t="shared" si="92"/>
        <v>85.481202921218227</v>
      </c>
      <c r="L450" s="134">
        <f t="shared" si="92"/>
        <v>79.867141997448911</v>
      </c>
      <c r="M450" s="134">
        <f t="shared" si="92"/>
        <v>74.241099422644723</v>
      </c>
      <c r="N450" s="134">
        <f t="shared" si="92"/>
        <v>68.603048535230016</v>
      </c>
      <c r="O450" s="134">
        <f t="shared" si="92"/>
        <v>62.952962611913165</v>
      </c>
      <c r="P450" s="134">
        <f t="shared" si="92"/>
        <v>57.290814867538089</v>
      </c>
      <c r="Q450" s="134">
        <f t="shared" si="92"/>
        <v>51.616578454936032</v>
      </c>
      <c r="R450" s="134">
        <f t="shared" si="92"/>
        <v>45.930226464776808</v>
      </c>
      <c r="S450" s="134">
        <f t="shared" si="92"/>
        <v>40.231731925419382</v>
      </c>
      <c r="T450" s="134">
        <f t="shared" si="92"/>
        <v>34.521067802762438</v>
      </c>
      <c r="U450" s="134">
        <f t="shared" si="92"/>
        <v>28.798207000094457</v>
      </c>
      <c r="V450" s="134">
        <f t="shared" si="92"/>
        <v>23.063122357943396</v>
      </c>
      <c r="W450" s="134">
        <f t="shared" si="92"/>
        <v>17.315786653926033</v>
      </c>
      <c r="X450" s="134">
        <f t="shared" si="92"/>
        <v>11.55617260259676</v>
      </c>
      <c r="Y450" s="134">
        <f t="shared" si="92"/>
        <v>5.7842528552963266</v>
      </c>
      <c r="Z450" s="134">
        <f t="shared" si="92"/>
        <v>0</v>
      </c>
      <c r="AA450" s="134">
        <f t="shared" si="92"/>
        <v>-5.7966134388345427</v>
      </c>
      <c r="AB450" s="134">
        <f t="shared" si="92"/>
        <v>-11.605615000419856</v>
      </c>
      <c r="AC450" s="134">
        <f t="shared" si="92"/>
        <v>-17.427032287791874</v>
      </c>
      <c r="AD450" s="134">
        <f t="shared" si="92"/>
        <v>-23.260892967962754</v>
      </c>
      <c r="AE450" s="134">
        <f t="shared" si="92"/>
        <v>-29.107224772074719</v>
      </c>
      <c r="AF450" s="134">
        <f t="shared" si="92"/>
        <v>-34.966055495554428</v>
      </c>
      <c r="AG450" s="134">
        <f t="shared" si="92"/>
        <v>-40.837412998267176</v>
      </c>
      <c r="AH450" s="134">
        <f t="shared" si="92"/>
        <v>-46.7213252046718</v>
      </c>
      <c r="AI450" s="134">
        <f t="shared" si="92"/>
        <v>-52.617820103975646</v>
      </c>
      <c r="AJ450" s="134">
        <f t="shared" si="92"/>
        <v>-58.520613355134159</v>
      </c>
      <c r="AK450" s="134">
        <f t="shared" si="92"/>
        <v>-64.423406606292673</v>
      </c>
      <c r="AL450" s="134">
        <f t="shared" si="92"/>
        <v>-70.326199857451186</v>
      </c>
      <c r="AM450" s="134">
        <f t="shared" si="92"/>
        <v>-76.2289931086097</v>
      </c>
      <c r="AN450" s="134">
        <f t="shared" si="92"/>
        <v>-82.131786359768213</v>
      </c>
      <c r="AO450" s="134">
        <f t="shared" si="92"/>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2" t="s">
        <v>118</v>
      </c>
      <c r="C451" s="135"/>
      <c r="D451" s="134">
        <f t="shared" si="92"/>
        <v>99.677989727565659</v>
      </c>
      <c r="E451" s="134">
        <f t="shared" si="92"/>
        <v>99.677989727565659</v>
      </c>
      <c r="F451" s="134">
        <f t="shared" si="92"/>
        <v>99.677989727565659</v>
      </c>
      <c r="G451" s="134">
        <f t="shared" si="92"/>
        <v>99.677989727565659</v>
      </c>
      <c r="H451" s="134">
        <f t="shared" si="92"/>
        <v>99.677989727565659</v>
      </c>
      <c r="I451" s="134">
        <f t="shared" si="92"/>
        <v>99.677989727565659</v>
      </c>
      <c r="J451" s="134">
        <f t="shared" si="92"/>
        <v>96.879922232794328</v>
      </c>
      <c r="K451" s="134">
        <f t="shared" si="92"/>
        <v>91.277816360052768</v>
      </c>
      <c r="L451" s="134">
        <f t="shared" si="92"/>
        <v>85.663755436283452</v>
      </c>
      <c r="M451" s="134">
        <f t="shared" si="92"/>
        <v>80.037712861479264</v>
      </c>
      <c r="N451" s="134">
        <f t="shared" si="92"/>
        <v>74.399661974064557</v>
      </c>
      <c r="O451" s="134">
        <f t="shared" si="92"/>
        <v>68.749576050747706</v>
      </c>
      <c r="P451" s="134">
        <f t="shared" si="92"/>
        <v>63.08742830637263</v>
      </c>
      <c r="Q451" s="134">
        <f t="shared" si="92"/>
        <v>57.413191893770573</v>
      </c>
      <c r="R451" s="134">
        <f t="shared" si="92"/>
        <v>51.726839903611349</v>
      </c>
      <c r="S451" s="134">
        <f t="shared" si="92"/>
        <v>46.028345364253923</v>
      </c>
      <c r="T451" s="134">
        <f t="shared" si="92"/>
        <v>40.317681241596979</v>
      </c>
      <c r="U451" s="134">
        <f t="shared" si="92"/>
        <v>34.594820438928998</v>
      </c>
      <c r="V451" s="134">
        <f t="shared" si="92"/>
        <v>28.85973579677794</v>
      </c>
      <c r="W451" s="134">
        <f t="shared" si="92"/>
        <v>23.112400092760574</v>
      </c>
      <c r="X451" s="134">
        <f t="shared" si="92"/>
        <v>17.352786041431301</v>
      </c>
      <c r="Y451" s="134">
        <f t="shared" si="92"/>
        <v>11.580866294130869</v>
      </c>
      <c r="Z451" s="134">
        <f t="shared" si="92"/>
        <v>5.7966134388345427</v>
      </c>
      <c r="AA451" s="134">
        <f t="shared" si="92"/>
        <v>0</v>
      </c>
      <c r="AB451" s="134">
        <f t="shared" si="92"/>
        <v>-5.8090015615853137</v>
      </c>
      <c r="AC451" s="134">
        <f t="shared" si="92"/>
        <v>-11.630418848957332</v>
      </c>
      <c r="AD451" s="134">
        <f t="shared" si="92"/>
        <v>-17.464279529128209</v>
      </c>
      <c r="AE451" s="134">
        <f t="shared" si="92"/>
        <v>-23.310611333240175</v>
      </c>
      <c r="AF451" s="134">
        <f t="shared" si="92"/>
        <v>-29.169442056719884</v>
      </c>
      <c r="AG451" s="134">
        <f t="shared" si="92"/>
        <v>-35.040799559432628</v>
      </c>
      <c r="AH451" s="134">
        <f t="shared" si="92"/>
        <v>-40.924711765837252</v>
      </c>
      <c r="AI451" s="134">
        <f t="shared" si="92"/>
        <v>-46.821206665141098</v>
      </c>
      <c r="AJ451" s="134">
        <f t="shared" si="92"/>
        <v>-52.723999916299611</v>
      </c>
      <c r="AK451" s="134">
        <f t="shared" si="92"/>
        <v>-58.626793167458125</v>
      </c>
      <c r="AL451" s="134">
        <f t="shared" si="92"/>
        <v>-64.529586418616645</v>
      </c>
      <c r="AM451" s="134">
        <f t="shared" si="92"/>
        <v>-70.432379669775159</v>
      </c>
      <c r="AN451" s="134">
        <f t="shared" si="92"/>
        <v>-76.335172920933672</v>
      </c>
      <c r="AO451" s="134">
        <f t="shared" si="92"/>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2" t="s">
        <v>119</v>
      </c>
      <c r="C452" s="135"/>
      <c r="D452" s="134">
        <f t="shared" si="92"/>
        <v>105.48699128915098</v>
      </c>
      <c r="E452" s="134">
        <f t="shared" si="92"/>
        <v>105.48699128915098</v>
      </c>
      <c r="F452" s="134">
        <f t="shared" si="92"/>
        <v>105.48699128915098</v>
      </c>
      <c r="G452" s="134">
        <f t="shared" si="92"/>
        <v>105.48699128915098</v>
      </c>
      <c r="H452" s="134">
        <f t="shared" si="92"/>
        <v>105.48699128915098</v>
      </c>
      <c r="I452" s="134">
        <f t="shared" si="92"/>
        <v>105.48699128915098</v>
      </c>
      <c r="J452" s="134">
        <f t="shared" si="92"/>
        <v>102.68892379437965</v>
      </c>
      <c r="K452" s="134">
        <f t="shared" si="92"/>
        <v>97.086817921638087</v>
      </c>
      <c r="L452" s="134">
        <f t="shared" si="92"/>
        <v>91.472756997868771</v>
      </c>
      <c r="M452" s="134">
        <f t="shared" si="92"/>
        <v>85.846714423064583</v>
      </c>
      <c r="N452" s="134">
        <f t="shared" si="92"/>
        <v>80.208663535649876</v>
      </c>
      <c r="O452" s="134">
        <f t="shared" si="92"/>
        <v>74.558577612333025</v>
      </c>
      <c r="P452" s="134">
        <f t="shared" si="92"/>
        <v>68.896429867957949</v>
      </c>
      <c r="Q452" s="134">
        <f t="shared" si="92"/>
        <v>63.222193455355885</v>
      </c>
      <c r="R452" s="134">
        <f t="shared" si="92"/>
        <v>57.535841465196661</v>
      </c>
      <c r="S452" s="134">
        <f t="shared" si="92"/>
        <v>51.837346925839235</v>
      </c>
      <c r="T452" s="134">
        <f t="shared" si="92"/>
        <v>46.126682803182291</v>
      </c>
      <c r="U452" s="134">
        <f t="shared" si="92"/>
        <v>40.40382200051431</v>
      </c>
      <c r="V452" s="134">
        <f t="shared" si="92"/>
        <v>34.668737358363252</v>
      </c>
      <c r="W452" s="134">
        <f t="shared" si="92"/>
        <v>28.921401654345885</v>
      </c>
      <c r="X452" s="134">
        <f t="shared" si="92"/>
        <v>23.161787603016613</v>
      </c>
      <c r="Y452" s="134">
        <f t="shared" si="92"/>
        <v>17.389867855716183</v>
      </c>
      <c r="Z452" s="134">
        <f t="shared" si="92"/>
        <v>11.605615000419856</v>
      </c>
      <c r="AA452" s="134">
        <f t="shared" si="92"/>
        <v>5.8090015615853137</v>
      </c>
      <c r="AB452" s="134">
        <f t="shared" si="92"/>
        <v>0</v>
      </c>
      <c r="AC452" s="134">
        <f t="shared" si="92"/>
        <v>-5.821417287372018</v>
      </c>
      <c r="AD452" s="134">
        <f t="shared" si="92"/>
        <v>-11.655277967542895</v>
      </c>
      <c r="AE452" s="134">
        <f t="shared" si="92"/>
        <v>-17.501609771654863</v>
      </c>
      <c r="AF452" s="134">
        <f t="shared" si="92"/>
        <v>-23.360440495134572</v>
      </c>
      <c r="AG452" s="134">
        <f t="shared" si="92"/>
        <v>-29.231797997847316</v>
      </c>
      <c r="AH452" s="134">
        <f t="shared" si="92"/>
        <v>-35.11571020425194</v>
      </c>
      <c r="AI452" s="134">
        <f t="shared" si="92"/>
        <v>-41.012205103555786</v>
      </c>
      <c r="AJ452" s="134">
        <f t="shared" si="92"/>
        <v>-46.914998354714299</v>
      </c>
      <c r="AK452" s="134">
        <f t="shared" si="92"/>
        <v>-52.817791605872813</v>
      </c>
      <c r="AL452" s="134">
        <f t="shared" si="92"/>
        <v>-58.720584857031326</v>
      </c>
      <c r="AM452" s="134">
        <f t="shared" si="92"/>
        <v>-64.62337810818984</v>
      </c>
      <c r="AN452" s="134">
        <f t="shared" si="92"/>
        <v>-70.526171359348353</v>
      </c>
      <c r="AO452" s="134">
        <f t="shared" si="92"/>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2" t="s">
        <v>120</v>
      </c>
      <c r="C453" s="135"/>
      <c r="D453" s="134">
        <f t="shared" si="92"/>
        <v>111.30840857652299</v>
      </c>
      <c r="E453" s="134">
        <f t="shared" si="92"/>
        <v>111.30840857652299</v>
      </c>
      <c r="F453" s="134">
        <f t="shared" si="92"/>
        <v>111.30840857652299</v>
      </c>
      <c r="G453" s="134">
        <f t="shared" si="92"/>
        <v>111.30840857652299</v>
      </c>
      <c r="H453" s="134">
        <f t="shared" si="92"/>
        <v>111.30840857652299</v>
      </c>
      <c r="I453" s="134">
        <f t="shared" si="92"/>
        <v>111.30840857652299</v>
      </c>
      <c r="J453" s="134">
        <f t="shared" si="92"/>
        <v>108.51034108175166</v>
      </c>
      <c r="K453" s="134">
        <f t="shared" si="92"/>
        <v>102.9082352090101</v>
      </c>
      <c r="L453" s="134">
        <f t="shared" si="92"/>
        <v>97.294174285240786</v>
      </c>
      <c r="M453" s="134">
        <f t="shared" si="92"/>
        <v>91.668131710436597</v>
      </c>
      <c r="N453" s="134">
        <f t="shared" si="92"/>
        <v>86.030080823021891</v>
      </c>
      <c r="O453" s="134">
        <f t="shared" si="92"/>
        <v>80.379994899705039</v>
      </c>
      <c r="P453" s="134">
        <f t="shared" si="92"/>
        <v>74.717847155329963</v>
      </c>
      <c r="Q453" s="134">
        <f t="shared" si="92"/>
        <v>69.043610742727907</v>
      </c>
      <c r="R453" s="134">
        <f t="shared" si="92"/>
        <v>63.357258752568683</v>
      </c>
      <c r="S453" s="134">
        <f t="shared" si="92"/>
        <v>57.658764213211256</v>
      </c>
      <c r="T453" s="134">
        <f t="shared" si="92"/>
        <v>51.948100090554306</v>
      </c>
      <c r="U453" s="134">
        <f t="shared" si="92"/>
        <v>46.225239287886325</v>
      </c>
      <c r="V453" s="134">
        <f t="shared" si="92"/>
        <v>40.490154645735274</v>
      </c>
      <c r="W453" s="134">
        <f t="shared" si="92"/>
        <v>34.7428189417179</v>
      </c>
      <c r="X453" s="134">
        <f t="shared" si="92"/>
        <v>28.983204890388631</v>
      </c>
      <c r="Y453" s="134">
        <f t="shared" si="92"/>
        <v>23.211285143088201</v>
      </c>
      <c r="Z453" s="134">
        <f t="shared" si="92"/>
        <v>17.427032287791874</v>
      </c>
      <c r="AA453" s="134">
        <f t="shared" si="92"/>
        <v>11.630418848957332</v>
      </c>
      <c r="AB453" s="134">
        <f t="shared" si="92"/>
        <v>5.821417287372018</v>
      </c>
      <c r="AC453" s="134">
        <f t="shared" si="92"/>
        <v>0</v>
      </c>
      <c r="AD453" s="134">
        <f t="shared" si="92"/>
        <v>-5.8338606801708774</v>
      </c>
      <c r="AE453" s="134">
        <f t="shared" si="92"/>
        <v>-11.680192484282843</v>
      </c>
      <c r="AF453" s="134">
        <f t="shared" si="92"/>
        <v>-17.539023207762554</v>
      </c>
      <c r="AG453" s="134">
        <f t="shared" si="92"/>
        <v>-23.410380710475302</v>
      </c>
      <c r="AH453" s="134">
        <f t="shared" si="92"/>
        <v>-29.294292916879925</v>
      </c>
      <c r="AI453" s="134">
        <f t="shared" si="92"/>
        <v>-35.190787816183771</v>
      </c>
      <c r="AJ453" s="134">
        <f t="shared" si="92"/>
        <v>-41.093581067342285</v>
      </c>
      <c r="AK453" s="134">
        <f t="shared" si="92"/>
        <v>-46.996374318500798</v>
      </c>
      <c r="AL453" s="134">
        <f t="shared" si="92"/>
        <v>-52.899167569659312</v>
      </c>
      <c r="AM453" s="134">
        <f t="shared" si="92"/>
        <v>-58.801960820817825</v>
      </c>
      <c r="AN453" s="134">
        <f t="shared" si="92"/>
        <v>-64.704754071976339</v>
      </c>
      <c r="AO453" s="134">
        <f t="shared" si="92"/>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2" t="s">
        <v>121</v>
      </c>
      <c r="C454" s="135"/>
      <c r="D454" s="134">
        <f t="shared" si="92"/>
        <v>117.14226925669387</v>
      </c>
      <c r="E454" s="134">
        <f t="shared" si="92"/>
        <v>117.14226925669387</v>
      </c>
      <c r="F454" s="134">
        <f t="shared" si="92"/>
        <v>117.14226925669387</v>
      </c>
      <c r="G454" s="134">
        <f t="shared" si="92"/>
        <v>117.14226925669387</v>
      </c>
      <c r="H454" s="134">
        <f t="shared" si="92"/>
        <v>117.14226925669387</v>
      </c>
      <c r="I454" s="134">
        <f t="shared" si="92"/>
        <v>117.14226925669387</v>
      </c>
      <c r="J454" s="134">
        <f t="shared" si="92"/>
        <v>114.34420176192253</v>
      </c>
      <c r="K454" s="134">
        <f t="shared" si="92"/>
        <v>108.74209588918097</v>
      </c>
      <c r="L454" s="134">
        <f t="shared" si="92"/>
        <v>103.12803496541166</v>
      </c>
      <c r="M454" s="134">
        <f t="shared" si="92"/>
        <v>97.501992390607469</v>
      </c>
      <c r="N454" s="134">
        <f t="shared" si="92"/>
        <v>91.863941503192763</v>
      </c>
      <c r="O454" s="134">
        <f t="shared" si="92"/>
        <v>86.213855579875911</v>
      </c>
      <c r="P454" s="134">
        <f t="shared" si="92"/>
        <v>80.551707835500835</v>
      </c>
      <c r="Q454" s="134">
        <f t="shared" si="92"/>
        <v>74.877471422898779</v>
      </c>
      <c r="R454" s="134">
        <f t="shared" si="92"/>
        <v>69.191119432739555</v>
      </c>
      <c r="S454" s="134">
        <f t="shared" si="92"/>
        <v>63.492624893382136</v>
      </c>
      <c r="T454" s="134">
        <f t="shared" si="92"/>
        <v>57.781960770725185</v>
      </c>
      <c r="U454" s="134">
        <f t="shared" si="92"/>
        <v>52.059099968057204</v>
      </c>
      <c r="V454" s="134">
        <f t="shared" si="92"/>
        <v>46.324015325906153</v>
      </c>
      <c r="W454" s="134">
        <f t="shared" si="92"/>
        <v>40.576679621888779</v>
      </c>
      <c r="X454" s="134">
        <f t="shared" si="92"/>
        <v>34.817065570559507</v>
      </c>
      <c r="Y454" s="134">
        <f t="shared" si="92"/>
        <v>29.045145823259077</v>
      </c>
      <c r="Z454" s="134">
        <f t="shared" si="92"/>
        <v>23.260892967962754</v>
      </c>
      <c r="AA454" s="134">
        <f t="shared" si="92"/>
        <v>17.464279529128209</v>
      </c>
      <c r="AB454" s="134">
        <f t="shared" si="92"/>
        <v>11.655277967542895</v>
      </c>
      <c r="AC454" s="134">
        <f t="shared" si="92"/>
        <v>5.8338606801708774</v>
      </c>
      <c r="AD454" s="134">
        <f t="shared" si="92"/>
        <v>0</v>
      </c>
      <c r="AE454" s="134">
        <f t="shared" si="92"/>
        <v>-5.8463318041119656</v>
      </c>
      <c r="AF454" s="134">
        <f t="shared" si="92"/>
        <v>-11.705162527591675</v>
      </c>
      <c r="AG454" s="134">
        <f t="shared" si="92"/>
        <v>-17.576520030304422</v>
      </c>
      <c r="AH454" s="134">
        <f t="shared" si="92"/>
        <v>-23.460432236709046</v>
      </c>
      <c r="AI454" s="134">
        <f t="shared" si="92"/>
        <v>-29.356927136012892</v>
      </c>
      <c r="AJ454" s="134">
        <f t="shared" si="92"/>
        <v>-35.259720387171406</v>
      </c>
      <c r="AK454" s="134">
        <f t="shared" si="92"/>
        <v>-41.162513638329919</v>
      </c>
      <c r="AL454" s="134">
        <f t="shared" si="92"/>
        <v>-47.065306889488433</v>
      </c>
      <c r="AM454" s="134">
        <f t="shared" si="92"/>
        <v>-52.968100140646946</v>
      </c>
      <c r="AN454" s="134">
        <f t="shared" si="92"/>
        <v>-58.87089339180546</v>
      </c>
      <c r="AO454" s="134">
        <f t="shared" si="92"/>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2" t="s">
        <v>122</v>
      </c>
      <c r="C455" s="135"/>
      <c r="D455" s="134">
        <f t="shared" si="92"/>
        <v>122.98860106080583</v>
      </c>
      <c r="E455" s="134">
        <f t="shared" si="92"/>
        <v>122.98860106080583</v>
      </c>
      <c r="F455" s="134">
        <f t="shared" si="92"/>
        <v>122.98860106080583</v>
      </c>
      <c r="G455" s="134">
        <f t="shared" si="92"/>
        <v>122.98860106080583</v>
      </c>
      <c r="H455" s="134">
        <f t="shared" si="92"/>
        <v>122.98860106080583</v>
      </c>
      <c r="I455" s="134">
        <f t="shared" si="92"/>
        <v>122.98860106080583</v>
      </c>
      <c r="J455" s="134">
        <f t="shared" si="92"/>
        <v>120.1905335660345</v>
      </c>
      <c r="K455" s="134">
        <f t="shared" si="92"/>
        <v>114.58842769329294</v>
      </c>
      <c r="L455" s="134">
        <f t="shared" si="92"/>
        <v>108.97436676952363</v>
      </c>
      <c r="M455" s="134">
        <f t="shared" si="92"/>
        <v>103.34832419471944</v>
      </c>
      <c r="N455" s="134">
        <f t="shared" si="92"/>
        <v>97.710273307304732</v>
      </c>
      <c r="O455" s="134">
        <f t="shared" si="92"/>
        <v>92.060187383987881</v>
      </c>
      <c r="P455" s="134">
        <f t="shared" si="92"/>
        <v>86.398039639612804</v>
      </c>
      <c r="Q455" s="134">
        <f t="shared" si="92"/>
        <v>80.723803227010748</v>
      </c>
      <c r="R455" s="134">
        <f t="shared" si="92"/>
        <v>75.037451236851524</v>
      </c>
      <c r="S455" s="134">
        <f t="shared" si="92"/>
        <v>69.338956697494098</v>
      </c>
      <c r="T455" s="134">
        <f t="shared" si="92"/>
        <v>63.628292574837147</v>
      </c>
      <c r="U455" s="134">
        <f t="shared" si="92"/>
        <v>57.905431772169166</v>
      </c>
      <c r="V455" s="134">
        <f t="shared" si="92"/>
        <v>52.170347130018115</v>
      </c>
      <c r="W455" s="134">
        <f t="shared" si="92"/>
        <v>46.423011426000741</v>
      </c>
      <c r="X455" s="134">
        <f t="shared" si="92"/>
        <v>40.663397374671476</v>
      </c>
      <c r="Y455" s="134">
        <f t="shared" si="92"/>
        <v>34.891477627371046</v>
      </c>
      <c r="Z455" s="134">
        <f t="shared" si="92"/>
        <v>29.107224772074719</v>
      </c>
      <c r="AA455" s="134">
        <f t="shared" si="92"/>
        <v>23.310611333240175</v>
      </c>
      <c r="AB455" s="134">
        <f t="shared" si="92"/>
        <v>17.501609771654863</v>
      </c>
      <c r="AC455" s="134">
        <f t="shared" si="92"/>
        <v>11.680192484282843</v>
      </c>
      <c r="AD455" s="134">
        <f t="shared" si="92"/>
        <v>5.8463318041119656</v>
      </c>
      <c r="AE455" s="134">
        <f t="shared" si="92"/>
        <v>0</v>
      </c>
      <c r="AF455" s="134">
        <f t="shared" si="92"/>
        <v>-5.8588307234797092</v>
      </c>
      <c r="AG455" s="134">
        <f t="shared" si="92"/>
        <v>-11.730188226192455</v>
      </c>
      <c r="AH455" s="134">
        <f t="shared" si="92"/>
        <v>-17.614100432597077</v>
      </c>
      <c r="AI455" s="134">
        <f t="shared" si="92"/>
        <v>-23.510595331900923</v>
      </c>
      <c r="AJ455" s="134">
        <f t="shared" si="92"/>
        <v>-29.413388583059437</v>
      </c>
      <c r="AK455" s="134">
        <f t="shared" si="92"/>
        <v>-35.31618183421795</v>
      </c>
      <c r="AL455" s="134">
        <f t="shared" si="92"/>
        <v>-41.218975085376464</v>
      </c>
      <c r="AM455" s="134">
        <f t="shared" si="92"/>
        <v>-47.121768336534977</v>
      </c>
      <c r="AN455" s="134">
        <f t="shared" si="92"/>
        <v>-53.024561587693491</v>
      </c>
      <c r="AO455" s="134">
        <f t="shared" si="92"/>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2" t="s">
        <v>123</v>
      </c>
      <c r="C456" s="135"/>
      <c r="D456" s="134">
        <f t="shared" si="92"/>
        <v>128.84743178428553</v>
      </c>
      <c r="E456" s="134">
        <f t="shared" si="92"/>
        <v>128.84743178428553</v>
      </c>
      <c r="F456" s="134">
        <f t="shared" si="92"/>
        <v>128.84743178428553</v>
      </c>
      <c r="G456" s="134">
        <f t="shared" si="92"/>
        <v>128.84743178428553</v>
      </c>
      <c r="H456" s="134">
        <f t="shared" si="92"/>
        <v>128.84743178428553</v>
      </c>
      <c r="I456" s="134">
        <f t="shared" si="92"/>
        <v>128.84743178428553</v>
      </c>
      <c r="J456" s="134">
        <f t="shared" si="92"/>
        <v>126.04936428951422</v>
      </c>
      <c r="K456" s="134">
        <f t="shared" si="92"/>
        <v>120.44725841677266</v>
      </c>
      <c r="L456" s="134">
        <f t="shared" si="92"/>
        <v>114.83319749300334</v>
      </c>
      <c r="M456" s="134">
        <f t="shared" si="92"/>
        <v>109.20715491819915</v>
      </c>
      <c r="N456" s="134">
        <f t="shared" si="92"/>
        <v>103.56910403078444</v>
      </c>
      <c r="O456" s="134">
        <f t="shared" si="92"/>
        <v>97.919018107467593</v>
      </c>
      <c r="P456" s="134">
        <f t="shared" si="92"/>
        <v>92.256870363092517</v>
      </c>
      <c r="Q456" s="134">
        <f t="shared" si="92"/>
        <v>86.582633950490461</v>
      </c>
      <c r="R456" s="134">
        <f t="shared" si="92"/>
        <v>80.896281960331237</v>
      </c>
      <c r="S456" s="134">
        <f t="shared" si="92"/>
        <v>75.19778742097381</v>
      </c>
      <c r="T456" s="134">
        <f t="shared" si="92"/>
        <v>69.48712329831686</v>
      </c>
      <c r="U456" s="134">
        <f t="shared" si="92"/>
        <v>63.764262495648879</v>
      </c>
      <c r="V456" s="134">
        <f t="shared" si="92"/>
        <v>58.029177853497828</v>
      </c>
      <c r="W456" s="134">
        <f t="shared" si="92"/>
        <v>52.281842149480454</v>
      </c>
      <c r="X456" s="134">
        <f t="shared" si="92"/>
        <v>46.522228098151189</v>
      </c>
      <c r="Y456" s="134">
        <f t="shared" si="92"/>
        <v>40.750308350850759</v>
      </c>
      <c r="Z456" s="134">
        <f t="shared" si="92"/>
        <v>34.966055495554428</v>
      </c>
      <c r="AA456" s="134">
        <f t="shared" si="92"/>
        <v>29.169442056719884</v>
      </c>
      <c r="AB456" s="134">
        <f t="shared" si="92"/>
        <v>23.360440495134572</v>
      </c>
      <c r="AC456" s="134">
        <f t="shared" si="92"/>
        <v>17.539023207762554</v>
      </c>
      <c r="AD456" s="134">
        <f t="shared" si="92"/>
        <v>11.705162527591675</v>
      </c>
      <c r="AE456" s="134">
        <f t="shared" ref="AE456:AO456" si="93">IF(AE$426=$B456,0,IF(AE$426&gt;$B456,-0.5*AE$424-0.5*AD$424+AD456,0.5*HLOOKUP($B456,$D$423:$AO$424,2,FALSE)+0.5*HLOOKUP($B455,$D$423:$AO$424,2,FALSE)+AE455))</f>
        <v>5.8588307234797092</v>
      </c>
      <c r="AF456" s="134">
        <f t="shared" si="93"/>
        <v>0</v>
      </c>
      <c r="AG456" s="134">
        <f t="shared" si="93"/>
        <v>-5.8713575027127458</v>
      </c>
      <c r="AH456" s="134">
        <f t="shared" si="93"/>
        <v>-11.755269709117368</v>
      </c>
      <c r="AI456" s="134">
        <f t="shared" si="93"/>
        <v>-17.651764608421217</v>
      </c>
      <c r="AJ456" s="134">
        <f t="shared" si="93"/>
        <v>-23.554557859579731</v>
      </c>
      <c r="AK456" s="134">
        <f t="shared" si="93"/>
        <v>-29.457351110738244</v>
      </c>
      <c r="AL456" s="134">
        <f t="shared" si="93"/>
        <v>-35.360144361896758</v>
      </c>
      <c r="AM456" s="134">
        <f t="shared" si="93"/>
        <v>-41.262937613055271</v>
      </c>
      <c r="AN456" s="134">
        <f t="shared" si="93"/>
        <v>-47.165730864213785</v>
      </c>
      <c r="AO456" s="134">
        <f t="shared" si="93"/>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2" t="s">
        <v>124</v>
      </c>
      <c r="C457" s="135"/>
      <c r="D457" s="134">
        <f t="shared" ref="D457:AO463" si="94">IF(D$426=$B457,0,IF(D$426&gt;$B457,-0.5*D$424-0.5*C$424+C457,0.5*HLOOKUP($B457,$D$423:$AO$424,2,FALSE)+0.5*HLOOKUP($B456,$D$423:$AO$424,2,FALSE)+D456))</f>
        <v>134.71878928699829</v>
      </c>
      <c r="E457" s="134">
        <f t="shared" si="94"/>
        <v>134.71878928699829</v>
      </c>
      <c r="F457" s="134">
        <f t="shared" si="94"/>
        <v>134.71878928699829</v>
      </c>
      <c r="G457" s="134">
        <f t="shared" si="94"/>
        <v>134.71878928699829</v>
      </c>
      <c r="H457" s="134">
        <f t="shared" si="94"/>
        <v>134.71878928699829</v>
      </c>
      <c r="I457" s="134">
        <f t="shared" si="94"/>
        <v>134.71878928699829</v>
      </c>
      <c r="J457" s="134">
        <f t="shared" si="94"/>
        <v>131.92072179222697</v>
      </c>
      <c r="K457" s="134">
        <f t="shared" si="94"/>
        <v>126.3186159194854</v>
      </c>
      <c r="L457" s="134">
        <f t="shared" si="94"/>
        <v>120.70455499571608</v>
      </c>
      <c r="M457" s="134">
        <f t="shared" si="94"/>
        <v>115.07851242091189</v>
      </c>
      <c r="N457" s="134">
        <f t="shared" si="94"/>
        <v>109.44046153349719</v>
      </c>
      <c r="O457" s="134">
        <f t="shared" si="94"/>
        <v>103.79037561018033</v>
      </c>
      <c r="P457" s="134">
        <f t="shared" si="94"/>
        <v>98.128227865805258</v>
      </c>
      <c r="Q457" s="134">
        <f t="shared" si="94"/>
        <v>92.453991453203201</v>
      </c>
      <c r="R457" s="134">
        <f t="shared" si="94"/>
        <v>86.767639463043977</v>
      </c>
      <c r="S457" s="134">
        <f t="shared" si="94"/>
        <v>81.069144923686551</v>
      </c>
      <c r="T457" s="134">
        <f t="shared" si="94"/>
        <v>75.3584808010296</v>
      </c>
      <c r="U457" s="134">
        <f t="shared" si="94"/>
        <v>69.635619998361619</v>
      </c>
      <c r="V457" s="134">
        <f t="shared" si="94"/>
        <v>63.900535356210575</v>
      </c>
      <c r="W457" s="134">
        <f t="shared" si="94"/>
        <v>58.153199652193202</v>
      </c>
      <c r="X457" s="134">
        <f t="shared" si="94"/>
        <v>52.393585600863936</v>
      </c>
      <c r="Y457" s="134">
        <f t="shared" si="94"/>
        <v>46.621665853563506</v>
      </c>
      <c r="Z457" s="134">
        <f t="shared" si="94"/>
        <v>40.837412998267176</v>
      </c>
      <c r="AA457" s="134">
        <f t="shared" si="94"/>
        <v>35.040799559432628</v>
      </c>
      <c r="AB457" s="134">
        <f t="shared" si="94"/>
        <v>29.231797997847316</v>
      </c>
      <c r="AC457" s="134">
        <f t="shared" si="94"/>
        <v>23.410380710475302</v>
      </c>
      <c r="AD457" s="134">
        <f t="shared" si="94"/>
        <v>17.576520030304422</v>
      </c>
      <c r="AE457" s="134">
        <f t="shared" si="94"/>
        <v>11.730188226192455</v>
      </c>
      <c r="AF457" s="134">
        <f t="shared" si="94"/>
        <v>5.8713575027127458</v>
      </c>
      <c r="AG457" s="134">
        <f t="shared" si="94"/>
        <v>0</v>
      </c>
      <c r="AH457" s="134">
        <f t="shared" si="94"/>
        <v>-5.8839122064046219</v>
      </c>
      <c r="AI457" s="134">
        <f t="shared" si="94"/>
        <v>-11.78040710570847</v>
      </c>
      <c r="AJ457" s="134">
        <f t="shared" si="94"/>
        <v>-17.683200356866983</v>
      </c>
      <c r="AK457" s="134">
        <f t="shared" si="94"/>
        <v>-23.585993608025497</v>
      </c>
      <c r="AL457" s="134">
        <f t="shared" si="94"/>
        <v>-29.48878685918401</v>
      </c>
      <c r="AM457" s="134">
        <f t="shared" si="94"/>
        <v>-35.391580110342524</v>
      </c>
      <c r="AN457" s="134">
        <f t="shared" si="94"/>
        <v>-41.294373361501037</v>
      </c>
      <c r="AO457" s="134">
        <f t="shared" si="94"/>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2" t="s">
        <v>125</v>
      </c>
      <c r="C458" s="135"/>
      <c r="D458" s="134">
        <f t="shared" si="94"/>
        <v>140.60270149340292</v>
      </c>
      <c r="E458" s="134">
        <f t="shared" si="94"/>
        <v>140.60270149340292</v>
      </c>
      <c r="F458" s="134">
        <f t="shared" si="94"/>
        <v>140.60270149340292</v>
      </c>
      <c r="G458" s="134">
        <f t="shared" si="94"/>
        <v>140.60270149340292</v>
      </c>
      <c r="H458" s="134">
        <f t="shared" si="94"/>
        <v>140.60270149340292</v>
      </c>
      <c r="I458" s="134">
        <f t="shared" si="94"/>
        <v>140.60270149340292</v>
      </c>
      <c r="J458" s="134">
        <f t="shared" si="94"/>
        <v>137.8046339986316</v>
      </c>
      <c r="K458" s="134">
        <f t="shared" si="94"/>
        <v>132.20252812589001</v>
      </c>
      <c r="L458" s="134">
        <f t="shared" si="94"/>
        <v>126.5884672021207</v>
      </c>
      <c r="M458" s="134">
        <f t="shared" si="94"/>
        <v>120.96242462731651</v>
      </c>
      <c r="N458" s="134">
        <f t="shared" si="94"/>
        <v>115.3243737399018</v>
      </c>
      <c r="O458" s="134">
        <f t="shared" si="94"/>
        <v>109.67428781658495</v>
      </c>
      <c r="P458" s="134">
        <f t="shared" si="94"/>
        <v>104.01214007220987</v>
      </c>
      <c r="Q458" s="134">
        <f t="shared" si="94"/>
        <v>98.337903659607818</v>
      </c>
      <c r="R458" s="134">
        <f t="shared" si="94"/>
        <v>92.651551669448594</v>
      </c>
      <c r="S458" s="134">
        <f t="shared" si="94"/>
        <v>86.953057130091167</v>
      </c>
      <c r="T458" s="134">
        <f t="shared" si="94"/>
        <v>81.242393007434217</v>
      </c>
      <c r="U458" s="134">
        <f t="shared" si="94"/>
        <v>75.519532204766236</v>
      </c>
      <c r="V458" s="134">
        <f t="shared" si="94"/>
        <v>69.784447562615199</v>
      </c>
      <c r="W458" s="134">
        <f t="shared" si="94"/>
        <v>64.037111858597825</v>
      </c>
      <c r="X458" s="134">
        <f t="shared" si="94"/>
        <v>58.27749780726856</v>
      </c>
      <c r="Y458" s="134">
        <f t="shared" si="94"/>
        <v>52.50557805996813</v>
      </c>
      <c r="Z458" s="134">
        <f t="shared" si="94"/>
        <v>46.7213252046718</v>
      </c>
      <c r="AA458" s="134">
        <f t="shared" si="94"/>
        <v>40.924711765837252</v>
      </c>
      <c r="AB458" s="134">
        <f t="shared" si="94"/>
        <v>35.11571020425194</v>
      </c>
      <c r="AC458" s="134">
        <f t="shared" si="94"/>
        <v>29.294292916879925</v>
      </c>
      <c r="AD458" s="134">
        <f t="shared" si="94"/>
        <v>23.460432236709046</v>
      </c>
      <c r="AE458" s="134">
        <f t="shared" si="94"/>
        <v>17.614100432597077</v>
      </c>
      <c r="AF458" s="134">
        <f t="shared" si="94"/>
        <v>11.755269709117368</v>
      </c>
      <c r="AG458" s="134">
        <f t="shared" si="94"/>
        <v>5.8839122064046219</v>
      </c>
      <c r="AH458" s="134">
        <f t="shared" si="94"/>
        <v>0</v>
      </c>
      <c r="AI458" s="134">
        <f t="shared" si="94"/>
        <v>-5.896494899303848</v>
      </c>
      <c r="AJ458" s="134">
        <f t="shared" si="94"/>
        <v>-11.799288150462361</v>
      </c>
      <c r="AK458" s="134">
        <f t="shared" si="94"/>
        <v>-17.702081401620873</v>
      </c>
      <c r="AL458" s="134">
        <f t="shared" si="94"/>
        <v>-23.604874652779387</v>
      </c>
      <c r="AM458" s="134">
        <f t="shared" si="94"/>
        <v>-29.5076679039379</v>
      </c>
      <c r="AN458" s="134">
        <f t="shared" si="94"/>
        <v>-35.410461155096414</v>
      </c>
      <c r="AO458" s="134">
        <f t="shared" si="94"/>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2" t="s">
        <v>126</v>
      </c>
      <c r="C459" s="135"/>
      <c r="D459" s="134">
        <f t="shared" si="94"/>
        <v>146.49919639270678</v>
      </c>
      <c r="E459" s="134">
        <f t="shared" si="94"/>
        <v>146.49919639270678</v>
      </c>
      <c r="F459" s="134">
        <f t="shared" si="94"/>
        <v>146.49919639270678</v>
      </c>
      <c r="G459" s="134">
        <f t="shared" si="94"/>
        <v>146.49919639270678</v>
      </c>
      <c r="H459" s="134">
        <f t="shared" si="94"/>
        <v>146.49919639270678</v>
      </c>
      <c r="I459" s="134">
        <f t="shared" si="94"/>
        <v>146.49919639270678</v>
      </c>
      <c r="J459" s="134">
        <f t="shared" si="94"/>
        <v>143.70112889793546</v>
      </c>
      <c r="K459" s="134">
        <f t="shared" si="94"/>
        <v>138.09902302519387</v>
      </c>
      <c r="L459" s="134">
        <f t="shared" si="94"/>
        <v>132.48496210142454</v>
      </c>
      <c r="M459" s="134">
        <f t="shared" si="94"/>
        <v>126.85891952662035</v>
      </c>
      <c r="N459" s="134">
        <f t="shared" si="94"/>
        <v>121.22086863920565</v>
      </c>
      <c r="O459" s="134">
        <f t="shared" si="94"/>
        <v>115.5707827158888</v>
      </c>
      <c r="P459" s="134">
        <f t="shared" si="94"/>
        <v>109.90863497151372</v>
      </c>
      <c r="Q459" s="134">
        <f t="shared" si="94"/>
        <v>104.23439855891166</v>
      </c>
      <c r="R459" s="134">
        <f t="shared" si="94"/>
        <v>98.54804656875244</v>
      </c>
      <c r="S459" s="134">
        <f t="shared" si="94"/>
        <v>92.849552029395014</v>
      </c>
      <c r="T459" s="134">
        <f t="shared" si="94"/>
        <v>87.138887906738063</v>
      </c>
      <c r="U459" s="134">
        <f t="shared" si="94"/>
        <v>81.416027104070082</v>
      </c>
      <c r="V459" s="134">
        <f t="shared" si="94"/>
        <v>75.680942461919045</v>
      </c>
      <c r="W459" s="134">
        <f t="shared" si="94"/>
        <v>69.933606757901671</v>
      </c>
      <c r="X459" s="134">
        <f t="shared" si="94"/>
        <v>64.173992706572406</v>
      </c>
      <c r="Y459" s="134">
        <f t="shared" si="94"/>
        <v>58.402072959271976</v>
      </c>
      <c r="Z459" s="134">
        <f t="shared" si="94"/>
        <v>52.617820103975646</v>
      </c>
      <c r="AA459" s="134">
        <f t="shared" si="94"/>
        <v>46.821206665141098</v>
      </c>
      <c r="AB459" s="134">
        <f t="shared" si="94"/>
        <v>41.012205103555786</v>
      </c>
      <c r="AC459" s="134">
        <f t="shared" si="94"/>
        <v>35.190787816183771</v>
      </c>
      <c r="AD459" s="134">
        <f t="shared" si="94"/>
        <v>29.356927136012892</v>
      </c>
      <c r="AE459" s="134">
        <f t="shared" si="94"/>
        <v>23.510595331900923</v>
      </c>
      <c r="AF459" s="134">
        <f t="shared" si="94"/>
        <v>17.651764608421217</v>
      </c>
      <c r="AG459" s="134">
        <f t="shared" si="94"/>
        <v>11.78040710570847</v>
      </c>
      <c r="AH459" s="134">
        <f t="shared" si="94"/>
        <v>5.896494899303848</v>
      </c>
      <c r="AI459" s="134">
        <f t="shared" si="94"/>
        <v>0</v>
      </c>
      <c r="AJ459" s="134">
        <f t="shared" si="94"/>
        <v>-5.9027932511585135</v>
      </c>
      <c r="AK459" s="134">
        <f t="shared" si="94"/>
        <v>-11.805586502317027</v>
      </c>
      <c r="AL459" s="134">
        <f t="shared" si="94"/>
        <v>-17.70837975347554</v>
      </c>
      <c r="AM459" s="134">
        <f t="shared" si="94"/>
        <v>-23.611173004634054</v>
      </c>
      <c r="AN459" s="134">
        <f t="shared" si="94"/>
        <v>-29.513966255792567</v>
      </c>
      <c r="AO459" s="134">
        <f t="shared" si="9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2" t="s">
        <v>127</v>
      </c>
      <c r="C460" s="135"/>
      <c r="D460" s="134">
        <f t="shared" si="94"/>
        <v>152.40198964386531</v>
      </c>
      <c r="E460" s="134">
        <f t="shared" si="94"/>
        <v>152.40198964386531</v>
      </c>
      <c r="F460" s="134">
        <f t="shared" si="94"/>
        <v>152.40198964386531</v>
      </c>
      <c r="G460" s="134">
        <f t="shared" si="94"/>
        <v>152.40198964386531</v>
      </c>
      <c r="H460" s="134">
        <f t="shared" si="94"/>
        <v>152.40198964386531</v>
      </c>
      <c r="I460" s="134">
        <f t="shared" si="94"/>
        <v>152.40198964386531</v>
      </c>
      <c r="J460" s="134">
        <f t="shared" si="94"/>
        <v>149.60392214909399</v>
      </c>
      <c r="K460" s="134">
        <f t="shared" si="94"/>
        <v>144.00181627635237</v>
      </c>
      <c r="L460" s="134">
        <f t="shared" si="94"/>
        <v>138.38775535258304</v>
      </c>
      <c r="M460" s="134">
        <f t="shared" si="94"/>
        <v>132.76171277777888</v>
      </c>
      <c r="N460" s="134">
        <f t="shared" si="94"/>
        <v>127.12366189036416</v>
      </c>
      <c r="O460" s="134">
        <f t="shared" si="94"/>
        <v>121.47357596704731</v>
      </c>
      <c r="P460" s="134">
        <f t="shared" si="94"/>
        <v>115.81142822267223</v>
      </c>
      <c r="Q460" s="134">
        <f t="shared" si="94"/>
        <v>110.13719181007018</v>
      </c>
      <c r="R460" s="134">
        <f t="shared" si="94"/>
        <v>104.45083981991095</v>
      </c>
      <c r="S460" s="134">
        <f t="shared" si="94"/>
        <v>98.752345280553527</v>
      </c>
      <c r="T460" s="134">
        <f t="shared" si="94"/>
        <v>93.041681157896576</v>
      </c>
      <c r="U460" s="134">
        <f t="shared" si="94"/>
        <v>87.318820355228596</v>
      </c>
      <c r="V460" s="134">
        <f t="shared" si="94"/>
        <v>81.583735713077559</v>
      </c>
      <c r="W460" s="134">
        <f t="shared" si="94"/>
        <v>75.836400009060185</v>
      </c>
      <c r="X460" s="134">
        <f t="shared" si="94"/>
        <v>70.07678595773092</v>
      </c>
      <c r="Y460" s="134">
        <f t="shared" si="94"/>
        <v>64.30486621043049</v>
      </c>
      <c r="Z460" s="134">
        <f t="shared" si="94"/>
        <v>58.520613355134159</v>
      </c>
      <c r="AA460" s="134">
        <f t="shared" si="94"/>
        <v>52.723999916299611</v>
      </c>
      <c r="AB460" s="134">
        <f t="shared" si="94"/>
        <v>46.914998354714299</v>
      </c>
      <c r="AC460" s="134">
        <f t="shared" si="94"/>
        <v>41.093581067342285</v>
      </c>
      <c r="AD460" s="134">
        <f t="shared" si="94"/>
        <v>35.259720387171406</v>
      </c>
      <c r="AE460" s="134">
        <f t="shared" si="94"/>
        <v>29.413388583059437</v>
      </c>
      <c r="AF460" s="134">
        <f t="shared" si="94"/>
        <v>23.554557859579731</v>
      </c>
      <c r="AG460" s="134">
        <f t="shared" si="94"/>
        <v>17.683200356866983</v>
      </c>
      <c r="AH460" s="134">
        <f t="shared" si="94"/>
        <v>11.799288150462361</v>
      </c>
      <c r="AI460" s="134">
        <f t="shared" si="94"/>
        <v>5.9027932511585135</v>
      </c>
      <c r="AJ460" s="134">
        <f t="shared" si="94"/>
        <v>0</v>
      </c>
      <c r="AK460" s="134">
        <f t="shared" si="94"/>
        <v>-5.9027932511585135</v>
      </c>
      <c r="AL460" s="134">
        <f t="shared" si="94"/>
        <v>-11.805586502317027</v>
      </c>
      <c r="AM460" s="134">
        <f t="shared" si="94"/>
        <v>-17.70837975347554</v>
      </c>
      <c r="AN460" s="134">
        <f t="shared" si="94"/>
        <v>-23.611173004634054</v>
      </c>
      <c r="AO460" s="134">
        <f t="shared" si="94"/>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2" t="s">
        <v>128</v>
      </c>
      <c r="C461" s="135"/>
      <c r="D461" s="134">
        <f t="shared" si="94"/>
        <v>158.30478289502383</v>
      </c>
      <c r="E461" s="134">
        <f t="shared" si="94"/>
        <v>158.30478289502383</v>
      </c>
      <c r="F461" s="134">
        <f t="shared" si="94"/>
        <v>158.30478289502383</v>
      </c>
      <c r="G461" s="134">
        <f t="shared" si="94"/>
        <v>158.30478289502383</v>
      </c>
      <c r="H461" s="134">
        <f t="shared" si="94"/>
        <v>158.30478289502383</v>
      </c>
      <c r="I461" s="134">
        <f t="shared" si="94"/>
        <v>158.30478289502383</v>
      </c>
      <c r="J461" s="134">
        <f t="shared" si="94"/>
        <v>155.50671540025252</v>
      </c>
      <c r="K461" s="134">
        <f t="shared" si="94"/>
        <v>149.9046095275109</v>
      </c>
      <c r="L461" s="134">
        <f t="shared" si="94"/>
        <v>144.29054860374157</v>
      </c>
      <c r="M461" s="134">
        <f t="shared" si="94"/>
        <v>138.66450602893741</v>
      </c>
      <c r="N461" s="134">
        <f t="shared" si="94"/>
        <v>133.02645514152266</v>
      </c>
      <c r="O461" s="134">
        <f t="shared" si="94"/>
        <v>127.37636921820582</v>
      </c>
      <c r="P461" s="134">
        <f t="shared" si="94"/>
        <v>121.71422147383075</v>
      </c>
      <c r="Q461" s="134">
        <f t="shared" si="94"/>
        <v>116.03998506122869</v>
      </c>
      <c r="R461" s="134">
        <f t="shared" si="94"/>
        <v>110.35363307106947</v>
      </c>
      <c r="S461" s="134">
        <f t="shared" si="94"/>
        <v>104.65513853171204</v>
      </c>
      <c r="T461" s="134">
        <f t="shared" si="94"/>
        <v>98.94447440905509</v>
      </c>
      <c r="U461" s="134">
        <f t="shared" si="94"/>
        <v>93.221613606387109</v>
      </c>
      <c r="V461" s="134">
        <f t="shared" si="94"/>
        <v>87.486528964236072</v>
      </c>
      <c r="W461" s="134">
        <f t="shared" si="94"/>
        <v>81.739193260218698</v>
      </c>
      <c r="X461" s="134">
        <f t="shared" si="94"/>
        <v>75.979579208889433</v>
      </c>
      <c r="Y461" s="134">
        <f t="shared" si="94"/>
        <v>70.207659461589003</v>
      </c>
      <c r="Z461" s="134">
        <f t="shared" si="94"/>
        <v>64.423406606292673</v>
      </c>
      <c r="AA461" s="134">
        <f t="shared" si="94"/>
        <v>58.626793167458125</v>
      </c>
      <c r="AB461" s="134">
        <f t="shared" si="94"/>
        <v>52.817791605872813</v>
      </c>
      <c r="AC461" s="134">
        <f t="shared" si="94"/>
        <v>46.996374318500798</v>
      </c>
      <c r="AD461" s="134">
        <f t="shared" si="94"/>
        <v>41.162513638329919</v>
      </c>
      <c r="AE461" s="134">
        <f t="shared" si="94"/>
        <v>35.31618183421795</v>
      </c>
      <c r="AF461" s="134">
        <f t="shared" si="94"/>
        <v>29.457351110738244</v>
      </c>
      <c r="AG461" s="134">
        <f t="shared" si="94"/>
        <v>23.585993608025497</v>
      </c>
      <c r="AH461" s="134">
        <f t="shared" si="94"/>
        <v>17.702081401620873</v>
      </c>
      <c r="AI461" s="134">
        <f t="shared" si="94"/>
        <v>11.805586502317027</v>
      </c>
      <c r="AJ461" s="134">
        <f t="shared" si="94"/>
        <v>5.9027932511585135</v>
      </c>
      <c r="AK461" s="134">
        <f t="shared" si="94"/>
        <v>0</v>
      </c>
      <c r="AL461" s="134">
        <f t="shared" si="94"/>
        <v>-5.9027932511585135</v>
      </c>
      <c r="AM461" s="134">
        <f t="shared" si="94"/>
        <v>-11.805586502317027</v>
      </c>
      <c r="AN461" s="134">
        <f t="shared" si="94"/>
        <v>-17.70837975347554</v>
      </c>
      <c r="AO461" s="134">
        <f t="shared" si="94"/>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2"/>
      <c r="B462" s="112" t="s">
        <v>129</v>
      </c>
      <c r="C462" s="135"/>
      <c r="D462" s="134">
        <f t="shared" si="94"/>
        <v>164.20757614618236</v>
      </c>
      <c r="E462" s="134">
        <f t="shared" si="94"/>
        <v>164.20757614618236</v>
      </c>
      <c r="F462" s="134">
        <f t="shared" si="94"/>
        <v>164.20757614618236</v>
      </c>
      <c r="G462" s="134">
        <f t="shared" si="94"/>
        <v>164.20757614618236</v>
      </c>
      <c r="H462" s="134">
        <f t="shared" si="94"/>
        <v>164.20757614618236</v>
      </c>
      <c r="I462" s="134">
        <f t="shared" si="94"/>
        <v>164.20757614618236</v>
      </c>
      <c r="J462" s="134">
        <f t="shared" si="94"/>
        <v>161.40950865141104</v>
      </c>
      <c r="K462" s="134">
        <f t="shared" si="94"/>
        <v>155.80740277866943</v>
      </c>
      <c r="L462" s="134">
        <f t="shared" si="94"/>
        <v>150.1933418549001</v>
      </c>
      <c r="M462" s="134">
        <f t="shared" si="94"/>
        <v>144.56729928009594</v>
      </c>
      <c r="N462" s="134">
        <f t="shared" si="94"/>
        <v>138.92924839268119</v>
      </c>
      <c r="O462" s="134">
        <f t="shared" si="94"/>
        <v>133.27916246936434</v>
      </c>
      <c r="P462" s="134">
        <f t="shared" si="94"/>
        <v>127.61701472498926</v>
      </c>
      <c r="Q462" s="134">
        <f t="shared" si="94"/>
        <v>121.9427783123872</v>
      </c>
      <c r="R462" s="134">
        <f t="shared" si="94"/>
        <v>116.25642632222798</v>
      </c>
      <c r="S462" s="134">
        <f t="shared" si="94"/>
        <v>110.55793178287055</v>
      </c>
      <c r="T462" s="134">
        <f t="shared" si="94"/>
        <v>104.8472676602136</v>
      </c>
      <c r="U462" s="134">
        <f t="shared" si="94"/>
        <v>99.124406857545623</v>
      </c>
      <c r="V462" s="134">
        <f t="shared" si="94"/>
        <v>93.389322215394586</v>
      </c>
      <c r="W462" s="134">
        <f t="shared" si="94"/>
        <v>87.641986511377212</v>
      </c>
      <c r="X462" s="134">
        <f t="shared" si="94"/>
        <v>81.882372460047947</v>
      </c>
      <c r="Y462" s="134">
        <f t="shared" si="94"/>
        <v>76.110452712747517</v>
      </c>
      <c r="Z462" s="134">
        <f t="shared" si="94"/>
        <v>70.326199857451186</v>
      </c>
      <c r="AA462" s="134">
        <f t="shared" si="94"/>
        <v>64.529586418616645</v>
      </c>
      <c r="AB462" s="134">
        <f t="shared" si="94"/>
        <v>58.720584857031326</v>
      </c>
      <c r="AC462" s="134">
        <f t="shared" si="94"/>
        <v>52.899167569659312</v>
      </c>
      <c r="AD462" s="134">
        <f t="shared" si="94"/>
        <v>47.065306889488433</v>
      </c>
      <c r="AE462" s="134">
        <f t="shared" si="94"/>
        <v>41.218975085376464</v>
      </c>
      <c r="AF462" s="134">
        <f t="shared" si="94"/>
        <v>35.360144361896758</v>
      </c>
      <c r="AG462" s="134">
        <f t="shared" si="94"/>
        <v>29.48878685918401</v>
      </c>
      <c r="AH462" s="134">
        <f t="shared" si="94"/>
        <v>23.604874652779387</v>
      </c>
      <c r="AI462" s="134">
        <f t="shared" si="94"/>
        <v>17.70837975347554</v>
      </c>
      <c r="AJ462" s="134">
        <f t="shared" si="94"/>
        <v>11.805586502317027</v>
      </c>
      <c r="AK462" s="134">
        <f t="shared" si="94"/>
        <v>5.9027932511585135</v>
      </c>
      <c r="AL462" s="134">
        <f t="shared" si="94"/>
        <v>0</v>
      </c>
      <c r="AM462" s="134">
        <f t="shared" si="94"/>
        <v>-5.9027932511585135</v>
      </c>
      <c r="AN462" s="134">
        <f t="shared" si="94"/>
        <v>-11.805586502317027</v>
      </c>
      <c r="AO462" s="134">
        <f t="shared" si="94"/>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5">
      <c r="A463" s="102"/>
      <c r="B463" s="112" t="s">
        <v>130</v>
      </c>
      <c r="C463" s="135"/>
      <c r="D463" s="134">
        <f t="shared" si="94"/>
        <v>170.11036939734089</v>
      </c>
      <c r="E463" s="134">
        <f t="shared" si="94"/>
        <v>170.11036939734089</v>
      </c>
      <c r="F463" s="134">
        <f t="shared" si="94"/>
        <v>170.11036939734089</v>
      </c>
      <c r="G463" s="134">
        <f t="shared" si="94"/>
        <v>170.11036939734089</v>
      </c>
      <c r="H463" s="134">
        <f t="shared" si="94"/>
        <v>170.11036939734089</v>
      </c>
      <c r="I463" s="134">
        <f t="shared" si="94"/>
        <v>170.11036939734089</v>
      </c>
      <c r="J463" s="134">
        <f t="shared" si="94"/>
        <v>167.31230190256957</v>
      </c>
      <c r="K463" s="134">
        <f t="shared" si="94"/>
        <v>161.71019602982796</v>
      </c>
      <c r="L463" s="134">
        <f t="shared" si="94"/>
        <v>156.09613510605863</v>
      </c>
      <c r="M463" s="134">
        <f t="shared" si="94"/>
        <v>150.47009253125447</v>
      </c>
      <c r="N463" s="134">
        <f t="shared" si="94"/>
        <v>144.83204164383972</v>
      </c>
      <c r="O463" s="134">
        <f t="shared" si="94"/>
        <v>139.18195572052286</v>
      </c>
      <c r="P463" s="134">
        <f t="shared" si="94"/>
        <v>133.51980797614777</v>
      </c>
      <c r="Q463" s="134">
        <f t="shared" si="94"/>
        <v>127.84557156354572</v>
      </c>
      <c r="R463" s="134">
        <f t="shared" si="94"/>
        <v>122.15921957338649</v>
      </c>
      <c r="S463" s="134">
        <f t="shared" si="94"/>
        <v>116.46072503402907</v>
      </c>
      <c r="T463" s="134">
        <f t="shared" si="94"/>
        <v>110.75006091137212</v>
      </c>
      <c r="U463" s="134">
        <f t="shared" si="94"/>
        <v>105.02720010870414</v>
      </c>
      <c r="V463" s="134">
        <f t="shared" si="94"/>
        <v>99.292115466553099</v>
      </c>
      <c r="W463" s="134">
        <f t="shared" si="94"/>
        <v>93.544779762535725</v>
      </c>
      <c r="X463" s="134">
        <f t="shared" si="94"/>
        <v>87.78516571120646</v>
      </c>
      <c r="Y463" s="134">
        <f t="shared" si="94"/>
        <v>82.01324596390603</v>
      </c>
      <c r="Z463" s="134">
        <f t="shared" si="94"/>
        <v>76.2289931086097</v>
      </c>
      <c r="AA463" s="134">
        <f t="shared" si="94"/>
        <v>70.432379669775159</v>
      </c>
      <c r="AB463" s="134">
        <f t="shared" si="94"/>
        <v>64.62337810818984</v>
      </c>
      <c r="AC463" s="134">
        <f t="shared" si="94"/>
        <v>58.801960820817825</v>
      </c>
      <c r="AD463" s="134">
        <f t="shared" si="94"/>
        <v>52.968100140646946</v>
      </c>
      <c r="AE463" s="134">
        <f t="shared" ref="AE463:AO463" si="95">IF(AE$426=$B463,0,IF(AE$426&gt;$B463,-0.5*AE$424-0.5*AD$424+AD463,0.5*HLOOKUP($B463,$D$423:$AO$424,2,FALSE)+0.5*HLOOKUP($B462,$D$423:$AO$424,2,FALSE)+AE462))</f>
        <v>47.121768336534977</v>
      </c>
      <c r="AF463" s="134">
        <f t="shared" si="95"/>
        <v>41.262937613055271</v>
      </c>
      <c r="AG463" s="134">
        <f t="shared" si="95"/>
        <v>35.391580110342524</v>
      </c>
      <c r="AH463" s="134">
        <f t="shared" si="95"/>
        <v>29.5076679039379</v>
      </c>
      <c r="AI463" s="134">
        <f t="shared" si="95"/>
        <v>23.611173004634054</v>
      </c>
      <c r="AJ463" s="134">
        <f t="shared" si="95"/>
        <v>17.70837975347554</v>
      </c>
      <c r="AK463" s="134">
        <f t="shared" si="95"/>
        <v>11.805586502317027</v>
      </c>
      <c r="AL463" s="134">
        <f t="shared" si="95"/>
        <v>5.9027932511585135</v>
      </c>
      <c r="AM463" s="134">
        <f t="shared" si="95"/>
        <v>0</v>
      </c>
      <c r="AN463" s="134">
        <f t="shared" si="95"/>
        <v>-5.9027932511585135</v>
      </c>
      <c r="AO463" s="134">
        <f t="shared" si="95"/>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5">
      <c r="A464" s="102"/>
      <c r="B464" s="112" t="s">
        <v>131</v>
      </c>
      <c r="C464" s="135"/>
      <c r="D464" s="134">
        <f t="shared" ref="D464:AO465" si="96">IF(D$426=$B464,0,IF(D$426&gt;$B464,-0.5*D$424-0.5*C$424+C464,0.5*HLOOKUP($B464,$D$423:$AO$424,2,FALSE)+0.5*HLOOKUP($B463,$D$423:$AO$424,2,FALSE)+D463))</f>
        <v>176.01316264849942</v>
      </c>
      <c r="E464" s="134">
        <f t="shared" si="96"/>
        <v>176.01316264849942</v>
      </c>
      <c r="F464" s="134">
        <f t="shared" si="96"/>
        <v>176.01316264849942</v>
      </c>
      <c r="G464" s="134">
        <f t="shared" si="96"/>
        <v>176.01316264849942</v>
      </c>
      <c r="H464" s="134">
        <f t="shared" si="96"/>
        <v>176.01316264849942</v>
      </c>
      <c r="I464" s="134">
        <f t="shared" si="96"/>
        <v>176.01316264849942</v>
      </c>
      <c r="J464" s="134">
        <f t="shared" si="96"/>
        <v>173.2150951537281</v>
      </c>
      <c r="K464" s="134">
        <f t="shared" si="96"/>
        <v>167.61298928098648</v>
      </c>
      <c r="L464" s="134">
        <f t="shared" si="96"/>
        <v>161.99892835721715</v>
      </c>
      <c r="M464" s="134">
        <f t="shared" si="96"/>
        <v>156.37288578241299</v>
      </c>
      <c r="N464" s="134">
        <f t="shared" si="96"/>
        <v>150.73483489499824</v>
      </c>
      <c r="O464" s="134">
        <f t="shared" si="96"/>
        <v>145.08474897168139</v>
      </c>
      <c r="P464" s="134">
        <f t="shared" si="96"/>
        <v>139.4226012273063</v>
      </c>
      <c r="Q464" s="134">
        <f t="shared" si="96"/>
        <v>133.74836481470425</v>
      </c>
      <c r="R464" s="134">
        <f t="shared" si="96"/>
        <v>128.06201282454501</v>
      </c>
      <c r="S464" s="134">
        <f t="shared" si="96"/>
        <v>122.36351828518758</v>
      </c>
      <c r="T464" s="134">
        <f t="shared" si="96"/>
        <v>116.65285416253063</v>
      </c>
      <c r="U464" s="134">
        <f t="shared" si="96"/>
        <v>110.92999335986265</v>
      </c>
      <c r="V464" s="134">
        <f t="shared" si="96"/>
        <v>105.19490871771161</v>
      </c>
      <c r="W464" s="134">
        <f t="shared" si="96"/>
        <v>99.447573013694239</v>
      </c>
      <c r="X464" s="134">
        <f t="shared" si="96"/>
        <v>93.687958962364974</v>
      </c>
      <c r="Y464" s="134">
        <f t="shared" si="96"/>
        <v>87.916039215064544</v>
      </c>
      <c r="Z464" s="134">
        <f t="shared" si="96"/>
        <v>82.131786359768213</v>
      </c>
      <c r="AA464" s="134">
        <f t="shared" si="96"/>
        <v>76.335172920933672</v>
      </c>
      <c r="AB464" s="134">
        <f t="shared" si="96"/>
        <v>70.526171359348353</v>
      </c>
      <c r="AC464" s="134">
        <f t="shared" si="96"/>
        <v>64.704754071976339</v>
      </c>
      <c r="AD464" s="134">
        <f t="shared" si="96"/>
        <v>58.87089339180546</v>
      </c>
      <c r="AE464" s="134">
        <f t="shared" si="96"/>
        <v>53.024561587693491</v>
      </c>
      <c r="AF464" s="134">
        <f t="shared" si="96"/>
        <v>47.165730864213785</v>
      </c>
      <c r="AG464" s="134">
        <f t="shared" si="96"/>
        <v>41.294373361501037</v>
      </c>
      <c r="AH464" s="134">
        <f t="shared" si="96"/>
        <v>35.410461155096414</v>
      </c>
      <c r="AI464" s="134">
        <f t="shared" si="96"/>
        <v>29.513966255792567</v>
      </c>
      <c r="AJ464" s="134">
        <f t="shared" si="96"/>
        <v>23.611173004634054</v>
      </c>
      <c r="AK464" s="134">
        <f t="shared" si="96"/>
        <v>17.70837975347554</v>
      </c>
      <c r="AL464" s="134">
        <f t="shared" si="96"/>
        <v>11.805586502317027</v>
      </c>
      <c r="AM464" s="134">
        <f t="shared" si="96"/>
        <v>5.9027932511585135</v>
      </c>
      <c r="AN464" s="134">
        <f t="shared" si="96"/>
        <v>0</v>
      </c>
      <c r="AO464" s="134">
        <f t="shared" si="96"/>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5">
      <c r="A465" s="102"/>
      <c r="B465" s="112" t="s">
        <v>132</v>
      </c>
      <c r="C465" s="135"/>
      <c r="D465" s="134">
        <f t="shared" si="96"/>
        <v>181.91595589965794</v>
      </c>
      <c r="E465" s="134">
        <f t="shared" si="96"/>
        <v>181.91595589965794</v>
      </c>
      <c r="F465" s="134">
        <f t="shared" si="96"/>
        <v>181.91595589965794</v>
      </c>
      <c r="G465" s="134">
        <f t="shared" si="96"/>
        <v>181.91595589965794</v>
      </c>
      <c r="H465" s="134">
        <f t="shared" si="96"/>
        <v>181.91595589965794</v>
      </c>
      <c r="I465" s="134">
        <f t="shared" si="96"/>
        <v>181.91595589965794</v>
      </c>
      <c r="J465" s="134">
        <f t="shared" si="96"/>
        <v>179.11788840488663</v>
      </c>
      <c r="K465" s="134">
        <f t="shared" si="96"/>
        <v>173.51578253214501</v>
      </c>
      <c r="L465" s="134">
        <f t="shared" si="96"/>
        <v>167.90172160837568</v>
      </c>
      <c r="M465" s="134">
        <f t="shared" si="96"/>
        <v>162.27567903357152</v>
      </c>
      <c r="N465" s="134">
        <f t="shared" si="96"/>
        <v>156.63762814615677</v>
      </c>
      <c r="O465" s="134">
        <f t="shared" si="96"/>
        <v>150.98754222283992</v>
      </c>
      <c r="P465" s="134">
        <f t="shared" si="96"/>
        <v>145.32539447846483</v>
      </c>
      <c r="Q465" s="134">
        <f t="shared" si="96"/>
        <v>139.65115806586277</v>
      </c>
      <c r="R465" s="134">
        <f t="shared" si="96"/>
        <v>133.96480607570351</v>
      </c>
      <c r="S465" s="134">
        <f t="shared" si="96"/>
        <v>128.26631153634611</v>
      </c>
      <c r="T465" s="134">
        <f t="shared" si="96"/>
        <v>122.55564741368914</v>
      </c>
      <c r="U465" s="134">
        <f t="shared" si="96"/>
        <v>116.83278661102116</v>
      </c>
      <c r="V465" s="134">
        <f t="shared" si="96"/>
        <v>111.09770196887013</v>
      </c>
      <c r="W465" s="134">
        <f t="shared" si="96"/>
        <v>105.35036626485275</v>
      </c>
      <c r="X465" s="134">
        <f t="shared" si="96"/>
        <v>99.590752213523487</v>
      </c>
      <c r="Y465" s="134">
        <f t="shared" si="96"/>
        <v>93.818832466223057</v>
      </c>
      <c r="Z465" s="134">
        <f t="shared" si="96"/>
        <v>88.034579610926727</v>
      </c>
      <c r="AA465" s="134">
        <f t="shared" si="96"/>
        <v>82.237966172092186</v>
      </c>
      <c r="AB465" s="134">
        <f t="shared" si="96"/>
        <v>76.428964610506867</v>
      </c>
      <c r="AC465" s="134">
        <f t="shared" si="96"/>
        <v>70.607547323134852</v>
      </c>
      <c r="AD465" s="134">
        <f t="shared" si="96"/>
        <v>64.77368664296398</v>
      </c>
      <c r="AE465" s="134">
        <f t="shared" si="96"/>
        <v>58.927354838852004</v>
      </c>
      <c r="AF465" s="134">
        <f t="shared" si="96"/>
        <v>53.068524115372298</v>
      </c>
      <c r="AG465" s="134">
        <f t="shared" si="96"/>
        <v>47.197166612659551</v>
      </c>
      <c r="AH465" s="134">
        <f t="shared" si="96"/>
        <v>41.313254406254927</v>
      </c>
      <c r="AI465" s="134">
        <f t="shared" si="96"/>
        <v>35.416759506951081</v>
      </c>
      <c r="AJ465" s="134">
        <f t="shared" si="96"/>
        <v>29.513966255792567</v>
      </c>
      <c r="AK465" s="134">
        <f t="shared" si="96"/>
        <v>23.611173004634054</v>
      </c>
      <c r="AL465" s="134">
        <f t="shared" si="96"/>
        <v>17.70837975347554</v>
      </c>
      <c r="AM465" s="134">
        <f t="shared" si="96"/>
        <v>11.805586502317027</v>
      </c>
      <c r="AN465" s="134">
        <f t="shared" si="96"/>
        <v>5.9027932511585135</v>
      </c>
      <c r="AO465" s="134">
        <f t="shared" si="96"/>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5" x14ac:dyDescent="0.3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5" x14ac:dyDescent="0.45">
      <c r="B467" s="2" t="s">
        <v>232</v>
      </c>
    </row>
    <row r="468" spans="1:95" ht="14.5" x14ac:dyDescent="0.3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5" x14ac:dyDescent="0.35">
      <c r="B469" s="5" t="s">
        <v>233</v>
      </c>
    </row>
    <row r="470" spans="1:95" ht="15" customHeight="1" x14ac:dyDescent="0.35">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5">
      <c r="A471" s="102"/>
      <c r="B471" s="114"/>
      <c r="C471" s="49" t="s">
        <v>94</v>
      </c>
      <c r="D471" s="70" t="s">
        <v>95</v>
      </c>
      <c r="E471" s="108" t="s">
        <v>96</v>
      </c>
      <c r="F471" s="108" t="s">
        <v>97</v>
      </c>
      <c r="G471" s="108" t="s">
        <v>98</v>
      </c>
      <c r="H471" s="108" t="s">
        <v>99</v>
      </c>
      <c r="I471" s="108" t="s">
        <v>100</v>
      </c>
      <c r="J471" s="108" t="s">
        <v>101</v>
      </c>
      <c r="K471" s="108" t="s">
        <v>102</v>
      </c>
      <c r="L471" s="108" t="s">
        <v>103</v>
      </c>
      <c r="M471" s="108" t="s">
        <v>104</v>
      </c>
      <c r="N471" s="108" t="s">
        <v>105</v>
      </c>
      <c r="O471" s="108" t="s">
        <v>106</v>
      </c>
      <c r="P471" s="108" t="s">
        <v>107</v>
      </c>
      <c r="Q471" s="108" t="s">
        <v>108</v>
      </c>
      <c r="R471" s="108" t="s">
        <v>109</v>
      </c>
      <c r="S471" s="108" t="s">
        <v>110</v>
      </c>
      <c r="T471" s="108" t="s">
        <v>111</v>
      </c>
      <c r="U471" s="108" t="s">
        <v>112</v>
      </c>
      <c r="V471" s="108" t="s">
        <v>113</v>
      </c>
      <c r="W471" s="108" t="s">
        <v>114</v>
      </c>
      <c r="X471" s="108" t="s">
        <v>115</v>
      </c>
      <c r="Y471" s="108" t="s">
        <v>116</v>
      </c>
      <c r="Z471" s="108" t="s">
        <v>117</v>
      </c>
      <c r="AA471" s="108" t="s">
        <v>118</v>
      </c>
      <c r="AB471" s="108" t="s">
        <v>119</v>
      </c>
      <c r="AC471" s="108" t="s">
        <v>120</v>
      </c>
      <c r="AD471" s="108" t="s">
        <v>121</v>
      </c>
      <c r="AE471" s="108" t="s">
        <v>122</v>
      </c>
      <c r="AF471" s="108" t="s">
        <v>123</v>
      </c>
      <c r="AG471" s="108" t="s">
        <v>124</v>
      </c>
      <c r="AH471" s="108" t="s">
        <v>125</v>
      </c>
      <c r="AI471" s="108" t="s">
        <v>126</v>
      </c>
      <c r="AJ471" s="108" t="s">
        <v>127</v>
      </c>
      <c r="AK471" s="108" t="s">
        <v>128</v>
      </c>
      <c r="AL471" s="108" t="s">
        <v>129</v>
      </c>
      <c r="AM471" s="108" t="s">
        <v>130</v>
      </c>
      <c r="AN471" s="108" t="s">
        <v>131</v>
      </c>
      <c r="AO471" s="108" t="s">
        <v>132</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5">
      <c r="A472" s="102"/>
      <c r="B472" s="49" t="s">
        <v>133</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5">
      <c r="A473" s="102"/>
      <c r="B473" s="68" t="s">
        <v>95</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5">
      <c r="A474" s="102"/>
      <c r="B474" s="112" t="s">
        <v>96</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5">
      <c r="A475" s="102"/>
      <c r="B475" s="112" t="s">
        <v>97</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5">
      <c r="A476" s="102"/>
      <c r="B476" s="112" t="s">
        <v>98</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5">
      <c r="A477" s="102"/>
      <c r="B477" s="112" t="s">
        <v>99</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5">
      <c r="A478" s="102"/>
      <c r="B478" s="112" t="s">
        <v>100</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5">
      <c r="A479" s="102"/>
      <c r="B479" s="112" t="s">
        <v>101</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5">
      <c r="A480" s="102"/>
      <c r="B480" s="112" t="s">
        <v>102</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5">
      <c r="A481" s="102"/>
      <c r="B481" s="112" t="s">
        <v>103</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5">
      <c r="A482" s="102"/>
      <c r="B482" s="112" t="s">
        <v>104</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5">
      <c r="A483" s="102"/>
      <c r="B483" s="112" t="s">
        <v>105</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5">
      <c r="A484" s="102"/>
      <c r="B484" s="112" t="s">
        <v>106</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5">
      <c r="A485" s="102"/>
      <c r="B485" s="112" t="s">
        <v>107</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5">
      <c r="A486" s="102"/>
      <c r="B486" s="112" t="s">
        <v>108</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5">
      <c r="A487" s="102"/>
      <c r="B487" s="112" t="s">
        <v>109</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5">
      <c r="A488" s="102"/>
      <c r="B488" s="112" t="s">
        <v>110</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5">
      <c r="A489" s="102"/>
      <c r="B489" s="112" t="s">
        <v>111</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5">
      <c r="A490" s="102"/>
      <c r="B490" s="112" t="s">
        <v>112</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5">
      <c r="A491" s="102"/>
      <c r="B491" s="112" t="s">
        <v>113</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5">
      <c r="A492" s="102"/>
      <c r="B492" s="112" t="s">
        <v>114</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5">
      <c r="A493" s="102"/>
      <c r="B493" s="112" t="s">
        <v>115</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5">
      <c r="A494" s="102"/>
      <c r="B494" s="112" t="s">
        <v>116</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5">
      <c r="A495" s="102"/>
      <c r="B495" s="112" t="s">
        <v>117</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5">
      <c r="A496" s="102"/>
      <c r="B496" s="112" t="s">
        <v>118</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5">
      <c r="A497" s="102"/>
      <c r="B497" s="112" t="s">
        <v>119</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5">
      <c r="A498" s="102"/>
      <c r="B498" s="112" t="s">
        <v>120</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5">
      <c r="A499" s="102"/>
      <c r="B499" s="112" t="s">
        <v>121</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5">
      <c r="A500" s="102"/>
      <c r="B500" s="112" t="s">
        <v>122</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5">
      <c r="A501" s="102"/>
      <c r="B501" s="112" t="s">
        <v>123</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5">
      <c r="A502" s="102"/>
      <c r="B502" s="112" t="s">
        <v>124</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5">
      <c r="A503" s="102"/>
      <c r="B503" s="112" t="s">
        <v>125</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5">
      <c r="A504" s="102"/>
      <c r="B504" s="112" t="s">
        <v>126</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5">
      <c r="A505" s="102"/>
      <c r="B505" s="112" t="s">
        <v>127</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5">
      <c r="A506" s="102"/>
      <c r="B506" s="112" t="s">
        <v>128</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5">
      <c r="A507" s="102"/>
      <c r="B507" s="112" t="s">
        <v>129</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5">
      <c r="A508" s="102"/>
      <c r="B508" s="112" t="s">
        <v>130</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5">
      <c r="A509" s="102"/>
      <c r="B509" s="112" t="s">
        <v>131</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5">
      <c r="A510" s="102"/>
      <c r="B510" s="112" t="s">
        <v>132</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5">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5">
      <c r="A512" s="102"/>
      <c r="B512" s="138" t="s">
        <v>234</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5">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5" x14ac:dyDescent="0.35">
      <c r="B514" s="5" t="s">
        <v>235</v>
      </c>
    </row>
    <row r="515" spans="1:95" ht="15" customHeight="1" x14ac:dyDescent="0.35">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5">
      <c r="A516" s="102"/>
      <c r="B516" s="114"/>
      <c r="C516" s="49" t="s">
        <v>94</v>
      </c>
      <c r="D516" s="70" t="s">
        <v>95</v>
      </c>
      <c r="E516" s="108" t="s">
        <v>96</v>
      </c>
      <c r="F516" s="108" t="s">
        <v>97</v>
      </c>
      <c r="G516" s="108" t="s">
        <v>98</v>
      </c>
      <c r="H516" s="108" t="s">
        <v>99</v>
      </c>
      <c r="I516" s="108" t="s">
        <v>100</v>
      </c>
      <c r="J516" s="108" t="s">
        <v>101</v>
      </c>
      <c r="K516" s="108" t="s">
        <v>102</v>
      </c>
      <c r="L516" s="108" t="s">
        <v>103</v>
      </c>
      <c r="M516" s="108" t="s">
        <v>104</v>
      </c>
      <c r="N516" s="108" t="s">
        <v>105</v>
      </c>
      <c r="O516" s="108" t="s">
        <v>106</v>
      </c>
      <c r="P516" s="108" t="s">
        <v>107</v>
      </c>
      <c r="Q516" s="108" t="s">
        <v>108</v>
      </c>
      <c r="R516" s="108" t="s">
        <v>109</v>
      </c>
      <c r="S516" s="108" t="s">
        <v>110</v>
      </c>
      <c r="T516" s="108" t="s">
        <v>111</v>
      </c>
      <c r="U516" s="108" t="s">
        <v>112</v>
      </c>
      <c r="V516" s="108" t="s">
        <v>113</v>
      </c>
      <c r="W516" s="108" t="s">
        <v>114</v>
      </c>
      <c r="X516" s="108" t="s">
        <v>115</v>
      </c>
      <c r="Y516" s="108" t="s">
        <v>116</v>
      </c>
      <c r="Z516" s="108" t="s">
        <v>117</v>
      </c>
      <c r="AA516" s="108" t="s">
        <v>118</v>
      </c>
      <c r="AB516" s="108" t="s">
        <v>119</v>
      </c>
      <c r="AC516" s="108" t="s">
        <v>120</v>
      </c>
      <c r="AD516" s="108" t="s">
        <v>121</v>
      </c>
      <c r="AE516" s="108" t="s">
        <v>122</v>
      </c>
      <c r="AF516" s="108" t="s">
        <v>123</v>
      </c>
      <c r="AG516" s="108" t="s">
        <v>124</v>
      </c>
      <c r="AH516" s="108" t="s">
        <v>125</v>
      </c>
      <c r="AI516" s="108" t="s">
        <v>126</v>
      </c>
      <c r="AJ516" s="108" t="s">
        <v>127</v>
      </c>
      <c r="AK516" s="108" t="s">
        <v>128</v>
      </c>
      <c r="AL516" s="108" t="s">
        <v>129</v>
      </c>
      <c r="AM516" s="108" t="s">
        <v>130</v>
      </c>
      <c r="AN516" s="108" t="s">
        <v>131</v>
      </c>
      <c r="AO516" s="108" t="s">
        <v>132</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5">
      <c r="A517" s="102"/>
      <c r="B517" s="49" t="s">
        <v>133</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5">
      <c r="A518" s="102"/>
      <c r="B518" s="68" t="s">
        <v>95</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5">
      <c r="A519" s="102"/>
      <c r="B519" s="112" t="s">
        <v>96</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5">
      <c r="A520" s="102"/>
      <c r="B520" s="112" t="s">
        <v>97</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5">
      <c r="A521" s="102"/>
      <c r="B521" s="112" t="s">
        <v>98</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5">
      <c r="A522" s="102"/>
      <c r="B522" s="112" t="s">
        <v>99</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5">
      <c r="A523" s="102"/>
      <c r="B523" s="112" t="s">
        <v>100</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5">
      <c r="A524" s="102"/>
      <c r="B524" s="112" t="s">
        <v>101</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5">
      <c r="A525" s="102"/>
      <c r="B525" s="112" t="s">
        <v>102</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5">
      <c r="A526" s="102"/>
      <c r="B526" s="112" t="s">
        <v>103</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5">
      <c r="A527" s="102"/>
      <c r="B527" s="112" t="s">
        <v>104</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5">
      <c r="A528" s="102"/>
      <c r="B528" s="112" t="s">
        <v>105</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5">
      <c r="A529" s="102"/>
      <c r="B529" s="112" t="s">
        <v>106</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5">
      <c r="A530" s="102"/>
      <c r="B530" s="112" t="s">
        <v>107</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5">
      <c r="A531" s="102"/>
      <c r="B531" s="112" t="s">
        <v>108</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5">
      <c r="A532" s="102"/>
      <c r="B532" s="112" t="s">
        <v>109</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5">
      <c r="A533" s="102"/>
      <c r="B533" s="112" t="s">
        <v>110</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5">
      <c r="A534" s="102"/>
      <c r="B534" s="112" t="s">
        <v>111</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5">
      <c r="A535" s="102"/>
      <c r="B535" s="112" t="s">
        <v>112</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5">
      <c r="A536" s="102"/>
      <c r="B536" s="112" t="s">
        <v>113</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5">
      <c r="A537" s="102"/>
      <c r="B537" s="112" t="s">
        <v>114</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5">
      <c r="A538" s="102"/>
      <c r="B538" s="112" t="s">
        <v>115</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5">
      <c r="A539" s="102"/>
      <c r="B539" s="112" t="s">
        <v>116</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5">
      <c r="A540" s="102"/>
      <c r="B540" s="112" t="s">
        <v>117</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5">
      <c r="A541" s="102"/>
      <c r="B541" s="112" t="s">
        <v>118</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5">
      <c r="A542" s="102"/>
      <c r="B542" s="112" t="s">
        <v>119</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5">
      <c r="A543" s="102"/>
      <c r="B543" s="112" t="s">
        <v>120</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5">
      <c r="A544" s="102"/>
      <c r="B544" s="112" t="s">
        <v>121</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5">
      <c r="A545" s="102"/>
      <c r="B545" s="112" t="s">
        <v>122</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5">
      <c r="A546" s="102"/>
      <c r="B546" s="112" t="s">
        <v>123</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5">
      <c r="A547" s="102"/>
      <c r="B547" s="112" t="s">
        <v>124</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5">
      <c r="A548" s="102"/>
      <c r="B548" s="112" t="s">
        <v>125</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5">
      <c r="A549" s="102"/>
      <c r="B549" s="112" t="s">
        <v>126</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5">
      <c r="A550" s="102"/>
      <c r="B550" s="112" t="s">
        <v>127</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5">
      <c r="A551" s="102"/>
      <c r="B551" s="112" t="s">
        <v>128</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5">
      <c r="A552" s="102"/>
      <c r="B552" s="112" t="s">
        <v>129</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5">
      <c r="A553" s="102"/>
      <c r="B553" s="112" t="s">
        <v>130</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5">
      <c r="A554" s="102"/>
      <c r="B554" s="112" t="s">
        <v>131</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5">
      <c r="A555" s="102"/>
      <c r="B555" s="112" t="s">
        <v>132</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5">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5">
      <c r="A557" s="102"/>
      <c r="B557" s="138" t="s">
        <v>236</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5">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5">
      <c r="A559" s="102"/>
      <c r="B559" s="136" t="s">
        <v>237</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5" x14ac:dyDescent="0.3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5" x14ac:dyDescent="0.35">
      <c r="B561" s="5" t="s">
        <v>238</v>
      </c>
    </row>
    <row r="562" spans="1:95" ht="15" customHeight="1" x14ac:dyDescent="0.35">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5">
      <c r="A563" s="102"/>
      <c r="B563" s="114"/>
      <c r="C563" s="49" t="s">
        <v>94</v>
      </c>
      <c r="D563" s="70" t="s">
        <v>95</v>
      </c>
      <c r="E563" s="108" t="s">
        <v>96</v>
      </c>
      <c r="F563" s="108" t="s">
        <v>97</v>
      </c>
      <c r="G563" s="108" t="s">
        <v>98</v>
      </c>
      <c r="H563" s="108" t="s">
        <v>99</v>
      </c>
      <c r="I563" s="108" t="s">
        <v>100</v>
      </c>
      <c r="J563" s="108" t="s">
        <v>101</v>
      </c>
      <c r="K563" s="108" t="s">
        <v>102</v>
      </c>
      <c r="L563" s="108" t="s">
        <v>103</v>
      </c>
      <c r="M563" s="108" t="s">
        <v>104</v>
      </c>
      <c r="N563" s="108" t="s">
        <v>105</v>
      </c>
      <c r="O563" s="108" t="s">
        <v>106</v>
      </c>
      <c r="P563" s="108" t="s">
        <v>107</v>
      </c>
      <c r="Q563" s="108" t="s">
        <v>108</v>
      </c>
      <c r="R563" s="108" t="s">
        <v>109</v>
      </c>
      <c r="S563" s="108" t="s">
        <v>110</v>
      </c>
      <c r="T563" s="108" t="s">
        <v>111</v>
      </c>
      <c r="U563" s="108" t="s">
        <v>112</v>
      </c>
      <c r="V563" s="108" t="s">
        <v>113</v>
      </c>
      <c r="W563" s="108" t="s">
        <v>114</v>
      </c>
      <c r="X563" s="108" t="s">
        <v>115</v>
      </c>
      <c r="Y563" s="108" t="s">
        <v>116</v>
      </c>
      <c r="Z563" s="108" t="s">
        <v>117</v>
      </c>
      <c r="AA563" s="108" t="s">
        <v>118</v>
      </c>
      <c r="AB563" s="108" t="s">
        <v>119</v>
      </c>
      <c r="AC563" s="108" t="s">
        <v>120</v>
      </c>
      <c r="AD563" s="108" t="s">
        <v>121</v>
      </c>
      <c r="AE563" s="108" t="s">
        <v>122</v>
      </c>
      <c r="AF563" s="108" t="s">
        <v>123</v>
      </c>
      <c r="AG563" s="108" t="s">
        <v>124</v>
      </c>
      <c r="AH563" s="108" t="s">
        <v>125</v>
      </c>
      <c r="AI563" s="108" t="s">
        <v>126</v>
      </c>
      <c r="AJ563" s="108" t="s">
        <v>127</v>
      </c>
      <c r="AK563" s="108" t="s">
        <v>128</v>
      </c>
      <c r="AL563" s="108" t="s">
        <v>129</v>
      </c>
      <c r="AM563" s="108" t="s">
        <v>130</v>
      </c>
      <c r="AN563" s="108" t="s">
        <v>131</v>
      </c>
      <c r="AO563" s="108" t="s">
        <v>132</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5">
      <c r="A564" s="102"/>
      <c r="B564" s="49" t="s">
        <v>133</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5">
      <c r="A565" s="102"/>
      <c r="B565" s="68" t="s">
        <v>95</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5">
      <c r="A566" s="102"/>
      <c r="B566" s="112" t="s">
        <v>96</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5">
      <c r="A567" s="102"/>
      <c r="B567" s="112" t="s">
        <v>97</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5">
      <c r="A568" s="102"/>
      <c r="B568" s="112" t="s">
        <v>98</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5">
      <c r="A569" s="102"/>
      <c r="B569" s="112" t="s">
        <v>99</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5">
      <c r="A570" s="102"/>
      <c r="B570" s="112" t="s">
        <v>100</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5">
      <c r="A571" s="102"/>
      <c r="B571" s="112" t="s">
        <v>101</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5">
      <c r="A572" s="102"/>
      <c r="B572" s="112" t="s">
        <v>102</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5">
      <c r="A573" s="102"/>
      <c r="B573" s="112" t="s">
        <v>103</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5">
      <c r="A574" s="102"/>
      <c r="B574" s="112" t="s">
        <v>104</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5">
      <c r="A575" s="102"/>
      <c r="B575" s="112" t="s">
        <v>105</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5">
      <c r="A576" s="102"/>
      <c r="B576" s="112" t="s">
        <v>106</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5">
      <c r="A577" s="102"/>
      <c r="B577" s="112" t="s">
        <v>107</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5">
      <c r="A578" s="102"/>
      <c r="B578" s="112" t="s">
        <v>108</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5">
      <c r="A579" s="102"/>
      <c r="B579" s="112" t="s">
        <v>109</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5">
      <c r="A580" s="102"/>
      <c r="B580" s="112" t="s">
        <v>110</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5">
      <c r="A581" s="102"/>
      <c r="B581" s="112" t="s">
        <v>111</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5">
      <c r="A582" s="102"/>
      <c r="B582" s="112" t="s">
        <v>112</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5">
      <c r="A583" s="102"/>
      <c r="B583" s="112" t="s">
        <v>113</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5">
      <c r="A584" s="102"/>
      <c r="B584" s="112" t="s">
        <v>114</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5">
      <c r="A585" s="102"/>
      <c r="B585" s="112" t="s">
        <v>115</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5">
      <c r="A586" s="102"/>
      <c r="B586" s="112" t="s">
        <v>116</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5">
      <c r="A587" s="102"/>
      <c r="B587" s="112" t="s">
        <v>117</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5">
      <c r="A588" s="102"/>
      <c r="B588" s="112" t="s">
        <v>118</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5">
      <c r="A589" s="102"/>
      <c r="B589" s="112" t="s">
        <v>119</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5">
      <c r="A590" s="102"/>
      <c r="B590" s="112" t="s">
        <v>120</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5">
      <c r="A591" s="102"/>
      <c r="B591" s="112" t="s">
        <v>121</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5">
      <c r="A592" s="102"/>
      <c r="B592" s="112" t="s">
        <v>122</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5">
      <c r="A593" s="102"/>
      <c r="B593" s="112" t="s">
        <v>123</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5">
      <c r="A594" s="102"/>
      <c r="B594" s="112" t="s">
        <v>124</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5">
      <c r="A595" s="102"/>
      <c r="B595" s="112" t="s">
        <v>125</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5">
      <c r="A596" s="102"/>
      <c r="B596" s="112" t="s">
        <v>126</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5">
      <c r="A597" s="102"/>
      <c r="B597" s="112" t="s">
        <v>127</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5">
      <c r="A598" s="102"/>
      <c r="B598" s="112" t="s">
        <v>128</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5">
      <c r="A599" s="102"/>
      <c r="B599" s="112" t="s">
        <v>129</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5">
      <c r="A600" s="102"/>
      <c r="B600" s="112" t="s">
        <v>130</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5">
      <c r="A601" s="102"/>
      <c r="B601" s="112" t="s">
        <v>131</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5">
      <c r="A602" s="102"/>
      <c r="B602" s="112" t="s">
        <v>132</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5">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5">
      <c r="A604" s="102"/>
      <c r="B604" s="140" t="s">
        <v>239</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5">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5" x14ac:dyDescent="0.35">
      <c r="B606" s="5" t="s">
        <v>240</v>
      </c>
    </row>
    <row r="607" spans="1:95" ht="15" customHeight="1" x14ac:dyDescent="0.35">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5">
      <c r="A608" s="102"/>
      <c r="B608" s="114"/>
      <c r="C608" s="49" t="s">
        <v>94</v>
      </c>
      <c r="D608" s="70" t="s">
        <v>95</v>
      </c>
      <c r="E608" s="108" t="s">
        <v>96</v>
      </c>
      <c r="F608" s="108" t="s">
        <v>97</v>
      </c>
      <c r="G608" s="108" t="s">
        <v>98</v>
      </c>
      <c r="H608" s="108" t="s">
        <v>99</v>
      </c>
      <c r="I608" s="108" t="s">
        <v>100</v>
      </c>
      <c r="J608" s="108" t="s">
        <v>101</v>
      </c>
      <c r="K608" s="108" t="s">
        <v>102</v>
      </c>
      <c r="L608" s="108" t="s">
        <v>103</v>
      </c>
      <c r="M608" s="108" t="s">
        <v>104</v>
      </c>
      <c r="N608" s="108" t="s">
        <v>105</v>
      </c>
      <c r="O608" s="108" t="s">
        <v>106</v>
      </c>
      <c r="P608" s="108" t="s">
        <v>107</v>
      </c>
      <c r="Q608" s="108" t="s">
        <v>108</v>
      </c>
      <c r="R608" s="108" t="s">
        <v>109</v>
      </c>
      <c r="S608" s="108" t="s">
        <v>110</v>
      </c>
      <c r="T608" s="108" t="s">
        <v>111</v>
      </c>
      <c r="U608" s="108" t="s">
        <v>112</v>
      </c>
      <c r="V608" s="108" t="s">
        <v>113</v>
      </c>
      <c r="W608" s="108" t="s">
        <v>114</v>
      </c>
      <c r="X608" s="108" t="s">
        <v>115</v>
      </c>
      <c r="Y608" s="108" t="s">
        <v>116</v>
      </c>
      <c r="Z608" s="108" t="s">
        <v>117</v>
      </c>
      <c r="AA608" s="108" t="s">
        <v>118</v>
      </c>
      <c r="AB608" s="108" t="s">
        <v>119</v>
      </c>
      <c r="AC608" s="108" t="s">
        <v>120</v>
      </c>
      <c r="AD608" s="108" t="s">
        <v>121</v>
      </c>
      <c r="AE608" s="108" t="s">
        <v>122</v>
      </c>
      <c r="AF608" s="108" t="s">
        <v>123</v>
      </c>
      <c r="AG608" s="108" t="s">
        <v>124</v>
      </c>
      <c r="AH608" s="108" t="s">
        <v>125</v>
      </c>
      <c r="AI608" s="108" t="s">
        <v>126</v>
      </c>
      <c r="AJ608" s="108" t="s">
        <v>127</v>
      </c>
      <c r="AK608" s="108" t="s">
        <v>128</v>
      </c>
      <c r="AL608" s="108" t="s">
        <v>129</v>
      </c>
      <c r="AM608" s="108" t="s">
        <v>130</v>
      </c>
      <c r="AN608" s="108" t="s">
        <v>131</v>
      </c>
      <c r="AO608" s="108" t="s">
        <v>132</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5">
      <c r="A609" s="102"/>
      <c r="B609" s="49" t="s">
        <v>133</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5">
      <c r="A610" s="102"/>
      <c r="B610" s="68" t="s">
        <v>95</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5">
      <c r="A611" s="102"/>
      <c r="B611" s="112" t="s">
        <v>96</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5">
      <c r="A612" s="102"/>
      <c r="B612" s="112" t="s">
        <v>97</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5">
      <c r="A613" s="102"/>
      <c r="B613" s="112" t="s">
        <v>98</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5">
      <c r="A614" s="102"/>
      <c r="B614" s="112" t="s">
        <v>99</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5">
      <c r="A615" s="102"/>
      <c r="B615" s="112" t="s">
        <v>100</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5">
      <c r="A616" s="102"/>
      <c r="B616" s="112" t="s">
        <v>101</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5">
      <c r="A617" s="102"/>
      <c r="B617" s="112" t="s">
        <v>102</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5">
      <c r="A618" s="102"/>
      <c r="B618" s="112" t="s">
        <v>103</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5">
      <c r="A619" s="102"/>
      <c r="B619" s="112" t="s">
        <v>104</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5">
      <c r="A620" s="102"/>
      <c r="B620" s="112" t="s">
        <v>105</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5">
      <c r="A621" s="102"/>
      <c r="B621" s="112" t="s">
        <v>106</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5">
      <c r="A622" s="102"/>
      <c r="B622" s="112" t="s">
        <v>107</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5">
      <c r="A623" s="102"/>
      <c r="B623" s="112" t="s">
        <v>108</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5">
      <c r="A624" s="102"/>
      <c r="B624" s="112" t="s">
        <v>109</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5">
      <c r="A625" s="102"/>
      <c r="B625" s="112" t="s">
        <v>110</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5">
      <c r="A626" s="102"/>
      <c r="B626" s="112" t="s">
        <v>111</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5">
      <c r="A627" s="102"/>
      <c r="B627" s="112" t="s">
        <v>112</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5">
      <c r="A628" s="102"/>
      <c r="B628" s="112" t="s">
        <v>113</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5">
      <c r="A629" s="102"/>
      <c r="B629" s="112" t="s">
        <v>114</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5">
      <c r="A630" s="102"/>
      <c r="B630" s="112" t="s">
        <v>115</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5">
      <c r="A631" s="102"/>
      <c r="B631" s="112" t="s">
        <v>116</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5">
      <c r="A632" s="102"/>
      <c r="B632" s="112" t="s">
        <v>117</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5">
      <c r="A633" s="102"/>
      <c r="B633" s="112" t="s">
        <v>118</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5">
      <c r="A634" s="102"/>
      <c r="B634" s="112" t="s">
        <v>119</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5">
      <c r="A635" s="102"/>
      <c r="B635" s="112" t="s">
        <v>120</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5">
      <c r="A636" s="102"/>
      <c r="B636" s="112" t="s">
        <v>121</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5">
      <c r="A637" s="102"/>
      <c r="B637" s="112" t="s">
        <v>122</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5">
      <c r="A638" s="102"/>
      <c r="B638" s="112" t="s">
        <v>123</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5">
      <c r="A639" s="102"/>
      <c r="B639" s="112" t="s">
        <v>124</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5">
      <c r="A640" s="102"/>
      <c r="B640" s="112" t="s">
        <v>125</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5">
      <c r="A641" s="102"/>
      <c r="B641" s="112" t="s">
        <v>126</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5">
      <c r="A642" s="102"/>
      <c r="B642" s="112" t="s">
        <v>127</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5">
      <c r="A643" s="102"/>
      <c r="B643" s="112" t="s">
        <v>128</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5">
      <c r="A644" s="102"/>
      <c r="B644" s="112" t="s">
        <v>129</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5">
      <c r="A645" s="102"/>
      <c r="B645" s="112" t="s">
        <v>130</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5">
      <c r="A646" s="102"/>
      <c r="B646" s="112" t="s">
        <v>131</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5">
      <c r="A647" s="102"/>
      <c r="B647" s="112" t="s">
        <v>132</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5">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5">
      <c r="A649" s="102"/>
      <c r="B649" s="140" t="s">
        <v>241</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5">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5">
      <c r="A651" s="102"/>
      <c r="B651" s="136" t="s">
        <v>242</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5" x14ac:dyDescent="0.3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5" x14ac:dyDescent="0.35">
      <c r="B653" s="5" t="s">
        <v>243</v>
      </c>
    </row>
    <row r="654" spans="1:95" ht="15" customHeight="1" x14ac:dyDescent="0.35">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5">
      <c r="A655" s="102"/>
      <c r="B655" s="114"/>
      <c r="C655" s="49" t="s">
        <v>94</v>
      </c>
      <c r="D655" s="70" t="s">
        <v>95</v>
      </c>
      <c r="E655" s="108" t="s">
        <v>96</v>
      </c>
      <c r="F655" s="108" t="s">
        <v>97</v>
      </c>
      <c r="G655" s="108" t="s">
        <v>98</v>
      </c>
      <c r="H655" s="108" t="s">
        <v>99</v>
      </c>
      <c r="I655" s="108" t="s">
        <v>100</v>
      </c>
      <c r="J655" s="108" t="s">
        <v>101</v>
      </c>
      <c r="K655" s="108" t="s">
        <v>102</v>
      </c>
      <c r="L655" s="108" t="s">
        <v>103</v>
      </c>
      <c r="M655" s="108" t="s">
        <v>104</v>
      </c>
      <c r="N655" s="108" t="s">
        <v>105</v>
      </c>
      <c r="O655" s="108" t="s">
        <v>106</v>
      </c>
      <c r="P655" s="108" t="s">
        <v>107</v>
      </c>
      <c r="Q655" s="108" t="s">
        <v>108</v>
      </c>
      <c r="R655" s="108" t="s">
        <v>109</v>
      </c>
      <c r="S655" s="108" t="s">
        <v>110</v>
      </c>
      <c r="T655" s="108" t="s">
        <v>111</v>
      </c>
      <c r="U655" s="108" t="s">
        <v>112</v>
      </c>
      <c r="V655" s="108" t="s">
        <v>113</v>
      </c>
      <c r="W655" s="108" t="s">
        <v>114</v>
      </c>
      <c r="X655" s="108" t="s">
        <v>115</v>
      </c>
      <c r="Y655" s="108" t="s">
        <v>116</v>
      </c>
      <c r="Z655" s="108" t="s">
        <v>117</v>
      </c>
      <c r="AA655" s="108" t="s">
        <v>118</v>
      </c>
      <c r="AB655" s="108" t="s">
        <v>119</v>
      </c>
      <c r="AC655" s="108" t="s">
        <v>120</v>
      </c>
      <c r="AD655" s="108" t="s">
        <v>121</v>
      </c>
      <c r="AE655" s="108" t="s">
        <v>122</v>
      </c>
      <c r="AF655" s="108" t="s">
        <v>123</v>
      </c>
      <c r="AG655" s="108" t="s">
        <v>124</v>
      </c>
      <c r="AH655" s="108" t="s">
        <v>125</v>
      </c>
      <c r="AI655" s="108" t="s">
        <v>126</v>
      </c>
      <c r="AJ655" s="108" t="s">
        <v>127</v>
      </c>
      <c r="AK655" s="108" t="s">
        <v>128</v>
      </c>
      <c r="AL655" s="108" t="s">
        <v>129</v>
      </c>
      <c r="AM655" s="108" t="s">
        <v>130</v>
      </c>
      <c r="AN655" s="108" t="s">
        <v>131</v>
      </c>
      <c r="AO655" s="108" t="s">
        <v>132</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5">
      <c r="A656" s="102"/>
      <c r="B656" s="49" t="s">
        <v>133</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5">
      <c r="A657" s="102"/>
      <c r="B657" s="68" t="s">
        <v>95</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5">
      <c r="A658" s="102"/>
      <c r="B658" s="112" t="s">
        <v>96</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5">
      <c r="A659" s="102"/>
      <c r="B659" s="112" t="s">
        <v>97</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5">
      <c r="A660" s="102"/>
      <c r="B660" s="112" t="s">
        <v>98</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5">
      <c r="A661" s="102"/>
      <c r="B661" s="112" t="s">
        <v>99</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5">
      <c r="A662" s="102"/>
      <c r="B662" s="112" t="s">
        <v>100</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5">
      <c r="A663" s="102"/>
      <c r="B663" s="112" t="s">
        <v>101</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5">
      <c r="A664" s="102"/>
      <c r="B664" s="112" t="s">
        <v>102</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5">
      <c r="A665" s="102"/>
      <c r="B665" s="112" t="s">
        <v>103</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5">
      <c r="A666" s="102"/>
      <c r="B666" s="112" t="s">
        <v>104</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5">
      <c r="A667" s="102"/>
      <c r="B667" s="112" t="s">
        <v>105</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5">
      <c r="A668" s="102"/>
      <c r="B668" s="112" t="s">
        <v>106</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5">
      <c r="A669" s="102"/>
      <c r="B669" s="112" t="s">
        <v>107</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5">
      <c r="A670" s="102"/>
      <c r="B670" s="112" t="s">
        <v>108</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5">
      <c r="A671" s="102"/>
      <c r="B671" s="112" t="s">
        <v>109</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5">
      <c r="A672" s="102"/>
      <c r="B672" s="112" t="s">
        <v>110</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5">
      <c r="A673" s="102"/>
      <c r="B673" s="112" t="s">
        <v>111</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5">
      <c r="A674" s="102"/>
      <c r="B674" s="112" t="s">
        <v>112</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5">
      <c r="A675" s="102"/>
      <c r="B675" s="112" t="s">
        <v>113</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5">
      <c r="A676" s="102"/>
      <c r="B676" s="112" t="s">
        <v>114</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5">
      <c r="A677" s="102"/>
      <c r="B677" s="112" t="s">
        <v>115</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5">
      <c r="A678" s="102"/>
      <c r="B678" s="112" t="s">
        <v>116</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5">
      <c r="A679" s="102"/>
      <c r="B679" s="112" t="s">
        <v>117</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5">
      <c r="A680" s="102"/>
      <c r="B680" s="112" t="s">
        <v>118</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5">
      <c r="A681" s="102"/>
      <c r="B681" s="112" t="s">
        <v>119</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5">
      <c r="A682" s="102"/>
      <c r="B682" s="112" t="s">
        <v>120</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5">
      <c r="A683" s="102"/>
      <c r="B683" s="112" t="s">
        <v>121</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5">
      <c r="A684" s="102"/>
      <c r="B684" s="112" t="s">
        <v>122</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5">
      <c r="A685" s="102"/>
      <c r="B685" s="112" t="s">
        <v>123</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5">
      <c r="A686" s="102"/>
      <c r="B686" s="112" t="s">
        <v>124</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5">
      <c r="A687" s="102"/>
      <c r="B687" s="112" t="s">
        <v>125</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5">
      <c r="A688" s="102"/>
      <c r="B688" s="112" t="s">
        <v>126</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5">
      <c r="A689" s="102"/>
      <c r="B689" s="112" t="s">
        <v>127</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5">
      <c r="A690" s="102"/>
      <c r="B690" s="112" t="s">
        <v>128</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5">
      <c r="A691" s="102"/>
      <c r="B691" s="112" t="s">
        <v>129</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5">
      <c r="A692" s="102"/>
      <c r="B692" s="112" t="s">
        <v>130</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5">
      <c r="A693" s="102"/>
      <c r="B693" s="112" t="s">
        <v>131</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5">
      <c r="A694" s="102"/>
      <c r="B694" s="112" t="s">
        <v>132</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5">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5">
      <c r="A696" s="102"/>
      <c r="B696" s="140" t="s">
        <v>244</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5">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5" x14ac:dyDescent="0.35">
      <c r="B698" s="5" t="s">
        <v>245</v>
      </c>
    </row>
    <row r="699" spans="1:95" ht="15" customHeight="1" x14ac:dyDescent="0.35">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5">
      <c r="A700" s="102"/>
      <c r="B700" s="114"/>
      <c r="C700" s="49" t="s">
        <v>94</v>
      </c>
      <c r="D700" s="70" t="s">
        <v>95</v>
      </c>
      <c r="E700" s="108" t="s">
        <v>96</v>
      </c>
      <c r="F700" s="108" t="s">
        <v>97</v>
      </c>
      <c r="G700" s="108" t="s">
        <v>98</v>
      </c>
      <c r="H700" s="108" t="s">
        <v>99</v>
      </c>
      <c r="I700" s="108" t="s">
        <v>100</v>
      </c>
      <c r="J700" s="108" t="s">
        <v>101</v>
      </c>
      <c r="K700" s="108" t="s">
        <v>102</v>
      </c>
      <c r="L700" s="108" t="s">
        <v>103</v>
      </c>
      <c r="M700" s="108" t="s">
        <v>104</v>
      </c>
      <c r="N700" s="108" t="s">
        <v>105</v>
      </c>
      <c r="O700" s="108" t="s">
        <v>106</v>
      </c>
      <c r="P700" s="108" t="s">
        <v>107</v>
      </c>
      <c r="Q700" s="108" t="s">
        <v>108</v>
      </c>
      <c r="R700" s="108" t="s">
        <v>109</v>
      </c>
      <c r="S700" s="108" t="s">
        <v>110</v>
      </c>
      <c r="T700" s="108" t="s">
        <v>111</v>
      </c>
      <c r="U700" s="108" t="s">
        <v>112</v>
      </c>
      <c r="V700" s="108" t="s">
        <v>113</v>
      </c>
      <c r="W700" s="108" t="s">
        <v>114</v>
      </c>
      <c r="X700" s="108" t="s">
        <v>115</v>
      </c>
      <c r="Y700" s="108" t="s">
        <v>116</v>
      </c>
      <c r="Z700" s="108" t="s">
        <v>117</v>
      </c>
      <c r="AA700" s="108" t="s">
        <v>118</v>
      </c>
      <c r="AB700" s="108" t="s">
        <v>119</v>
      </c>
      <c r="AC700" s="108" t="s">
        <v>120</v>
      </c>
      <c r="AD700" s="108" t="s">
        <v>121</v>
      </c>
      <c r="AE700" s="108" t="s">
        <v>122</v>
      </c>
      <c r="AF700" s="108" t="s">
        <v>123</v>
      </c>
      <c r="AG700" s="108" t="s">
        <v>124</v>
      </c>
      <c r="AH700" s="108" t="s">
        <v>125</v>
      </c>
      <c r="AI700" s="108" t="s">
        <v>126</v>
      </c>
      <c r="AJ700" s="108" t="s">
        <v>127</v>
      </c>
      <c r="AK700" s="108" t="s">
        <v>128</v>
      </c>
      <c r="AL700" s="108" t="s">
        <v>129</v>
      </c>
      <c r="AM700" s="108" t="s">
        <v>130</v>
      </c>
      <c r="AN700" s="108" t="s">
        <v>131</v>
      </c>
      <c r="AO700" s="108" t="s">
        <v>132</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5">
      <c r="A701" s="102"/>
      <c r="B701" s="49" t="s">
        <v>133</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5">
      <c r="A702" s="102"/>
      <c r="B702" s="68" t="s">
        <v>95</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5">
      <c r="A703" s="102"/>
      <c r="B703" s="112" t="s">
        <v>96</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5">
      <c r="A704" s="102"/>
      <c r="B704" s="112" t="s">
        <v>97</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5">
      <c r="A705" s="102"/>
      <c r="B705" s="112" t="s">
        <v>98</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5">
      <c r="A706" s="102"/>
      <c r="B706" s="112" t="s">
        <v>99</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5">
      <c r="A707" s="102"/>
      <c r="B707" s="112" t="s">
        <v>100</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5">
      <c r="A708" s="102"/>
      <c r="B708" s="112" t="s">
        <v>101</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5">
      <c r="A709" s="102"/>
      <c r="B709" s="112" t="s">
        <v>102</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5">
      <c r="A710" s="102"/>
      <c r="B710" s="112" t="s">
        <v>103</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5">
      <c r="A711" s="102"/>
      <c r="B711" s="112" t="s">
        <v>104</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5">
      <c r="A712" s="102"/>
      <c r="B712" s="112" t="s">
        <v>105</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5">
      <c r="A713" s="102"/>
      <c r="B713" s="112" t="s">
        <v>106</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5">
      <c r="A714" s="102"/>
      <c r="B714" s="112" t="s">
        <v>107</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5">
      <c r="A715" s="102"/>
      <c r="B715" s="112" t="s">
        <v>108</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5">
      <c r="A716" s="102"/>
      <c r="B716" s="112" t="s">
        <v>109</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5">
      <c r="A717" s="102"/>
      <c r="B717" s="112" t="s">
        <v>110</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5">
      <c r="A718" s="102"/>
      <c r="B718" s="112" t="s">
        <v>111</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5">
      <c r="A719" s="102"/>
      <c r="B719" s="112" t="s">
        <v>112</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5">
      <c r="A720" s="102"/>
      <c r="B720" s="112" t="s">
        <v>113</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5">
      <c r="A721" s="102"/>
      <c r="B721" s="112" t="s">
        <v>114</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5">
      <c r="A722" s="102"/>
      <c r="B722" s="112" t="s">
        <v>115</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5">
      <c r="A723" s="102"/>
      <c r="B723" s="112" t="s">
        <v>116</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5">
      <c r="A724" s="102"/>
      <c r="B724" s="112" t="s">
        <v>117</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5">
      <c r="A725" s="102"/>
      <c r="B725" s="112" t="s">
        <v>118</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5">
      <c r="A726" s="102"/>
      <c r="B726" s="112" t="s">
        <v>119</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5">
      <c r="A727" s="102"/>
      <c r="B727" s="112" t="s">
        <v>120</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5">
      <c r="A728" s="102"/>
      <c r="B728" s="112" t="s">
        <v>121</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5">
      <c r="A729" s="102"/>
      <c r="B729" s="112" t="s">
        <v>122</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5">
      <c r="A730" s="102"/>
      <c r="B730" s="112" t="s">
        <v>123</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5">
      <c r="A731" s="102"/>
      <c r="B731" s="112" t="s">
        <v>124</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5">
      <c r="A732" s="102"/>
      <c r="B732" s="112" t="s">
        <v>125</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5">
      <c r="A733" s="102"/>
      <c r="B733" s="112" t="s">
        <v>126</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5">
      <c r="A734" s="102"/>
      <c r="B734" s="112" t="s">
        <v>127</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5">
      <c r="A735" s="102"/>
      <c r="B735" s="112" t="s">
        <v>128</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5">
      <c r="A736" s="102"/>
      <c r="B736" s="112" t="s">
        <v>129</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5">
      <c r="A737" s="102"/>
      <c r="B737" s="112" t="s">
        <v>130</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5">
      <c r="A738" s="102"/>
      <c r="B738" s="112" t="s">
        <v>131</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5">
      <c r="A739" s="102"/>
      <c r="B739" s="112" t="s">
        <v>132</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5">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5">
      <c r="A741" s="102"/>
      <c r="B741" s="140" t="s">
        <v>246</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5">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5">
      <c r="A743" s="102"/>
      <c r="B743" s="136" t="s">
        <v>247</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5" x14ac:dyDescent="0.3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5" x14ac:dyDescent="0.35">
      <c r="B745" s="5" t="s">
        <v>248</v>
      </c>
    </row>
    <row r="746" spans="1:95" ht="15" customHeight="1" x14ac:dyDescent="0.35">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5">
      <c r="A747" s="102"/>
      <c r="B747" s="114"/>
      <c r="C747" s="49" t="s">
        <v>94</v>
      </c>
      <c r="D747" s="70" t="s">
        <v>95</v>
      </c>
      <c r="E747" s="108" t="s">
        <v>96</v>
      </c>
      <c r="F747" s="108" t="s">
        <v>97</v>
      </c>
      <c r="G747" s="108" t="s">
        <v>98</v>
      </c>
      <c r="H747" s="108" t="s">
        <v>99</v>
      </c>
      <c r="I747" s="108" t="s">
        <v>100</v>
      </c>
      <c r="J747" s="108" t="s">
        <v>101</v>
      </c>
      <c r="K747" s="108" t="s">
        <v>102</v>
      </c>
      <c r="L747" s="108" t="s">
        <v>103</v>
      </c>
      <c r="M747" s="108" t="s">
        <v>104</v>
      </c>
      <c r="N747" s="108" t="s">
        <v>105</v>
      </c>
      <c r="O747" s="108" t="s">
        <v>106</v>
      </c>
      <c r="P747" s="108" t="s">
        <v>107</v>
      </c>
      <c r="Q747" s="108" t="s">
        <v>108</v>
      </c>
      <c r="R747" s="108" t="s">
        <v>109</v>
      </c>
      <c r="S747" s="108" t="s">
        <v>110</v>
      </c>
      <c r="T747" s="108" t="s">
        <v>111</v>
      </c>
      <c r="U747" s="108" t="s">
        <v>112</v>
      </c>
      <c r="V747" s="108" t="s">
        <v>113</v>
      </c>
      <c r="W747" s="108" t="s">
        <v>114</v>
      </c>
      <c r="X747" s="108" t="s">
        <v>115</v>
      </c>
      <c r="Y747" s="108" t="s">
        <v>116</v>
      </c>
      <c r="Z747" s="108" t="s">
        <v>117</v>
      </c>
      <c r="AA747" s="108" t="s">
        <v>118</v>
      </c>
      <c r="AB747" s="108" t="s">
        <v>119</v>
      </c>
      <c r="AC747" s="108" t="s">
        <v>120</v>
      </c>
      <c r="AD747" s="108" t="s">
        <v>121</v>
      </c>
      <c r="AE747" s="108" t="s">
        <v>122</v>
      </c>
      <c r="AF747" s="108" t="s">
        <v>123</v>
      </c>
      <c r="AG747" s="108" t="s">
        <v>124</v>
      </c>
      <c r="AH747" s="108" t="s">
        <v>125</v>
      </c>
      <c r="AI747" s="108" t="s">
        <v>126</v>
      </c>
      <c r="AJ747" s="108" t="s">
        <v>127</v>
      </c>
      <c r="AK747" s="108" t="s">
        <v>128</v>
      </c>
      <c r="AL747" s="108" t="s">
        <v>129</v>
      </c>
      <c r="AM747" s="108" t="s">
        <v>130</v>
      </c>
      <c r="AN747" s="108" t="s">
        <v>131</v>
      </c>
      <c r="AO747" s="108" t="s">
        <v>132</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5">
      <c r="A748" s="102"/>
      <c r="B748" s="49" t="s">
        <v>133</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5">
      <c r="A749" s="102"/>
      <c r="B749" s="68" t="s">
        <v>95</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5">
      <c r="A750" s="102"/>
      <c r="B750" s="112" t="s">
        <v>96</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5">
      <c r="A751" s="102"/>
      <c r="B751" s="112" t="s">
        <v>97</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5">
      <c r="A752" s="102"/>
      <c r="B752" s="112" t="s">
        <v>98</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5">
      <c r="A753" s="102"/>
      <c r="B753" s="112" t="s">
        <v>99</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5">
      <c r="A754" s="102"/>
      <c r="B754" s="112" t="s">
        <v>100</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5">
      <c r="A755" s="102"/>
      <c r="B755" s="112" t="s">
        <v>101</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5">
      <c r="A756" s="102"/>
      <c r="B756" s="112" t="s">
        <v>102</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5">
      <c r="A757" s="102"/>
      <c r="B757" s="112" t="s">
        <v>103</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5">
      <c r="A758" s="102"/>
      <c r="B758" s="112" t="s">
        <v>104</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5">
      <c r="A759" s="102"/>
      <c r="B759" s="112" t="s">
        <v>105</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5">
      <c r="A760" s="102"/>
      <c r="B760" s="112" t="s">
        <v>106</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5">
      <c r="A761" s="102"/>
      <c r="B761" s="112" t="s">
        <v>107</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5">
      <c r="A762" s="102"/>
      <c r="B762" s="112" t="s">
        <v>108</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5">
      <c r="A763" s="102"/>
      <c r="B763" s="112" t="s">
        <v>109</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5">
      <c r="A764" s="102"/>
      <c r="B764" s="112" t="s">
        <v>110</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5">
      <c r="A765" s="102"/>
      <c r="B765" s="112" t="s">
        <v>111</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5">
      <c r="A766" s="102"/>
      <c r="B766" s="112" t="s">
        <v>112</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5">
      <c r="A767" s="102"/>
      <c r="B767" s="112" t="s">
        <v>113</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5">
      <c r="A768" s="102"/>
      <c r="B768" s="112" t="s">
        <v>114</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5">
      <c r="A769" s="102"/>
      <c r="B769" s="112" t="s">
        <v>115</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5">
      <c r="A770" s="102"/>
      <c r="B770" s="112" t="s">
        <v>116</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5">
      <c r="A771" s="102"/>
      <c r="B771" s="112" t="s">
        <v>117</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5">
      <c r="A772" s="102"/>
      <c r="B772" s="112" t="s">
        <v>118</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5">
      <c r="A773" s="102"/>
      <c r="B773" s="112" t="s">
        <v>119</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5">
      <c r="A774" s="102"/>
      <c r="B774" s="112" t="s">
        <v>120</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5">
      <c r="A775" s="102"/>
      <c r="B775" s="112" t="s">
        <v>121</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5">
      <c r="A776" s="102"/>
      <c r="B776" s="112" t="s">
        <v>122</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5">
      <c r="A777" s="102"/>
      <c r="B777" s="112" t="s">
        <v>123</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5">
      <c r="A778" s="102"/>
      <c r="B778" s="112" t="s">
        <v>124</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5">
      <c r="A779" s="102"/>
      <c r="B779" s="112" t="s">
        <v>125</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5">
      <c r="A780" s="102"/>
      <c r="B780" s="112" t="s">
        <v>126</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5">
      <c r="A781" s="102"/>
      <c r="B781" s="112" t="s">
        <v>127</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5">
      <c r="A782" s="102"/>
      <c r="B782" s="112" t="s">
        <v>128</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5">
      <c r="A783" s="102"/>
      <c r="B783" s="112" t="s">
        <v>129</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5">
      <c r="A784" s="102"/>
      <c r="B784" s="112" t="s">
        <v>130</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5">
      <c r="A785" s="102"/>
      <c r="B785" s="112" t="s">
        <v>131</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5">
      <c r="A786" s="102"/>
      <c r="B786" s="112" t="s">
        <v>132</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5">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5">
      <c r="A788" s="102"/>
      <c r="B788" s="140" t="s">
        <v>249</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5">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5" x14ac:dyDescent="0.35">
      <c r="B790" s="5" t="s">
        <v>250</v>
      </c>
    </row>
    <row r="791" spans="1:95" ht="15" customHeight="1" x14ac:dyDescent="0.35">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5">
      <c r="A792" s="102"/>
      <c r="B792" s="114"/>
      <c r="C792" s="49" t="s">
        <v>94</v>
      </c>
      <c r="D792" s="70" t="s">
        <v>95</v>
      </c>
      <c r="E792" s="108" t="s">
        <v>96</v>
      </c>
      <c r="F792" s="108" t="s">
        <v>97</v>
      </c>
      <c r="G792" s="108" t="s">
        <v>98</v>
      </c>
      <c r="H792" s="108" t="s">
        <v>99</v>
      </c>
      <c r="I792" s="108" t="s">
        <v>100</v>
      </c>
      <c r="J792" s="108" t="s">
        <v>101</v>
      </c>
      <c r="K792" s="108" t="s">
        <v>102</v>
      </c>
      <c r="L792" s="108" t="s">
        <v>103</v>
      </c>
      <c r="M792" s="108" t="s">
        <v>104</v>
      </c>
      <c r="N792" s="108" t="s">
        <v>105</v>
      </c>
      <c r="O792" s="108" t="s">
        <v>106</v>
      </c>
      <c r="P792" s="108" t="s">
        <v>107</v>
      </c>
      <c r="Q792" s="108" t="s">
        <v>108</v>
      </c>
      <c r="R792" s="108" t="s">
        <v>109</v>
      </c>
      <c r="S792" s="108" t="s">
        <v>110</v>
      </c>
      <c r="T792" s="108" t="s">
        <v>111</v>
      </c>
      <c r="U792" s="108" t="s">
        <v>112</v>
      </c>
      <c r="V792" s="108" t="s">
        <v>113</v>
      </c>
      <c r="W792" s="108" t="s">
        <v>114</v>
      </c>
      <c r="X792" s="108" t="s">
        <v>115</v>
      </c>
      <c r="Y792" s="108" t="s">
        <v>116</v>
      </c>
      <c r="Z792" s="108" t="s">
        <v>117</v>
      </c>
      <c r="AA792" s="108" t="s">
        <v>118</v>
      </c>
      <c r="AB792" s="108" t="s">
        <v>119</v>
      </c>
      <c r="AC792" s="108" t="s">
        <v>120</v>
      </c>
      <c r="AD792" s="108" t="s">
        <v>121</v>
      </c>
      <c r="AE792" s="108" t="s">
        <v>122</v>
      </c>
      <c r="AF792" s="108" t="s">
        <v>123</v>
      </c>
      <c r="AG792" s="108" t="s">
        <v>124</v>
      </c>
      <c r="AH792" s="108" t="s">
        <v>125</v>
      </c>
      <c r="AI792" s="108" t="s">
        <v>126</v>
      </c>
      <c r="AJ792" s="108" t="s">
        <v>127</v>
      </c>
      <c r="AK792" s="108" t="s">
        <v>128</v>
      </c>
      <c r="AL792" s="108" t="s">
        <v>129</v>
      </c>
      <c r="AM792" s="108" t="s">
        <v>130</v>
      </c>
      <c r="AN792" s="108" t="s">
        <v>131</v>
      </c>
      <c r="AO792" s="108" t="s">
        <v>132</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5">
      <c r="A793" s="102"/>
      <c r="B793" s="49" t="s">
        <v>133</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5">
      <c r="A794" s="102"/>
      <c r="B794" s="68" t="s">
        <v>95</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5">
      <c r="A795" s="102"/>
      <c r="B795" s="112" t="s">
        <v>96</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5">
      <c r="A796" s="102"/>
      <c r="B796" s="112" t="s">
        <v>97</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5">
      <c r="A797" s="102"/>
      <c r="B797" s="112" t="s">
        <v>98</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5">
      <c r="A798" s="102"/>
      <c r="B798" s="112" t="s">
        <v>99</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5">
      <c r="A799" s="102"/>
      <c r="B799" s="112" t="s">
        <v>100</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5">
      <c r="A800" s="102"/>
      <c r="B800" s="112" t="s">
        <v>101</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5">
      <c r="A801" s="102"/>
      <c r="B801" s="112" t="s">
        <v>102</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5">
      <c r="A802" s="102"/>
      <c r="B802" s="112" t="s">
        <v>103</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5">
      <c r="A803" s="102"/>
      <c r="B803" s="112" t="s">
        <v>104</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5">
      <c r="A804" s="102"/>
      <c r="B804" s="112" t="s">
        <v>105</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5">
      <c r="A805" s="102"/>
      <c r="B805" s="112" t="s">
        <v>106</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5">
      <c r="A806" s="102"/>
      <c r="B806" s="112" t="s">
        <v>107</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5">
      <c r="A807" s="102"/>
      <c r="B807" s="112" t="s">
        <v>108</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5">
      <c r="A808" s="102"/>
      <c r="B808" s="112" t="s">
        <v>109</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5">
      <c r="A809" s="102"/>
      <c r="B809" s="112" t="s">
        <v>110</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5">
      <c r="A810" s="102"/>
      <c r="B810" s="112" t="s">
        <v>111</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5">
      <c r="A811" s="102"/>
      <c r="B811" s="112" t="s">
        <v>112</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5">
      <c r="A812" s="102"/>
      <c r="B812" s="112" t="s">
        <v>113</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5">
      <c r="A813" s="102"/>
      <c r="B813" s="112" t="s">
        <v>114</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5">
      <c r="A814" s="102"/>
      <c r="B814" s="112" t="s">
        <v>115</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5">
      <c r="A815" s="102"/>
      <c r="B815" s="112" t="s">
        <v>116</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5">
      <c r="A816" s="102"/>
      <c r="B816" s="112" t="s">
        <v>117</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5">
      <c r="A817" s="102"/>
      <c r="B817" s="112" t="s">
        <v>118</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5">
      <c r="A818" s="102"/>
      <c r="B818" s="112" t="s">
        <v>119</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5">
      <c r="A819" s="102"/>
      <c r="B819" s="112" t="s">
        <v>120</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5">
      <c r="A820" s="102"/>
      <c r="B820" s="112" t="s">
        <v>121</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5">
      <c r="A821" s="102"/>
      <c r="B821" s="112" t="s">
        <v>122</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5">
      <c r="A822" s="102"/>
      <c r="B822" s="112" t="s">
        <v>123</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5">
      <c r="A823" s="102"/>
      <c r="B823" s="112" t="s">
        <v>124</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5">
      <c r="A824" s="102"/>
      <c r="B824" s="112" t="s">
        <v>125</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5">
      <c r="A825" s="102"/>
      <c r="B825" s="112" t="s">
        <v>126</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5">
      <c r="A826" s="102"/>
      <c r="B826" s="112" t="s">
        <v>127</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5">
      <c r="A827" s="102"/>
      <c r="B827" s="112" t="s">
        <v>128</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5">
      <c r="A828" s="102"/>
      <c r="B828" s="112" t="s">
        <v>129</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5">
      <c r="A829" s="102"/>
      <c r="B829" s="112" t="s">
        <v>130</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5">
      <c r="A830" s="102"/>
      <c r="B830" s="112" t="s">
        <v>131</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5">
      <c r="A831" s="102"/>
      <c r="B831" s="112" t="s">
        <v>132</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5">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5">
      <c r="A833" s="102"/>
      <c r="B833" s="140" t="s">
        <v>251</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5">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5">
      <c r="A835" s="102"/>
      <c r="B835" s="136" t="s">
        <v>252</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5" x14ac:dyDescent="0.3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5" x14ac:dyDescent="0.35">
      <c r="B837" s="5" t="s">
        <v>253</v>
      </c>
    </row>
    <row r="838" spans="1:95" ht="15" customHeight="1" x14ac:dyDescent="0.35">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5">
      <c r="A839" s="102"/>
      <c r="B839" s="114"/>
      <c r="C839" s="49" t="s">
        <v>94</v>
      </c>
      <c r="D839" s="70" t="s">
        <v>95</v>
      </c>
      <c r="E839" s="108" t="s">
        <v>96</v>
      </c>
      <c r="F839" s="108" t="s">
        <v>97</v>
      </c>
      <c r="G839" s="108" t="s">
        <v>98</v>
      </c>
      <c r="H839" s="108" t="s">
        <v>99</v>
      </c>
      <c r="I839" s="108" t="s">
        <v>100</v>
      </c>
      <c r="J839" s="108" t="s">
        <v>101</v>
      </c>
      <c r="K839" s="108" t="s">
        <v>102</v>
      </c>
      <c r="L839" s="108" t="s">
        <v>103</v>
      </c>
      <c r="M839" s="108" t="s">
        <v>104</v>
      </c>
      <c r="N839" s="108" t="s">
        <v>105</v>
      </c>
      <c r="O839" s="108" t="s">
        <v>106</v>
      </c>
      <c r="P839" s="108" t="s">
        <v>107</v>
      </c>
      <c r="Q839" s="108" t="s">
        <v>108</v>
      </c>
      <c r="R839" s="108" t="s">
        <v>109</v>
      </c>
      <c r="S839" s="108" t="s">
        <v>110</v>
      </c>
      <c r="T839" s="108" t="s">
        <v>111</v>
      </c>
      <c r="U839" s="108" t="s">
        <v>112</v>
      </c>
      <c r="V839" s="108" t="s">
        <v>113</v>
      </c>
      <c r="W839" s="108" t="s">
        <v>114</v>
      </c>
      <c r="X839" s="108" t="s">
        <v>115</v>
      </c>
      <c r="Y839" s="108" t="s">
        <v>116</v>
      </c>
      <c r="Z839" s="108" t="s">
        <v>117</v>
      </c>
      <c r="AA839" s="108" t="s">
        <v>118</v>
      </c>
      <c r="AB839" s="108" t="s">
        <v>119</v>
      </c>
      <c r="AC839" s="108" t="s">
        <v>120</v>
      </c>
      <c r="AD839" s="108" t="s">
        <v>121</v>
      </c>
      <c r="AE839" s="108" t="s">
        <v>122</v>
      </c>
      <c r="AF839" s="108" t="s">
        <v>123</v>
      </c>
      <c r="AG839" s="108" t="s">
        <v>124</v>
      </c>
      <c r="AH839" s="108" t="s">
        <v>125</v>
      </c>
      <c r="AI839" s="108" t="s">
        <v>126</v>
      </c>
      <c r="AJ839" s="108" t="s">
        <v>127</v>
      </c>
      <c r="AK839" s="108" t="s">
        <v>128</v>
      </c>
      <c r="AL839" s="108" t="s">
        <v>129</v>
      </c>
      <c r="AM839" s="108" t="s">
        <v>130</v>
      </c>
      <c r="AN839" s="108" t="s">
        <v>131</v>
      </c>
      <c r="AO839" s="108" t="s">
        <v>132</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5">
      <c r="A840" s="102"/>
      <c r="B840" s="49" t="s">
        <v>133</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5">
      <c r="A841" s="102"/>
      <c r="B841" s="68" t="s">
        <v>95</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5">
      <c r="A842" s="102"/>
      <c r="B842" s="112" t="s">
        <v>96</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5">
      <c r="A843" s="102"/>
      <c r="B843" s="112" t="s">
        <v>97</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5">
      <c r="A844" s="102"/>
      <c r="B844" s="112" t="s">
        <v>98</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5">
      <c r="A845" s="102"/>
      <c r="B845" s="112" t="s">
        <v>99</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5">
      <c r="A846" s="102"/>
      <c r="B846" s="112" t="s">
        <v>100</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5">
      <c r="A847" s="102"/>
      <c r="B847" s="112" t="s">
        <v>101</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5">
      <c r="A848" s="102"/>
      <c r="B848" s="112" t="s">
        <v>102</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5">
      <c r="A849" s="102"/>
      <c r="B849" s="112" t="s">
        <v>103</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5">
      <c r="A850" s="102"/>
      <c r="B850" s="112" t="s">
        <v>104</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5">
      <c r="A851" s="102"/>
      <c r="B851" s="112" t="s">
        <v>105</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5">
      <c r="A852" s="102"/>
      <c r="B852" s="112" t="s">
        <v>106</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5">
      <c r="A853" s="102"/>
      <c r="B853" s="112" t="s">
        <v>107</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5">
      <c r="A854" s="102"/>
      <c r="B854" s="112" t="s">
        <v>108</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5">
      <c r="A855" s="102"/>
      <c r="B855" s="112" t="s">
        <v>109</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5">
      <c r="A856" s="102"/>
      <c r="B856" s="112" t="s">
        <v>110</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5">
      <c r="A857" s="102"/>
      <c r="B857" s="112" t="s">
        <v>111</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5">
      <c r="A858" s="102"/>
      <c r="B858" s="112" t="s">
        <v>112</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5">
      <c r="A859" s="102"/>
      <c r="B859" s="112" t="s">
        <v>113</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5">
      <c r="A860" s="102"/>
      <c r="B860" s="112" t="s">
        <v>114</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5">
      <c r="A861" s="102"/>
      <c r="B861" s="112" t="s">
        <v>115</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5">
      <c r="A862" s="102"/>
      <c r="B862" s="112" t="s">
        <v>116</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5">
      <c r="A863" s="102"/>
      <c r="B863" s="112" t="s">
        <v>117</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5">
      <c r="A864" s="102"/>
      <c r="B864" s="112" t="s">
        <v>118</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5">
      <c r="A865" s="102"/>
      <c r="B865" s="112" t="s">
        <v>119</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5">
      <c r="A866" s="102"/>
      <c r="B866" s="112" t="s">
        <v>120</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5">
      <c r="A867" s="102"/>
      <c r="B867" s="112" t="s">
        <v>121</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5">
      <c r="A868" s="102"/>
      <c r="B868" s="112" t="s">
        <v>122</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5">
      <c r="A869" s="102"/>
      <c r="B869" s="112" t="s">
        <v>123</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5">
      <c r="A870" s="102"/>
      <c r="B870" s="112" t="s">
        <v>124</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5">
      <c r="A871" s="102"/>
      <c r="B871" s="112" t="s">
        <v>125</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5">
      <c r="A872" s="102"/>
      <c r="B872" s="112" t="s">
        <v>126</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5">
      <c r="A873" s="102"/>
      <c r="B873" s="112" t="s">
        <v>127</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5">
      <c r="A874" s="102"/>
      <c r="B874" s="112" t="s">
        <v>128</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5">
      <c r="A875" s="102"/>
      <c r="B875" s="112" t="s">
        <v>129</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5">
      <c r="A876" s="102"/>
      <c r="B876" s="112" t="s">
        <v>130</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5">
      <c r="A877" s="102"/>
      <c r="B877" s="112" t="s">
        <v>131</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5">
      <c r="A878" s="102"/>
      <c r="B878" s="112" t="s">
        <v>132</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5">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5">
      <c r="A880" s="102"/>
      <c r="B880" s="140" t="s">
        <v>254</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5">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5" x14ac:dyDescent="0.35">
      <c r="B882" s="5" t="s">
        <v>255</v>
      </c>
    </row>
    <row r="883" spans="1:95" ht="15" customHeight="1" x14ac:dyDescent="0.35">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5">
      <c r="A884" s="102"/>
      <c r="B884" s="114"/>
      <c r="C884" s="49" t="s">
        <v>94</v>
      </c>
      <c r="D884" s="70" t="s">
        <v>95</v>
      </c>
      <c r="E884" s="108" t="s">
        <v>96</v>
      </c>
      <c r="F884" s="108" t="s">
        <v>97</v>
      </c>
      <c r="G884" s="108" t="s">
        <v>98</v>
      </c>
      <c r="H884" s="108" t="s">
        <v>99</v>
      </c>
      <c r="I884" s="108" t="s">
        <v>100</v>
      </c>
      <c r="J884" s="108" t="s">
        <v>101</v>
      </c>
      <c r="K884" s="108" t="s">
        <v>102</v>
      </c>
      <c r="L884" s="108" t="s">
        <v>103</v>
      </c>
      <c r="M884" s="108" t="s">
        <v>104</v>
      </c>
      <c r="N884" s="108" t="s">
        <v>105</v>
      </c>
      <c r="O884" s="108" t="s">
        <v>106</v>
      </c>
      <c r="P884" s="108" t="s">
        <v>107</v>
      </c>
      <c r="Q884" s="108" t="s">
        <v>108</v>
      </c>
      <c r="R884" s="108" t="s">
        <v>109</v>
      </c>
      <c r="S884" s="108" t="s">
        <v>110</v>
      </c>
      <c r="T884" s="108" t="s">
        <v>111</v>
      </c>
      <c r="U884" s="108" t="s">
        <v>112</v>
      </c>
      <c r="V884" s="108" t="s">
        <v>113</v>
      </c>
      <c r="W884" s="108" t="s">
        <v>114</v>
      </c>
      <c r="X884" s="108" t="s">
        <v>115</v>
      </c>
      <c r="Y884" s="108" t="s">
        <v>116</v>
      </c>
      <c r="Z884" s="108" t="s">
        <v>117</v>
      </c>
      <c r="AA884" s="108" t="s">
        <v>118</v>
      </c>
      <c r="AB884" s="108" t="s">
        <v>119</v>
      </c>
      <c r="AC884" s="108" t="s">
        <v>120</v>
      </c>
      <c r="AD884" s="108" t="s">
        <v>121</v>
      </c>
      <c r="AE884" s="108" t="s">
        <v>122</v>
      </c>
      <c r="AF884" s="108" t="s">
        <v>123</v>
      </c>
      <c r="AG884" s="108" t="s">
        <v>124</v>
      </c>
      <c r="AH884" s="108" t="s">
        <v>125</v>
      </c>
      <c r="AI884" s="108" t="s">
        <v>126</v>
      </c>
      <c r="AJ884" s="108" t="s">
        <v>127</v>
      </c>
      <c r="AK884" s="108" t="s">
        <v>128</v>
      </c>
      <c r="AL884" s="108" t="s">
        <v>129</v>
      </c>
      <c r="AM884" s="108" t="s">
        <v>130</v>
      </c>
      <c r="AN884" s="108" t="s">
        <v>131</v>
      </c>
      <c r="AO884" s="108" t="s">
        <v>132</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5">
      <c r="A885" s="102"/>
      <c r="B885" s="49" t="s">
        <v>133</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5">
      <c r="A886" s="102"/>
      <c r="B886" s="68" t="s">
        <v>95</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5">
      <c r="A887" s="102"/>
      <c r="B887" s="112" t="s">
        <v>96</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5">
      <c r="A888" s="102"/>
      <c r="B888" s="112" t="s">
        <v>97</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5">
      <c r="A889" s="102"/>
      <c r="B889" s="112" t="s">
        <v>98</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5">
      <c r="A890" s="102"/>
      <c r="B890" s="112" t="s">
        <v>99</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5">
      <c r="A891" s="102"/>
      <c r="B891" s="112" t="s">
        <v>100</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5">
      <c r="A892" s="102"/>
      <c r="B892" s="112" t="s">
        <v>101</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5">
      <c r="A893" s="102"/>
      <c r="B893" s="112" t="s">
        <v>102</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5">
      <c r="A894" s="102"/>
      <c r="B894" s="112" t="s">
        <v>103</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5">
      <c r="A895" s="102"/>
      <c r="B895" s="112" t="s">
        <v>104</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5">
      <c r="A896" s="102"/>
      <c r="B896" s="112" t="s">
        <v>105</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5">
      <c r="A897" s="102"/>
      <c r="B897" s="112" t="s">
        <v>106</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5">
      <c r="A898" s="102"/>
      <c r="B898" s="112" t="s">
        <v>107</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5">
      <c r="A899" s="102"/>
      <c r="B899" s="112" t="s">
        <v>108</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5">
      <c r="A900" s="102"/>
      <c r="B900" s="112" t="s">
        <v>109</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5">
      <c r="A901" s="102"/>
      <c r="B901" s="112" t="s">
        <v>110</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5">
      <c r="A902" s="102"/>
      <c r="B902" s="112" t="s">
        <v>111</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5">
      <c r="A903" s="102"/>
      <c r="B903" s="112" t="s">
        <v>112</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5">
      <c r="A904" s="102"/>
      <c r="B904" s="112" t="s">
        <v>113</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5">
      <c r="A905" s="102"/>
      <c r="B905" s="112" t="s">
        <v>114</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5">
      <c r="A906" s="102"/>
      <c r="B906" s="112" t="s">
        <v>115</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5">
      <c r="A907" s="102"/>
      <c r="B907" s="112" t="s">
        <v>116</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5">
      <c r="A908" s="102"/>
      <c r="B908" s="112" t="s">
        <v>117</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5">
      <c r="A909" s="102"/>
      <c r="B909" s="112" t="s">
        <v>118</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5">
      <c r="A910" s="102"/>
      <c r="B910" s="112" t="s">
        <v>119</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5">
      <c r="A911" s="102"/>
      <c r="B911" s="112" t="s">
        <v>120</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5">
      <c r="A912" s="102"/>
      <c r="B912" s="112" t="s">
        <v>121</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5">
      <c r="A913" s="102"/>
      <c r="B913" s="112" t="s">
        <v>122</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5">
      <c r="A914" s="102"/>
      <c r="B914" s="112" t="s">
        <v>123</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5">
      <c r="A915" s="102"/>
      <c r="B915" s="112" t="s">
        <v>124</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5">
      <c r="A916" s="102"/>
      <c r="B916" s="112" t="s">
        <v>125</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5">
      <c r="A917" s="102"/>
      <c r="B917" s="112" t="s">
        <v>126</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5">
      <c r="A918" s="102"/>
      <c r="B918" s="112" t="s">
        <v>127</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5">
      <c r="A919" s="102"/>
      <c r="B919" s="112" t="s">
        <v>128</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5">
      <c r="A920" s="102"/>
      <c r="B920" s="112" t="s">
        <v>129</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5">
      <c r="A921" s="102"/>
      <c r="B921" s="112" t="s">
        <v>130</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5">
      <c r="A922" s="102"/>
      <c r="B922" s="112" t="s">
        <v>131</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5">
      <c r="A923" s="102"/>
      <c r="B923" s="112" t="s">
        <v>132</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5">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5">
      <c r="A925" s="102"/>
      <c r="B925" s="142" t="s">
        <v>256</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5">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5">
      <c r="A927" s="102"/>
      <c r="B927" s="142" t="s">
        <v>257</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5" x14ac:dyDescent="0.3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45">
      <c r="B929" s="2" t="s">
        <v>258</v>
      </c>
    </row>
    <row r="930" spans="1:95" ht="14.25" customHeight="1" x14ac:dyDescent="0.3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259</v>
      </c>
    </row>
    <row r="932" spans="1:95" ht="14.25" customHeight="1" x14ac:dyDescent="0.3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5">
      <c r="A933" s="102"/>
      <c r="B933" s="102" t="s">
        <v>67</v>
      </c>
      <c r="C933" s="11">
        <f>Opening_year_in</f>
        <v>2025</v>
      </c>
      <c r="D933" s="3" t="s">
        <v>260</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5">
      <c r="A934" s="102"/>
      <c r="B934" s="102" t="s">
        <v>67</v>
      </c>
      <c r="C934" s="102"/>
      <c r="D934" s="102">
        <f>(Opening_year=year)*1</f>
        <v>0</v>
      </c>
      <c r="E934" s="102">
        <f t="shared" ref="E934:AI934" si="97">(Opening_year=year)*1</f>
        <v>0</v>
      </c>
      <c r="F934" s="102">
        <f>(Opening_year=year)*1</f>
        <v>0</v>
      </c>
      <c r="G934" s="102">
        <f t="shared" si="97"/>
        <v>0</v>
      </c>
      <c r="H934" s="102">
        <f t="shared" si="97"/>
        <v>0</v>
      </c>
      <c r="I934" s="102">
        <f t="shared" si="97"/>
        <v>0</v>
      </c>
      <c r="J934" s="102">
        <f t="shared" si="97"/>
        <v>0</v>
      </c>
      <c r="K934" s="102">
        <f t="shared" si="97"/>
        <v>0</v>
      </c>
      <c r="L934" s="102">
        <f t="shared" si="97"/>
        <v>0</v>
      </c>
      <c r="M934" s="102">
        <f t="shared" si="97"/>
        <v>0</v>
      </c>
      <c r="N934" s="102">
        <f t="shared" si="97"/>
        <v>0</v>
      </c>
      <c r="O934" s="102">
        <f t="shared" si="97"/>
        <v>0</v>
      </c>
      <c r="P934" s="102">
        <f t="shared" si="97"/>
        <v>0</v>
      </c>
      <c r="Q934" s="102">
        <f t="shared" si="97"/>
        <v>0</v>
      </c>
      <c r="R934" s="102">
        <f t="shared" si="97"/>
        <v>0</v>
      </c>
      <c r="S934" s="102">
        <f t="shared" si="97"/>
        <v>1</v>
      </c>
      <c r="T934" s="102">
        <f t="shared" si="97"/>
        <v>0</v>
      </c>
      <c r="U934" s="102">
        <f t="shared" si="97"/>
        <v>0</v>
      </c>
      <c r="V934" s="102">
        <f t="shared" si="97"/>
        <v>0</v>
      </c>
      <c r="W934" s="102">
        <f t="shared" si="97"/>
        <v>0</v>
      </c>
      <c r="X934" s="102">
        <f t="shared" si="97"/>
        <v>0</v>
      </c>
      <c r="Y934" s="102">
        <f t="shared" si="97"/>
        <v>0</v>
      </c>
      <c r="Z934" s="102">
        <f t="shared" si="97"/>
        <v>0</v>
      </c>
      <c r="AA934" s="102">
        <f t="shared" si="97"/>
        <v>0</v>
      </c>
      <c r="AB934" s="102">
        <f t="shared" si="97"/>
        <v>0</v>
      </c>
      <c r="AC934" s="102">
        <f t="shared" si="97"/>
        <v>0</v>
      </c>
      <c r="AD934" s="102">
        <f t="shared" si="97"/>
        <v>0</v>
      </c>
      <c r="AE934" s="102">
        <f t="shared" si="97"/>
        <v>0</v>
      </c>
      <c r="AF934" s="102">
        <f t="shared" si="97"/>
        <v>0</v>
      </c>
      <c r="AG934" s="102">
        <f t="shared" si="97"/>
        <v>0</v>
      </c>
      <c r="AH934" s="102">
        <f t="shared" si="97"/>
        <v>0</v>
      </c>
      <c r="AI934" s="102">
        <f t="shared" si="97"/>
        <v>0</v>
      </c>
      <c r="AJ934" s="102">
        <f t="shared" ref="AJ934:BO934" si="98">(Opening_year=year)*1</f>
        <v>0</v>
      </c>
      <c r="AK934" s="102">
        <f t="shared" si="98"/>
        <v>0</v>
      </c>
      <c r="AL934" s="102">
        <f t="shared" si="98"/>
        <v>0</v>
      </c>
      <c r="AM934" s="102">
        <f t="shared" si="98"/>
        <v>0</v>
      </c>
      <c r="AN934" s="102">
        <f t="shared" si="98"/>
        <v>0</v>
      </c>
      <c r="AO934" s="102">
        <f t="shared" si="98"/>
        <v>0</v>
      </c>
      <c r="AP934" s="102">
        <f t="shared" si="98"/>
        <v>0</v>
      </c>
      <c r="AQ934" s="102">
        <f t="shared" si="98"/>
        <v>0</v>
      </c>
      <c r="AR934" s="102">
        <f t="shared" si="98"/>
        <v>0</v>
      </c>
      <c r="AS934" s="102">
        <f t="shared" si="98"/>
        <v>0</v>
      </c>
      <c r="AT934" s="102">
        <f t="shared" si="98"/>
        <v>0</v>
      </c>
      <c r="AU934" s="102">
        <f t="shared" si="98"/>
        <v>0</v>
      </c>
      <c r="AV934" s="102">
        <f t="shared" si="98"/>
        <v>0</v>
      </c>
      <c r="AW934" s="102">
        <f t="shared" si="98"/>
        <v>0</v>
      </c>
      <c r="AX934" s="102">
        <f t="shared" si="98"/>
        <v>0</v>
      </c>
      <c r="AY934" s="102">
        <f t="shared" si="98"/>
        <v>0</v>
      </c>
      <c r="AZ934" s="102">
        <f t="shared" si="98"/>
        <v>0</v>
      </c>
      <c r="BA934" s="102">
        <f t="shared" si="98"/>
        <v>0</v>
      </c>
      <c r="BB934" s="102">
        <f t="shared" si="98"/>
        <v>0</v>
      </c>
      <c r="BC934" s="102">
        <f t="shared" si="98"/>
        <v>0</v>
      </c>
      <c r="BD934" s="102">
        <f t="shared" si="98"/>
        <v>0</v>
      </c>
      <c r="BE934" s="102">
        <f t="shared" si="98"/>
        <v>0</v>
      </c>
      <c r="BF934" s="102">
        <f t="shared" si="98"/>
        <v>0</v>
      </c>
      <c r="BG934" s="102">
        <f t="shared" si="98"/>
        <v>0</v>
      </c>
      <c r="BH934" s="102">
        <f t="shared" si="98"/>
        <v>0</v>
      </c>
      <c r="BI934" s="102">
        <f t="shared" si="98"/>
        <v>0</v>
      </c>
      <c r="BJ934" s="102">
        <f t="shared" si="98"/>
        <v>0</v>
      </c>
      <c r="BK934" s="102">
        <f t="shared" si="98"/>
        <v>0</v>
      </c>
      <c r="BL934" s="102">
        <f t="shared" si="98"/>
        <v>0</v>
      </c>
      <c r="BM934" s="102">
        <f t="shared" si="98"/>
        <v>0</v>
      </c>
      <c r="BN934" s="102">
        <f t="shared" si="98"/>
        <v>0</v>
      </c>
      <c r="BO934" s="102">
        <f t="shared" si="98"/>
        <v>0</v>
      </c>
      <c r="BP934" s="102">
        <f t="shared" ref="BP934:CP934" si="99">(Opening_year=year)*1</f>
        <v>0</v>
      </c>
      <c r="BQ934" s="102">
        <f t="shared" si="99"/>
        <v>0</v>
      </c>
      <c r="BR934" s="102">
        <f t="shared" si="99"/>
        <v>0</v>
      </c>
      <c r="BS934" s="102">
        <f t="shared" si="99"/>
        <v>0</v>
      </c>
      <c r="BT934" s="102">
        <f t="shared" si="99"/>
        <v>0</v>
      </c>
      <c r="BU934" s="102">
        <f t="shared" si="99"/>
        <v>0</v>
      </c>
      <c r="BV934" s="102">
        <f t="shared" si="99"/>
        <v>0</v>
      </c>
      <c r="BW934" s="102">
        <f t="shared" si="99"/>
        <v>0</v>
      </c>
      <c r="BX934" s="102">
        <f t="shared" si="99"/>
        <v>0</v>
      </c>
      <c r="BY934" s="102">
        <f t="shared" si="99"/>
        <v>0</v>
      </c>
      <c r="BZ934" s="102">
        <f t="shared" si="99"/>
        <v>0</v>
      </c>
      <c r="CA934" s="102">
        <f t="shared" si="99"/>
        <v>0</v>
      </c>
      <c r="CB934" s="102">
        <f t="shared" si="99"/>
        <v>0</v>
      </c>
      <c r="CC934" s="102">
        <f t="shared" si="99"/>
        <v>0</v>
      </c>
      <c r="CD934" s="102">
        <f t="shared" si="99"/>
        <v>0</v>
      </c>
      <c r="CE934" s="102">
        <f t="shared" si="99"/>
        <v>0</v>
      </c>
      <c r="CF934" s="102">
        <f t="shared" si="99"/>
        <v>0</v>
      </c>
      <c r="CG934" s="102">
        <f t="shared" si="99"/>
        <v>0</v>
      </c>
      <c r="CH934" s="102">
        <f t="shared" si="99"/>
        <v>0</v>
      </c>
      <c r="CI934" s="102">
        <f t="shared" si="99"/>
        <v>0</v>
      </c>
      <c r="CJ934" s="102">
        <f t="shared" si="99"/>
        <v>0</v>
      </c>
      <c r="CK934" s="102">
        <f t="shared" si="99"/>
        <v>0</v>
      </c>
      <c r="CL934" s="102">
        <f t="shared" si="99"/>
        <v>0</v>
      </c>
      <c r="CM934" s="102">
        <f t="shared" si="99"/>
        <v>0</v>
      </c>
      <c r="CN934" s="102">
        <f t="shared" si="99"/>
        <v>0</v>
      </c>
      <c r="CO934" s="102">
        <f t="shared" si="99"/>
        <v>0</v>
      </c>
      <c r="CP934" s="102">
        <f t="shared" si="99"/>
        <v>0</v>
      </c>
      <c r="CQ934" s="3" t="s">
        <v>261</v>
      </c>
    </row>
    <row r="935" spans="1:95" ht="14.25" customHeight="1" x14ac:dyDescent="0.3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5">
      <c r="A936" s="102"/>
      <c r="B936" s="102" t="s">
        <v>69</v>
      </c>
      <c r="C936" s="11">
        <f>Forecast_year_in</f>
        <v>2030</v>
      </c>
      <c r="D936" s="3" t="s">
        <v>262</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5">
      <c r="A937" s="102"/>
      <c r="B937" s="102" t="s">
        <v>69</v>
      </c>
      <c r="C937" s="102"/>
      <c r="D937" s="102">
        <f t="shared" ref="D937:AI937" si="100">(Forecast_year=year)*1</f>
        <v>0</v>
      </c>
      <c r="E937" s="102">
        <f t="shared" si="100"/>
        <v>0</v>
      </c>
      <c r="F937" s="102">
        <f t="shared" si="100"/>
        <v>0</v>
      </c>
      <c r="G937" s="102">
        <f>(Forecast_year=year)*1</f>
        <v>0</v>
      </c>
      <c r="H937" s="102">
        <f t="shared" si="100"/>
        <v>0</v>
      </c>
      <c r="I937" s="102">
        <f t="shared" si="100"/>
        <v>0</v>
      </c>
      <c r="J937" s="102">
        <f t="shared" si="100"/>
        <v>0</v>
      </c>
      <c r="K937" s="102">
        <f t="shared" si="100"/>
        <v>0</v>
      </c>
      <c r="L937" s="102">
        <f t="shared" si="100"/>
        <v>0</v>
      </c>
      <c r="M937" s="102">
        <f t="shared" si="100"/>
        <v>0</v>
      </c>
      <c r="N937" s="102">
        <f t="shared" si="100"/>
        <v>0</v>
      </c>
      <c r="O937" s="102">
        <f t="shared" si="100"/>
        <v>0</v>
      </c>
      <c r="P937" s="102">
        <f t="shared" si="100"/>
        <v>0</v>
      </c>
      <c r="Q937" s="102">
        <f t="shared" si="100"/>
        <v>0</v>
      </c>
      <c r="R937" s="102">
        <f t="shared" si="100"/>
        <v>0</v>
      </c>
      <c r="S937" s="102">
        <f t="shared" si="100"/>
        <v>0</v>
      </c>
      <c r="T937" s="102">
        <f t="shared" si="100"/>
        <v>0</v>
      </c>
      <c r="U937" s="102">
        <f t="shared" si="100"/>
        <v>0</v>
      </c>
      <c r="V937" s="102">
        <f t="shared" si="100"/>
        <v>0</v>
      </c>
      <c r="W937" s="102">
        <f t="shared" si="100"/>
        <v>0</v>
      </c>
      <c r="X937" s="102">
        <f t="shared" si="100"/>
        <v>1</v>
      </c>
      <c r="Y937" s="102">
        <f t="shared" si="100"/>
        <v>0</v>
      </c>
      <c r="Z937" s="102">
        <f t="shared" si="100"/>
        <v>0</v>
      </c>
      <c r="AA937" s="102">
        <f t="shared" si="100"/>
        <v>0</v>
      </c>
      <c r="AB937" s="102">
        <f t="shared" si="100"/>
        <v>0</v>
      </c>
      <c r="AC937" s="102">
        <f t="shared" si="100"/>
        <v>0</v>
      </c>
      <c r="AD937" s="102">
        <f t="shared" si="100"/>
        <v>0</v>
      </c>
      <c r="AE937" s="102">
        <f t="shared" si="100"/>
        <v>0</v>
      </c>
      <c r="AF937" s="102">
        <f t="shared" si="100"/>
        <v>0</v>
      </c>
      <c r="AG937" s="102">
        <f t="shared" si="100"/>
        <v>0</v>
      </c>
      <c r="AH937" s="102">
        <f t="shared" si="100"/>
        <v>0</v>
      </c>
      <c r="AI937" s="102">
        <f t="shared" si="100"/>
        <v>0</v>
      </c>
      <c r="AJ937" s="102">
        <f t="shared" ref="AJ937:BO937" si="101">(Forecast_year=year)*1</f>
        <v>0</v>
      </c>
      <c r="AK937" s="102">
        <f t="shared" si="101"/>
        <v>0</v>
      </c>
      <c r="AL937" s="102">
        <f t="shared" si="101"/>
        <v>0</v>
      </c>
      <c r="AM937" s="102">
        <f t="shared" si="101"/>
        <v>0</v>
      </c>
      <c r="AN937" s="102">
        <f t="shared" si="101"/>
        <v>0</v>
      </c>
      <c r="AO937" s="102">
        <f t="shared" si="101"/>
        <v>0</v>
      </c>
      <c r="AP937" s="102">
        <f t="shared" si="101"/>
        <v>0</v>
      </c>
      <c r="AQ937" s="102">
        <f t="shared" si="101"/>
        <v>0</v>
      </c>
      <c r="AR937" s="102">
        <f t="shared" si="101"/>
        <v>0</v>
      </c>
      <c r="AS937" s="102">
        <f t="shared" si="101"/>
        <v>0</v>
      </c>
      <c r="AT937" s="102">
        <f t="shared" si="101"/>
        <v>0</v>
      </c>
      <c r="AU937" s="102">
        <f t="shared" si="101"/>
        <v>0</v>
      </c>
      <c r="AV937" s="102">
        <f t="shared" si="101"/>
        <v>0</v>
      </c>
      <c r="AW937" s="102">
        <f t="shared" si="101"/>
        <v>0</v>
      </c>
      <c r="AX937" s="102">
        <f t="shared" si="101"/>
        <v>0</v>
      </c>
      <c r="AY937" s="102">
        <f t="shared" si="101"/>
        <v>0</v>
      </c>
      <c r="AZ937" s="102">
        <f t="shared" si="101"/>
        <v>0</v>
      </c>
      <c r="BA937" s="102">
        <f t="shared" si="101"/>
        <v>0</v>
      </c>
      <c r="BB937" s="102">
        <f t="shared" si="101"/>
        <v>0</v>
      </c>
      <c r="BC937" s="102">
        <f t="shared" si="101"/>
        <v>0</v>
      </c>
      <c r="BD937" s="102">
        <f t="shared" si="101"/>
        <v>0</v>
      </c>
      <c r="BE937" s="102">
        <f t="shared" si="101"/>
        <v>0</v>
      </c>
      <c r="BF937" s="102">
        <f t="shared" si="101"/>
        <v>0</v>
      </c>
      <c r="BG937" s="102">
        <f t="shared" si="101"/>
        <v>0</v>
      </c>
      <c r="BH937" s="102">
        <f t="shared" si="101"/>
        <v>0</v>
      </c>
      <c r="BI937" s="102">
        <f t="shared" si="101"/>
        <v>0</v>
      </c>
      <c r="BJ937" s="102">
        <f t="shared" si="101"/>
        <v>0</v>
      </c>
      <c r="BK937" s="102">
        <f t="shared" si="101"/>
        <v>0</v>
      </c>
      <c r="BL937" s="102">
        <f t="shared" si="101"/>
        <v>0</v>
      </c>
      <c r="BM937" s="102">
        <f t="shared" si="101"/>
        <v>0</v>
      </c>
      <c r="BN937" s="102">
        <f t="shared" si="101"/>
        <v>0</v>
      </c>
      <c r="BO937" s="102">
        <f t="shared" si="101"/>
        <v>0</v>
      </c>
      <c r="BP937" s="102">
        <f t="shared" ref="BP937:CP937" si="102">(Forecast_year=year)*1</f>
        <v>0</v>
      </c>
      <c r="BQ937" s="102">
        <f t="shared" si="102"/>
        <v>0</v>
      </c>
      <c r="BR937" s="102">
        <f t="shared" si="102"/>
        <v>0</v>
      </c>
      <c r="BS937" s="102">
        <f t="shared" si="102"/>
        <v>0</v>
      </c>
      <c r="BT937" s="102">
        <f t="shared" si="102"/>
        <v>0</v>
      </c>
      <c r="BU937" s="102">
        <f t="shared" si="102"/>
        <v>0</v>
      </c>
      <c r="BV937" s="102">
        <f t="shared" si="102"/>
        <v>0</v>
      </c>
      <c r="BW937" s="102">
        <f t="shared" si="102"/>
        <v>0</v>
      </c>
      <c r="BX937" s="102">
        <f t="shared" si="102"/>
        <v>0</v>
      </c>
      <c r="BY937" s="102">
        <f t="shared" si="102"/>
        <v>0</v>
      </c>
      <c r="BZ937" s="102">
        <f t="shared" si="102"/>
        <v>0</v>
      </c>
      <c r="CA937" s="102">
        <f t="shared" si="102"/>
        <v>0</v>
      </c>
      <c r="CB937" s="102">
        <f t="shared" si="102"/>
        <v>0</v>
      </c>
      <c r="CC937" s="102">
        <f t="shared" si="102"/>
        <v>0</v>
      </c>
      <c r="CD937" s="102">
        <f t="shared" si="102"/>
        <v>0</v>
      </c>
      <c r="CE937" s="102">
        <f t="shared" si="102"/>
        <v>0</v>
      </c>
      <c r="CF937" s="102">
        <f t="shared" si="102"/>
        <v>0</v>
      </c>
      <c r="CG937" s="102">
        <f t="shared" si="102"/>
        <v>0</v>
      </c>
      <c r="CH937" s="102">
        <f t="shared" si="102"/>
        <v>0</v>
      </c>
      <c r="CI937" s="102">
        <f t="shared" si="102"/>
        <v>0</v>
      </c>
      <c r="CJ937" s="102">
        <f t="shared" si="102"/>
        <v>0</v>
      </c>
      <c r="CK937" s="102">
        <f t="shared" si="102"/>
        <v>0</v>
      </c>
      <c r="CL937" s="102">
        <f t="shared" si="102"/>
        <v>0</v>
      </c>
      <c r="CM937" s="102">
        <f t="shared" si="102"/>
        <v>0</v>
      </c>
      <c r="CN937" s="102">
        <f t="shared" si="102"/>
        <v>0</v>
      </c>
      <c r="CO937" s="102">
        <f t="shared" si="102"/>
        <v>0</v>
      </c>
      <c r="CP937" s="102">
        <f t="shared" si="102"/>
        <v>0</v>
      </c>
      <c r="CQ937" s="3" t="s">
        <v>263</v>
      </c>
    </row>
    <row r="938" spans="1:95" ht="14.25" customHeight="1" x14ac:dyDescent="0.3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5">
      <c r="A939" s="102"/>
      <c r="B939" s="102" t="s">
        <v>264</v>
      </c>
      <c r="C939" s="102">
        <f>Forecast_year-Opening_year</f>
        <v>5</v>
      </c>
      <c r="D939" s="3" t="s">
        <v>265</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5">
      <c r="A940" s="102"/>
      <c r="B940" s="104" t="s">
        <v>266</v>
      </c>
      <c r="C940" s="102">
        <f>Appraisal_period_length_in</f>
        <v>60</v>
      </c>
      <c r="D940" s="3" t="s">
        <v>267</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5">
      <c r="A942" s="102"/>
      <c r="B942" s="102" t="s">
        <v>268</v>
      </c>
      <c r="C942" s="102"/>
      <c r="D942" s="102">
        <f>AND(Opening_year&lt;year,Forecast_year&gt;year)*1</f>
        <v>0</v>
      </c>
      <c r="E942" s="102">
        <f t="shared" ref="E942:AI942" si="103">AND(Opening_year&lt;year,Forecast_year&gt;year)*1</f>
        <v>0</v>
      </c>
      <c r="F942" s="102">
        <f t="shared" si="103"/>
        <v>0</v>
      </c>
      <c r="G942" s="102">
        <f t="shared" si="103"/>
        <v>0</v>
      </c>
      <c r="H942" s="102">
        <f t="shared" si="103"/>
        <v>0</v>
      </c>
      <c r="I942" s="102">
        <f t="shared" si="103"/>
        <v>0</v>
      </c>
      <c r="J942" s="102">
        <f t="shared" si="103"/>
        <v>0</v>
      </c>
      <c r="K942" s="102">
        <f t="shared" si="103"/>
        <v>0</v>
      </c>
      <c r="L942" s="102">
        <f t="shared" si="103"/>
        <v>0</v>
      </c>
      <c r="M942" s="102">
        <f t="shared" si="103"/>
        <v>0</v>
      </c>
      <c r="N942" s="102">
        <f t="shared" si="103"/>
        <v>0</v>
      </c>
      <c r="O942" s="102">
        <f t="shared" si="103"/>
        <v>0</v>
      </c>
      <c r="P942" s="102">
        <f t="shared" si="103"/>
        <v>0</v>
      </c>
      <c r="Q942" s="102">
        <f t="shared" si="103"/>
        <v>0</v>
      </c>
      <c r="R942" s="102">
        <f t="shared" si="103"/>
        <v>0</v>
      </c>
      <c r="S942" s="102">
        <f t="shared" si="103"/>
        <v>0</v>
      </c>
      <c r="T942" s="102">
        <f t="shared" si="103"/>
        <v>1</v>
      </c>
      <c r="U942" s="102">
        <f t="shared" si="103"/>
        <v>1</v>
      </c>
      <c r="V942" s="102">
        <f t="shared" si="103"/>
        <v>1</v>
      </c>
      <c r="W942" s="102">
        <f t="shared" si="103"/>
        <v>1</v>
      </c>
      <c r="X942" s="102">
        <f t="shared" si="103"/>
        <v>0</v>
      </c>
      <c r="Y942" s="102">
        <f t="shared" si="103"/>
        <v>0</v>
      </c>
      <c r="Z942" s="102">
        <f t="shared" si="103"/>
        <v>0</v>
      </c>
      <c r="AA942" s="102">
        <f t="shared" si="103"/>
        <v>0</v>
      </c>
      <c r="AB942" s="102">
        <f t="shared" si="103"/>
        <v>0</v>
      </c>
      <c r="AC942" s="102">
        <f t="shared" si="103"/>
        <v>0</v>
      </c>
      <c r="AD942" s="102">
        <f t="shared" si="103"/>
        <v>0</v>
      </c>
      <c r="AE942" s="102">
        <f t="shared" si="103"/>
        <v>0</v>
      </c>
      <c r="AF942" s="102">
        <f t="shared" si="103"/>
        <v>0</v>
      </c>
      <c r="AG942" s="102">
        <f t="shared" si="103"/>
        <v>0</v>
      </c>
      <c r="AH942" s="102">
        <f t="shared" si="103"/>
        <v>0</v>
      </c>
      <c r="AI942" s="102">
        <f t="shared" si="103"/>
        <v>0</v>
      </c>
      <c r="AJ942" s="102">
        <f t="shared" ref="AJ942:BO942" si="104">AND(Opening_year&lt;year,Forecast_year&gt;year)*1</f>
        <v>0</v>
      </c>
      <c r="AK942" s="102">
        <f t="shared" si="104"/>
        <v>0</v>
      </c>
      <c r="AL942" s="102">
        <f t="shared" si="104"/>
        <v>0</v>
      </c>
      <c r="AM942" s="102">
        <f t="shared" si="104"/>
        <v>0</v>
      </c>
      <c r="AN942" s="102">
        <f t="shared" si="104"/>
        <v>0</v>
      </c>
      <c r="AO942" s="102">
        <f t="shared" si="104"/>
        <v>0</v>
      </c>
      <c r="AP942" s="102">
        <f t="shared" si="104"/>
        <v>0</v>
      </c>
      <c r="AQ942" s="102">
        <f t="shared" si="104"/>
        <v>0</v>
      </c>
      <c r="AR942" s="102">
        <f t="shared" si="104"/>
        <v>0</v>
      </c>
      <c r="AS942" s="102">
        <f t="shared" si="104"/>
        <v>0</v>
      </c>
      <c r="AT942" s="102">
        <f t="shared" si="104"/>
        <v>0</v>
      </c>
      <c r="AU942" s="102">
        <f t="shared" si="104"/>
        <v>0</v>
      </c>
      <c r="AV942" s="102">
        <f t="shared" si="104"/>
        <v>0</v>
      </c>
      <c r="AW942" s="102">
        <f t="shared" si="104"/>
        <v>0</v>
      </c>
      <c r="AX942" s="102">
        <f t="shared" si="104"/>
        <v>0</v>
      </c>
      <c r="AY942" s="102">
        <f t="shared" si="104"/>
        <v>0</v>
      </c>
      <c r="AZ942" s="102">
        <f t="shared" si="104"/>
        <v>0</v>
      </c>
      <c r="BA942" s="102">
        <f t="shared" si="104"/>
        <v>0</v>
      </c>
      <c r="BB942" s="102">
        <f t="shared" si="104"/>
        <v>0</v>
      </c>
      <c r="BC942" s="102">
        <f t="shared" si="104"/>
        <v>0</v>
      </c>
      <c r="BD942" s="102">
        <f t="shared" si="104"/>
        <v>0</v>
      </c>
      <c r="BE942" s="102">
        <f t="shared" si="104"/>
        <v>0</v>
      </c>
      <c r="BF942" s="102">
        <f t="shared" si="104"/>
        <v>0</v>
      </c>
      <c r="BG942" s="102">
        <f t="shared" si="104"/>
        <v>0</v>
      </c>
      <c r="BH942" s="102">
        <f t="shared" si="104"/>
        <v>0</v>
      </c>
      <c r="BI942" s="102">
        <f t="shared" si="104"/>
        <v>0</v>
      </c>
      <c r="BJ942" s="102">
        <f t="shared" si="104"/>
        <v>0</v>
      </c>
      <c r="BK942" s="102">
        <f t="shared" si="104"/>
        <v>0</v>
      </c>
      <c r="BL942" s="102">
        <f t="shared" si="104"/>
        <v>0</v>
      </c>
      <c r="BM942" s="102">
        <f t="shared" si="104"/>
        <v>0</v>
      </c>
      <c r="BN942" s="102">
        <f t="shared" si="104"/>
        <v>0</v>
      </c>
      <c r="BO942" s="102">
        <f t="shared" si="104"/>
        <v>0</v>
      </c>
      <c r="BP942" s="102">
        <f t="shared" ref="BP942:CP942" si="105">AND(Opening_year&lt;year,Forecast_year&gt;year)*1</f>
        <v>0</v>
      </c>
      <c r="BQ942" s="102">
        <f t="shared" si="105"/>
        <v>0</v>
      </c>
      <c r="BR942" s="102">
        <f t="shared" si="105"/>
        <v>0</v>
      </c>
      <c r="BS942" s="102">
        <f t="shared" si="105"/>
        <v>0</v>
      </c>
      <c r="BT942" s="102">
        <f t="shared" si="105"/>
        <v>0</v>
      </c>
      <c r="BU942" s="102">
        <f t="shared" si="105"/>
        <v>0</v>
      </c>
      <c r="BV942" s="102">
        <f t="shared" si="105"/>
        <v>0</v>
      </c>
      <c r="BW942" s="102">
        <f t="shared" si="105"/>
        <v>0</v>
      </c>
      <c r="BX942" s="102">
        <f t="shared" si="105"/>
        <v>0</v>
      </c>
      <c r="BY942" s="102">
        <f t="shared" si="105"/>
        <v>0</v>
      </c>
      <c r="BZ942" s="102">
        <f t="shared" si="105"/>
        <v>0</v>
      </c>
      <c r="CA942" s="102">
        <f t="shared" si="105"/>
        <v>0</v>
      </c>
      <c r="CB942" s="102">
        <f t="shared" si="105"/>
        <v>0</v>
      </c>
      <c r="CC942" s="102">
        <f t="shared" si="105"/>
        <v>0</v>
      </c>
      <c r="CD942" s="102">
        <f t="shared" si="105"/>
        <v>0</v>
      </c>
      <c r="CE942" s="102">
        <f t="shared" si="105"/>
        <v>0</v>
      </c>
      <c r="CF942" s="102">
        <f t="shared" si="105"/>
        <v>0</v>
      </c>
      <c r="CG942" s="102">
        <f t="shared" si="105"/>
        <v>0</v>
      </c>
      <c r="CH942" s="102">
        <f t="shared" si="105"/>
        <v>0</v>
      </c>
      <c r="CI942" s="102">
        <f t="shared" si="105"/>
        <v>0</v>
      </c>
      <c r="CJ942" s="102">
        <f t="shared" si="105"/>
        <v>0</v>
      </c>
      <c r="CK942" s="102">
        <f t="shared" si="105"/>
        <v>0</v>
      </c>
      <c r="CL942" s="102">
        <f t="shared" si="105"/>
        <v>0</v>
      </c>
      <c r="CM942" s="102">
        <f t="shared" si="105"/>
        <v>0</v>
      </c>
      <c r="CN942" s="102">
        <f t="shared" si="105"/>
        <v>0</v>
      </c>
      <c r="CO942" s="102">
        <f t="shared" si="105"/>
        <v>0</v>
      </c>
      <c r="CP942" s="102">
        <f t="shared" si="105"/>
        <v>0</v>
      </c>
      <c r="CQ942" s="3" t="s">
        <v>269</v>
      </c>
    </row>
    <row r="943" spans="1:95" ht="14.25" customHeight="1" x14ac:dyDescent="0.3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5">
      <c r="A944" s="102"/>
      <c r="B944" s="102" t="s">
        <v>270</v>
      </c>
      <c r="C944" s="102"/>
      <c r="D944" s="102">
        <f>AND(year&gt;Forecast_year,year&lt;(Opening_year + Appraisal_period_length))*1</f>
        <v>0</v>
      </c>
      <c r="E944" s="102">
        <f t="shared" ref="E944:AI944" si="106">AND(year&gt;Forecast_year,year&lt;(Opening_year + Appraisal_period_length))*1</f>
        <v>0</v>
      </c>
      <c r="F944" s="102">
        <f t="shared" si="106"/>
        <v>0</v>
      </c>
      <c r="G944" s="102">
        <f t="shared" si="106"/>
        <v>0</v>
      </c>
      <c r="H944" s="102">
        <f t="shared" si="106"/>
        <v>0</v>
      </c>
      <c r="I944" s="102">
        <f t="shared" si="106"/>
        <v>0</v>
      </c>
      <c r="J944" s="102">
        <f t="shared" si="106"/>
        <v>0</v>
      </c>
      <c r="K944" s="102">
        <f t="shared" si="106"/>
        <v>0</v>
      </c>
      <c r="L944" s="102">
        <f t="shared" si="106"/>
        <v>0</v>
      </c>
      <c r="M944" s="102">
        <f t="shared" si="106"/>
        <v>0</v>
      </c>
      <c r="N944" s="102">
        <f t="shared" si="106"/>
        <v>0</v>
      </c>
      <c r="O944" s="102">
        <f t="shared" si="106"/>
        <v>0</v>
      </c>
      <c r="P944" s="102">
        <f t="shared" si="106"/>
        <v>0</v>
      </c>
      <c r="Q944" s="102">
        <f t="shared" si="106"/>
        <v>0</v>
      </c>
      <c r="R944" s="102">
        <f t="shared" si="106"/>
        <v>0</v>
      </c>
      <c r="S944" s="102">
        <f t="shared" si="106"/>
        <v>0</v>
      </c>
      <c r="T944" s="102">
        <f t="shared" si="106"/>
        <v>0</v>
      </c>
      <c r="U944" s="102">
        <f t="shared" si="106"/>
        <v>0</v>
      </c>
      <c r="V944" s="102">
        <f t="shared" si="106"/>
        <v>0</v>
      </c>
      <c r="W944" s="102">
        <f t="shared" si="106"/>
        <v>0</v>
      </c>
      <c r="X944" s="102">
        <f t="shared" si="106"/>
        <v>0</v>
      </c>
      <c r="Y944" s="102">
        <f t="shared" si="106"/>
        <v>1</v>
      </c>
      <c r="Z944" s="102">
        <f t="shared" si="106"/>
        <v>1</v>
      </c>
      <c r="AA944" s="102">
        <f t="shared" si="106"/>
        <v>1</v>
      </c>
      <c r="AB944" s="102">
        <f t="shared" si="106"/>
        <v>1</v>
      </c>
      <c r="AC944" s="102">
        <f t="shared" si="106"/>
        <v>1</v>
      </c>
      <c r="AD944" s="102">
        <f t="shared" si="106"/>
        <v>1</v>
      </c>
      <c r="AE944" s="102">
        <f t="shared" si="106"/>
        <v>1</v>
      </c>
      <c r="AF944" s="102">
        <f t="shared" si="106"/>
        <v>1</v>
      </c>
      <c r="AG944" s="102">
        <f t="shared" si="106"/>
        <v>1</v>
      </c>
      <c r="AH944" s="102">
        <f t="shared" si="106"/>
        <v>1</v>
      </c>
      <c r="AI944" s="102">
        <f t="shared" si="106"/>
        <v>1</v>
      </c>
      <c r="AJ944" s="102">
        <f t="shared" ref="AJ944:BO944" si="107">AND(year&gt;Forecast_year,year&lt;(Opening_year + Appraisal_period_length))*1</f>
        <v>1</v>
      </c>
      <c r="AK944" s="102">
        <f t="shared" si="107"/>
        <v>1</v>
      </c>
      <c r="AL944" s="102">
        <f t="shared" si="107"/>
        <v>1</v>
      </c>
      <c r="AM944" s="102">
        <f t="shared" si="107"/>
        <v>1</v>
      </c>
      <c r="AN944" s="102">
        <f t="shared" si="107"/>
        <v>1</v>
      </c>
      <c r="AO944" s="102">
        <f t="shared" si="107"/>
        <v>1</v>
      </c>
      <c r="AP944" s="102">
        <f t="shared" si="107"/>
        <v>1</v>
      </c>
      <c r="AQ944" s="102">
        <f t="shared" si="107"/>
        <v>1</v>
      </c>
      <c r="AR944" s="102">
        <f t="shared" si="107"/>
        <v>1</v>
      </c>
      <c r="AS944" s="102">
        <f t="shared" si="107"/>
        <v>1</v>
      </c>
      <c r="AT944" s="102">
        <f t="shared" si="107"/>
        <v>1</v>
      </c>
      <c r="AU944" s="102">
        <f t="shared" si="107"/>
        <v>1</v>
      </c>
      <c r="AV944" s="102">
        <f t="shared" si="107"/>
        <v>1</v>
      </c>
      <c r="AW944" s="102">
        <f t="shared" si="107"/>
        <v>1</v>
      </c>
      <c r="AX944" s="102">
        <f t="shared" si="107"/>
        <v>1</v>
      </c>
      <c r="AY944" s="102">
        <f t="shared" si="107"/>
        <v>1</v>
      </c>
      <c r="AZ944" s="102">
        <f t="shared" si="107"/>
        <v>1</v>
      </c>
      <c r="BA944" s="102">
        <f t="shared" si="107"/>
        <v>1</v>
      </c>
      <c r="BB944" s="102">
        <f t="shared" si="107"/>
        <v>1</v>
      </c>
      <c r="BC944" s="102">
        <f t="shared" si="107"/>
        <v>1</v>
      </c>
      <c r="BD944" s="102">
        <f t="shared" si="107"/>
        <v>1</v>
      </c>
      <c r="BE944" s="102">
        <f t="shared" si="107"/>
        <v>1</v>
      </c>
      <c r="BF944" s="102">
        <f t="shared" si="107"/>
        <v>1</v>
      </c>
      <c r="BG944" s="102">
        <f t="shared" si="107"/>
        <v>1</v>
      </c>
      <c r="BH944" s="102">
        <f t="shared" si="107"/>
        <v>1</v>
      </c>
      <c r="BI944" s="102">
        <f t="shared" si="107"/>
        <v>1</v>
      </c>
      <c r="BJ944" s="102">
        <f t="shared" si="107"/>
        <v>1</v>
      </c>
      <c r="BK944" s="102">
        <f t="shared" si="107"/>
        <v>1</v>
      </c>
      <c r="BL944" s="102">
        <f t="shared" si="107"/>
        <v>1</v>
      </c>
      <c r="BM944" s="102">
        <f t="shared" si="107"/>
        <v>1</v>
      </c>
      <c r="BN944" s="102">
        <f t="shared" si="107"/>
        <v>1</v>
      </c>
      <c r="BO944" s="102">
        <f t="shared" si="107"/>
        <v>1</v>
      </c>
      <c r="BP944" s="102">
        <f t="shared" ref="BP944:CP944" si="108">AND(year&gt;Forecast_year,year&lt;(Opening_year + Appraisal_period_length))*1</f>
        <v>1</v>
      </c>
      <c r="BQ944" s="102">
        <f t="shared" si="108"/>
        <v>1</v>
      </c>
      <c r="BR944" s="102">
        <f t="shared" si="108"/>
        <v>1</v>
      </c>
      <c r="BS944" s="102">
        <f t="shared" si="108"/>
        <v>1</v>
      </c>
      <c r="BT944" s="102">
        <f t="shared" si="108"/>
        <v>1</v>
      </c>
      <c r="BU944" s="102">
        <f t="shared" si="108"/>
        <v>1</v>
      </c>
      <c r="BV944" s="102">
        <f t="shared" si="108"/>
        <v>1</v>
      </c>
      <c r="BW944" s="102">
        <f t="shared" si="108"/>
        <v>1</v>
      </c>
      <c r="BX944" s="102">
        <f t="shared" si="108"/>
        <v>1</v>
      </c>
      <c r="BY944" s="102">
        <f t="shared" si="108"/>
        <v>1</v>
      </c>
      <c r="BZ944" s="102">
        <f t="shared" si="108"/>
        <v>1</v>
      </c>
      <c r="CA944" s="102">
        <f t="shared" si="108"/>
        <v>0</v>
      </c>
      <c r="CB944" s="102">
        <f t="shared" si="108"/>
        <v>0</v>
      </c>
      <c r="CC944" s="102">
        <f t="shared" si="108"/>
        <v>0</v>
      </c>
      <c r="CD944" s="102">
        <f t="shared" si="108"/>
        <v>0</v>
      </c>
      <c r="CE944" s="102">
        <f t="shared" si="108"/>
        <v>0</v>
      </c>
      <c r="CF944" s="102">
        <f t="shared" si="108"/>
        <v>0</v>
      </c>
      <c r="CG944" s="102">
        <f t="shared" si="108"/>
        <v>0</v>
      </c>
      <c r="CH944" s="102">
        <f t="shared" si="108"/>
        <v>0</v>
      </c>
      <c r="CI944" s="102">
        <f t="shared" si="108"/>
        <v>0</v>
      </c>
      <c r="CJ944" s="102">
        <f t="shared" si="108"/>
        <v>0</v>
      </c>
      <c r="CK944" s="102">
        <f t="shared" si="108"/>
        <v>0</v>
      </c>
      <c r="CL944" s="102">
        <f t="shared" si="108"/>
        <v>0</v>
      </c>
      <c r="CM944" s="102">
        <f t="shared" si="108"/>
        <v>0</v>
      </c>
      <c r="CN944" s="102">
        <f t="shared" si="108"/>
        <v>0</v>
      </c>
      <c r="CO944" s="102">
        <f t="shared" si="108"/>
        <v>0</v>
      </c>
      <c r="CP944" s="102">
        <f t="shared" si="108"/>
        <v>0</v>
      </c>
      <c r="CQ944" s="3" t="s">
        <v>271</v>
      </c>
    </row>
    <row r="945" spans="1:95" ht="14.25" customHeight="1" x14ac:dyDescent="0.3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5">
      <c r="A946" s="102"/>
      <c r="B946" s="102" t="s">
        <v>258</v>
      </c>
      <c r="C946" s="102"/>
      <c r="D946" s="102">
        <f>Opening_year_mask + Interpolation_mask + Forecast_year_mask + Extrapolation_mask</f>
        <v>0</v>
      </c>
      <c r="E946" s="102">
        <f t="shared" ref="E946:AI946" si="109">Opening_year_mask + Interpolation_mask + Forecast_year_mask + Extrapolation_mask</f>
        <v>0</v>
      </c>
      <c r="F946" s="102">
        <f t="shared" si="109"/>
        <v>0</v>
      </c>
      <c r="G946" s="102">
        <f t="shared" si="109"/>
        <v>0</v>
      </c>
      <c r="H946" s="102">
        <f t="shared" si="109"/>
        <v>0</v>
      </c>
      <c r="I946" s="102">
        <f t="shared" si="109"/>
        <v>0</v>
      </c>
      <c r="J946" s="102">
        <f t="shared" si="109"/>
        <v>0</v>
      </c>
      <c r="K946" s="102">
        <f t="shared" si="109"/>
        <v>0</v>
      </c>
      <c r="L946" s="102">
        <f t="shared" si="109"/>
        <v>0</v>
      </c>
      <c r="M946" s="102">
        <f t="shared" si="109"/>
        <v>0</v>
      </c>
      <c r="N946" s="102">
        <f t="shared" si="109"/>
        <v>0</v>
      </c>
      <c r="O946" s="102">
        <f t="shared" si="109"/>
        <v>0</v>
      </c>
      <c r="P946" s="102">
        <f t="shared" si="109"/>
        <v>0</v>
      </c>
      <c r="Q946" s="102">
        <f t="shared" si="109"/>
        <v>0</v>
      </c>
      <c r="R946" s="102">
        <f t="shared" si="109"/>
        <v>0</v>
      </c>
      <c r="S946" s="102">
        <f t="shared" si="109"/>
        <v>1</v>
      </c>
      <c r="T946" s="102">
        <f t="shared" si="109"/>
        <v>1</v>
      </c>
      <c r="U946" s="102">
        <f t="shared" si="109"/>
        <v>1</v>
      </c>
      <c r="V946" s="102">
        <f t="shared" si="109"/>
        <v>1</v>
      </c>
      <c r="W946" s="102">
        <f t="shared" si="109"/>
        <v>1</v>
      </c>
      <c r="X946" s="102">
        <f t="shared" si="109"/>
        <v>1</v>
      </c>
      <c r="Y946" s="102">
        <f t="shared" si="109"/>
        <v>1</v>
      </c>
      <c r="Z946" s="102">
        <f t="shared" si="109"/>
        <v>1</v>
      </c>
      <c r="AA946" s="102">
        <f t="shared" si="109"/>
        <v>1</v>
      </c>
      <c r="AB946" s="102">
        <f t="shared" si="109"/>
        <v>1</v>
      </c>
      <c r="AC946" s="102">
        <f t="shared" si="109"/>
        <v>1</v>
      </c>
      <c r="AD946" s="102">
        <f t="shared" si="109"/>
        <v>1</v>
      </c>
      <c r="AE946" s="102">
        <f t="shared" si="109"/>
        <v>1</v>
      </c>
      <c r="AF946" s="102">
        <f t="shared" si="109"/>
        <v>1</v>
      </c>
      <c r="AG946" s="102">
        <f t="shared" si="109"/>
        <v>1</v>
      </c>
      <c r="AH946" s="102">
        <f t="shared" si="109"/>
        <v>1</v>
      </c>
      <c r="AI946" s="102">
        <f t="shared" si="109"/>
        <v>1</v>
      </c>
      <c r="AJ946" s="102">
        <f t="shared" ref="AJ946:BO946" si="110">Opening_year_mask + Interpolation_mask + Forecast_year_mask + Extrapolation_mask</f>
        <v>1</v>
      </c>
      <c r="AK946" s="102">
        <f t="shared" si="110"/>
        <v>1</v>
      </c>
      <c r="AL946" s="102">
        <f t="shared" si="110"/>
        <v>1</v>
      </c>
      <c r="AM946" s="102">
        <f t="shared" si="110"/>
        <v>1</v>
      </c>
      <c r="AN946" s="102">
        <f t="shared" si="110"/>
        <v>1</v>
      </c>
      <c r="AO946" s="102">
        <f t="shared" si="110"/>
        <v>1</v>
      </c>
      <c r="AP946" s="102">
        <f t="shared" si="110"/>
        <v>1</v>
      </c>
      <c r="AQ946" s="102">
        <f t="shared" si="110"/>
        <v>1</v>
      </c>
      <c r="AR946" s="102">
        <f t="shared" si="110"/>
        <v>1</v>
      </c>
      <c r="AS946" s="102">
        <f t="shared" si="110"/>
        <v>1</v>
      </c>
      <c r="AT946" s="102">
        <f t="shared" si="110"/>
        <v>1</v>
      </c>
      <c r="AU946" s="102">
        <f t="shared" si="110"/>
        <v>1</v>
      </c>
      <c r="AV946" s="102">
        <f t="shared" si="110"/>
        <v>1</v>
      </c>
      <c r="AW946" s="102">
        <f t="shared" si="110"/>
        <v>1</v>
      </c>
      <c r="AX946" s="102">
        <f t="shared" si="110"/>
        <v>1</v>
      </c>
      <c r="AY946" s="102">
        <f t="shared" si="110"/>
        <v>1</v>
      </c>
      <c r="AZ946" s="102">
        <f t="shared" si="110"/>
        <v>1</v>
      </c>
      <c r="BA946" s="102">
        <f t="shared" si="110"/>
        <v>1</v>
      </c>
      <c r="BB946" s="102">
        <f t="shared" si="110"/>
        <v>1</v>
      </c>
      <c r="BC946" s="102">
        <f t="shared" si="110"/>
        <v>1</v>
      </c>
      <c r="BD946" s="102">
        <f t="shared" si="110"/>
        <v>1</v>
      </c>
      <c r="BE946" s="102">
        <f t="shared" si="110"/>
        <v>1</v>
      </c>
      <c r="BF946" s="102">
        <f t="shared" si="110"/>
        <v>1</v>
      </c>
      <c r="BG946" s="102">
        <f t="shared" si="110"/>
        <v>1</v>
      </c>
      <c r="BH946" s="102">
        <f t="shared" si="110"/>
        <v>1</v>
      </c>
      <c r="BI946" s="102">
        <f t="shared" si="110"/>
        <v>1</v>
      </c>
      <c r="BJ946" s="102">
        <f t="shared" si="110"/>
        <v>1</v>
      </c>
      <c r="BK946" s="102">
        <f t="shared" si="110"/>
        <v>1</v>
      </c>
      <c r="BL946" s="102">
        <f t="shared" si="110"/>
        <v>1</v>
      </c>
      <c r="BM946" s="102">
        <f t="shared" si="110"/>
        <v>1</v>
      </c>
      <c r="BN946" s="102">
        <f t="shared" si="110"/>
        <v>1</v>
      </c>
      <c r="BO946" s="102">
        <f t="shared" si="110"/>
        <v>1</v>
      </c>
      <c r="BP946" s="102">
        <f t="shared" ref="BP946:CP946" si="111">Opening_year_mask + Interpolation_mask + Forecast_year_mask + Extrapolation_mask</f>
        <v>1</v>
      </c>
      <c r="BQ946" s="102">
        <f t="shared" si="111"/>
        <v>1</v>
      </c>
      <c r="BR946" s="102">
        <f t="shared" si="111"/>
        <v>1</v>
      </c>
      <c r="BS946" s="102">
        <f t="shared" si="111"/>
        <v>1</v>
      </c>
      <c r="BT946" s="102">
        <f t="shared" si="111"/>
        <v>1</v>
      </c>
      <c r="BU946" s="102">
        <f t="shared" si="111"/>
        <v>1</v>
      </c>
      <c r="BV946" s="102">
        <f t="shared" si="111"/>
        <v>1</v>
      </c>
      <c r="BW946" s="102">
        <f t="shared" si="111"/>
        <v>1</v>
      </c>
      <c r="BX946" s="102">
        <f t="shared" si="111"/>
        <v>1</v>
      </c>
      <c r="BY946" s="102">
        <f t="shared" si="111"/>
        <v>1</v>
      </c>
      <c r="BZ946" s="102">
        <f t="shared" si="111"/>
        <v>1</v>
      </c>
      <c r="CA946" s="102">
        <f t="shared" si="111"/>
        <v>0</v>
      </c>
      <c r="CB946" s="102">
        <f t="shared" si="111"/>
        <v>0</v>
      </c>
      <c r="CC946" s="102">
        <f t="shared" si="111"/>
        <v>0</v>
      </c>
      <c r="CD946" s="102">
        <f t="shared" si="111"/>
        <v>0</v>
      </c>
      <c r="CE946" s="102">
        <f t="shared" si="111"/>
        <v>0</v>
      </c>
      <c r="CF946" s="102">
        <f t="shared" si="111"/>
        <v>0</v>
      </c>
      <c r="CG946" s="102">
        <f t="shared" si="111"/>
        <v>0</v>
      </c>
      <c r="CH946" s="102">
        <f t="shared" si="111"/>
        <v>0</v>
      </c>
      <c r="CI946" s="102">
        <f t="shared" si="111"/>
        <v>0</v>
      </c>
      <c r="CJ946" s="102">
        <f t="shared" si="111"/>
        <v>0</v>
      </c>
      <c r="CK946" s="102">
        <f t="shared" si="111"/>
        <v>0</v>
      </c>
      <c r="CL946" s="102">
        <f t="shared" si="111"/>
        <v>0</v>
      </c>
      <c r="CM946" s="102">
        <f t="shared" si="111"/>
        <v>0</v>
      </c>
      <c r="CN946" s="102">
        <f t="shared" si="111"/>
        <v>0</v>
      </c>
      <c r="CO946" s="102">
        <f t="shared" si="111"/>
        <v>0</v>
      </c>
      <c r="CP946" s="102">
        <f t="shared" si="111"/>
        <v>0</v>
      </c>
      <c r="CQ946" s="3" t="s">
        <v>272</v>
      </c>
    </row>
    <row r="947" spans="1:95" ht="14.25" customHeight="1" x14ac:dyDescent="0.3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5">
      <c r="A948" s="102"/>
      <c r="B948" s="102" t="s">
        <v>273</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5">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5">
      <c r="B950" s="5" t="s">
        <v>274</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5" x14ac:dyDescent="0.35">
      <c r="A953" s="102"/>
      <c r="B953" s="102" t="s">
        <v>67</v>
      </c>
      <c r="C953" s="102"/>
      <c r="D953" s="101">
        <f>Opening_year_sleep_disturbance_cost*Opening_year_mask</f>
        <v>0</v>
      </c>
      <c r="E953" s="101">
        <f t="shared" ref="E953:AI953" si="112">Opening_year_sleep_disturbance_cost*Opening_year_mask</f>
        <v>0</v>
      </c>
      <c r="F953" s="101">
        <f t="shared" si="112"/>
        <v>0</v>
      </c>
      <c r="G953" s="101">
        <f t="shared" si="112"/>
        <v>0</v>
      </c>
      <c r="H953" s="101">
        <f t="shared" si="112"/>
        <v>0</v>
      </c>
      <c r="I953" s="101">
        <f t="shared" si="112"/>
        <v>0</v>
      </c>
      <c r="J953" s="101">
        <f t="shared" si="112"/>
        <v>0</v>
      </c>
      <c r="K953" s="101">
        <f t="shared" si="112"/>
        <v>0</v>
      </c>
      <c r="L953" s="101">
        <f t="shared" si="112"/>
        <v>0</v>
      </c>
      <c r="M953" s="101">
        <f t="shared" si="112"/>
        <v>0</v>
      </c>
      <c r="N953" s="101">
        <f>Opening_year_sleep_disturbance_cost*Opening_year_mask</f>
        <v>0</v>
      </c>
      <c r="O953" s="101">
        <f t="shared" si="112"/>
        <v>0</v>
      </c>
      <c r="P953" s="101">
        <f t="shared" si="112"/>
        <v>0</v>
      </c>
      <c r="Q953" s="101">
        <f t="shared" si="112"/>
        <v>0</v>
      </c>
      <c r="R953" s="101">
        <f t="shared" si="112"/>
        <v>0</v>
      </c>
      <c r="S953" s="101">
        <f t="shared" si="112"/>
        <v>0</v>
      </c>
      <c r="T953" s="101">
        <f t="shared" si="112"/>
        <v>0</v>
      </c>
      <c r="U953" s="101">
        <f t="shared" si="112"/>
        <v>0</v>
      </c>
      <c r="V953" s="101">
        <f t="shared" si="112"/>
        <v>0</v>
      </c>
      <c r="W953" s="101">
        <f t="shared" si="112"/>
        <v>0</v>
      </c>
      <c r="X953" s="101">
        <f t="shared" si="112"/>
        <v>0</v>
      </c>
      <c r="Y953" s="101">
        <f t="shared" si="112"/>
        <v>0</v>
      </c>
      <c r="Z953" s="101">
        <f t="shared" si="112"/>
        <v>0</v>
      </c>
      <c r="AA953" s="101">
        <f t="shared" si="112"/>
        <v>0</v>
      </c>
      <c r="AB953" s="101">
        <f t="shared" si="112"/>
        <v>0</v>
      </c>
      <c r="AC953" s="101">
        <f t="shared" si="112"/>
        <v>0</v>
      </c>
      <c r="AD953" s="101">
        <f t="shared" si="112"/>
        <v>0</v>
      </c>
      <c r="AE953" s="101">
        <f t="shared" si="112"/>
        <v>0</v>
      </c>
      <c r="AF953" s="101">
        <f t="shared" si="112"/>
        <v>0</v>
      </c>
      <c r="AG953" s="101">
        <f t="shared" si="112"/>
        <v>0</v>
      </c>
      <c r="AH953" s="101">
        <f t="shared" si="112"/>
        <v>0</v>
      </c>
      <c r="AI953" s="101">
        <f t="shared" si="112"/>
        <v>0</v>
      </c>
      <c r="AJ953" s="101">
        <f t="shared" ref="AJ953:BO953" si="113">Opening_year_sleep_disturbance_cost*Opening_year_mask</f>
        <v>0</v>
      </c>
      <c r="AK953" s="101">
        <f t="shared" si="113"/>
        <v>0</v>
      </c>
      <c r="AL953" s="101">
        <f t="shared" si="113"/>
        <v>0</v>
      </c>
      <c r="AM953" s="101">
        <f t="shared" si="113"/>
        <v>0</v>
      </c>
      <c r="AN953" s="101">
        <f t="shared" si="113"/>
        <v>0</v>
      </c>
      <c r="AO953" s="101">
        <f t="shared" si="113"/>
        <v>0</v>
      </c>
      <c r="AP953" s="101">
        <f t="shared" si="113"/>
        <v>0</v>
      </c>
      <c r="AQ953" s="101">
        <f t="shared" si="113"/>
        <v>0</v>
      </c>
      <c r="AR953" s="101">
        <f t="shared" si="113"/>
        <v>0</v>
      </c>
      <c r="AS953" s="101">
        <f t="shared" si="113"/>
        <v>0</v>
      </c>
      <c r="AT953" s="101">
        <f t="shared" si="113"/>
        <v>0</v>
      </c>
      <c r="AU953" s="101">
        <f t="shared" si="113"/>
        <v>0</v>
      </c>
      <c r="AV953" s="101">
        <f t="shared" si="113"/>
        <v>0</v>
      </c>
      <c r="AW953" s="101">
        <f t="shared" si="113"/>
        <v>0</v>
      </c>
      <c r="AX953" s="101">
        <f t="shared" si="113"/>
        <v>0</v>
      </c>
      <c r="AY953" s="101">
        <f t="shared" si="113"/>
        <v>0</v>
      </c>
      <c r="AZ953" s="101">
        <f t="shared" si="113"/>
        <v>0</v>
      </c>
      <c r="BA953" s="101">
        <f t="shared" si="113"/>
        <v>0</v>
      </c>
      <c r="BB953" s="101">
        <f t="shared" si="113"/>
        <v>0</v>
      </c>
      <c r="BC953" s="101">
        <f t="shared" si="113"/>
        <v>0</v>
      </c>
      <c r="BD953" s="101">
        <f t="shared" si="113"/>
        <v>0</v>
      </c>
      <c r="BE953" s="101">
        <f t="shared" si="113"/>
        <v>0</v>
      </c>
      <c r="BF953" s="101">
        <f t="shared" si="113"/>
        <v>0</v>
      </c>
      <c r="BG953" s="101">
        <f t="shared" si="113"/>
        <v>0</v>
      </c>
      <c r="BH953" s="101">
        <f t="shared" si="113"/>
        <v>0</v>
      </c>
      <c r="BI953" s="101">
        <f t="shared" si="113"/>
        <v>0</v>
      </c>
      <c r="BJ953" s="101">
        <f t="shared" si="113"/>
        <v>0</v>
      </c>
      <c r="BK953" s="101">
        <f t="shared" si="113"/>
        <v>0</v>
      </c>
      <c r="BL953" s="101">
        <f t="shared" si="113"/>
        <v>0</v>
      </c>
      <c r="BM953" s="101">
        <f t="shared" si="113"/>
        <v>0</v>
      </c>
      <c r="BN953" s="101">
        <f t="shared" si="113"/>
        <v>0</v>
      </c>
      <c r="BO953" s="101">
        <f t="shared" si="113"/>
        <v>0</v>
      </c>
      <c r="BP953" s="101">
        <f t="shared" ref="BP953:CP953" si="114">Opening_year_sleep_disturbance_cost*Opening_year_mask</f>
        <v>0</v>
      </c>
      <c r="BQ953" s="101">
        <f t="shared" si="114"/>
        <v>0</v>
      </c>
      <c r="BR953" s="101">
        <f t="shared" si="114"/>
        <v>0</v>
      </c>
      <c r="BS953" s="101">
        <f t="shared" si="114"/>
        <v>0</v>
      </c>
      <c r="BT953" s="101">
        <f t="shared" si="114"/>
        <v>0</v>
      </c>
      <c r="BU953" s="101">
        <f t="shared" si="114"/>
        <v>0</v>
      </c>
      <c r="BV953" s="101">
        <f t="shared" si="114"/>
        <v>0</v>
      </c>
      <c r="BW953" s="101">
        <f t="shared" si="114"/>
        <v>0</v>
      </c>
      <c r="BX953" s="101">
        <f t="shared" si="114"/>
        <v>0</v>
      </c>
      <c r="BY953" s="101">
        <f t="shared" si="114"/>
        <v>0</v>
      </c>
      <c r="BZ953" s="101">
        <f t="shared" si="114"/>
        <v>0</v>
      </c>
      <c r="CA953" s="101">
        <f t="shared" si="114"/>
        <v>0</v>
      </c>
      <c r="CB953" s="101">
        <f t="shared" si="114"/>
        <v>0</v>
      </c>
      <c r="CC953" s="101">
        <f t="shared" si="114"/>
        <v>0</v>
      </c>
      <c r="CD953" s="101">
        <f t="shared" si="114"/>
        <v>0</v>
      </c>
      <c r="CE953" s="101">
        <f t="shared" si="114"/>
        <v>0</v>
      </c>
      <c r="CF953" s="101">
        <f t="shared" si="114"/>
        <v>0</v>
      </c>
      <c r="CG953" s="101">
        <f t="shared" si="114"/>
        <v>0</v>
      </c>
      <c r="CH953" s="101">
        <f t="shared" si="114"/>
        <v>0</v>
      </c>
      <c r="CI953" s="101">
        <f t="shared" si="114"/>
        <v>0</v>
      </c>
      <c r="CJ953" s="101">
        <f t="shared" si="114"/>
        <v>0</v>
      </c>
      <c r="CK953" s="101">
        <f t="shared" si="114"/>
        <v>0</v>
      </c>
      <c r="CL953" s="101">
        <f t="shared" si="114"/>
        <v>0</v>
      </c>
      <c r="CM953" s="101">
        <f t="shared" si="114"/>
        <v>0</v>
      </c>
      <c r="CN953" s="101">
        <f t="shared" si="114"/>
        <v>0</v>
      </c>
      <c r="CO953" s="101">
        <f t="shared" si="114"/>
        <v>0</v>
      </c>
      <c r="CP953" s="101">
        <f t="shared" si="114"/>
        <v>0</v>
      </c>
      <c r="CQ953" s="3" t="s">
        <v>275</v>
      </c>
    </row>
    <row r="954" spans="1:95" ht="14.5" x14ac:dyDescent="0.35">
      <c r="A954" s="102"/>
      <c r="B954" s="102" t="s">
        <v>69</v>
      </c>
      <c r="C954" s="102"/>
      <c r="D954" s="101">
        <f t="shared" ref="D954:AI954" si="115">Forecast_year_sleep_disturbance_cost*Forecast_year_mask</f>
        <v>0</v>
      </c>
      <c r="E954" s="101">
        <f t="shared" si="115"/>
        <v>0</v>
      </c>
      <c r="F954" s="101">
        <f t="shared" si="115"/>
        <v>0</v>
      </c>
      <c r="G954" s="101">
        <f t="shared" si="115"/>
        <v>0</v>
      </c>
      <c r="H954" s="101">
        <f t="shared" si="115"/>
        <v>0</v>
      </c>
      <c r="I954" s="101">
        <f t="shared" si="115"/>
        <v>0</v>
      </c>
      <c r="J954" s="101">
        <f t="shared" si="115"/>
        <v>0</v>
      </c>
      <c r="K954" s="101">
        <f t="shared" si="115"/>
        <v>0</v>
      </c>
      <c r="L954" s="101">
        <f t="shared" si="115"/>
        <v>0</v>
      </c>
      <c r="M954" s="101">
        <f t="shared" si="115"/>
        <v>0</v>
      </c>
      <c r="N954" s="101">
        <f t="shared" si="115"/>
        <v>0</v>
      </c>
      <c r="O954" s="101">
        <f t="shared" si="115"/>
        <v>0</v>
      </c>
      <c r="P954" s="101">
        <f t="shared" si="115"/>
        <v>0</v>
      </c>
      <c r="Q954" s="101">
        <f t="shared" si="115"/>
        <v>0</v>
      </c>
      <c r="R954" s="101">
        <f t="shared" si="115"/>
        <v>0</v>
      </c>
      <c r="S954" s="101">
        <f t="shared" si="115"/>
        <v>0</v>
      </c>
      <c r="T954" s="101">
        <f t="shared" si="115"/>
        <v>0</v>
      </c>
      <c r="U954" s="101">
        <f t="shared" si="115"/>
        <v>0</v>
      </c>
      <c r="V954" s="101">
        <f t="shared" si="115"/>
        <v>0</v>
      </c>
      <c r="W954" s="101">
        <f t="shared" si="115"/>
        <v>0</v>
      </c>
      <c r="X954" s="101">
        <f t="shared" si="115"/>
        <v>0</v>
      </c>
      <c r="Y954" s="101">
        <f t="shared" si="115"/>
        <v>0</v>
      </c>
      <c r="Z954" s="101">
        <f t="shared" si="115"/>
        <v>0</v>
      </c>
      <c r="AA954" s="101">
        <f t="shared" si="115"/>
        <v>0</v>
      </c>
      <c r="AB954" s="101">
        <f t="shared" si="115"/>
        <v>0</v>
      </c>
      <c r="AC954" s="101">
        <f t="shared" si="115"/>
        <v>0</v>
      </c>
      <c r="AD954" s="101">
        <f t="shared" si="115"/>
        <v>0</v>
      </c>
      <c r="AE954" s="101">
        <f t="shared" si="115"/>
        <v>0</v>
      </c>
      <c r="AF954" s="101">
        <f t="shared" si="115"/>
        <v>0</v>
      </c>
      <c r="AG954" s="101">
        <f t="shared" si="115"/>
        <v>0</v>
      </c>
      <c r="AH954" s="101">
        <f t="shared" si="115"/>
        <v>0</v>
      </c>
      <c r="AI954" s="101">
        <f t="shared" si="115"/>
        <v>0</v>
      </c>
      <c r="AJ954" s="101">
        <f t="shared" ref="AJ954:BO954" si="116">Forecast_year_sleep_disturbance_cost*Forecast_year_mask</f>
        <v>0</v>
      </c>
      <c r="AK954" s="101">
        <f t="shared" si="116"/>
        <v>0</v>
      </c>
      <c r="AL954" s="101">
        <f t="shared" si="116"/>
        <v>0</v>
      </c>
      <c r="AM954" s="101">
        <f t="shared" si="116"/>
        <v>0</v>
      </c>
      <c r="AN954" s="101">
        <f t="shared" si="116"/>
        <v>0</v>
      </c>
      <c r="AO954" s="101">
        <f t="shared" si="116"/>
        <v>0</v>
      </c>
      <c r="AP954" s="101">
        <f t="shared" si="116"/>
        <v>0</v>
      </c>
      <c r="AQ954" s="101">
        <f t="shared" si="116"/>
        <v>0</v>
      </c>
      <c r="AR954" s="101">
        <f t="shared" si="116"/>
        <v>0</v>
      </c>
      <c r="AS954" s="101">
        <f t="shared" si="116"/>
        <v>0</v>
      </c>
      <c r="AT954" s="101">
        <f t="shared" si="116"/>
        <v>0</v>
      </c>
      <c r="AU954" s="101">
        <f t="shared" si="116"/>
        <v>0</v>
      </c>
      <c r="AV954" s="101">
        <f t="shared" si="116"/>
        <v>0</v>
      </c>
      <c r="AW954" s="101">
        <f t="shared" si="116"/>
        <v>0</v>
      </c>
      <c r="AX954" s="101">
        <f t="shared" si="116"/>
        <v>0</v>
      </c>
      <c r="AY954" s="101">
        <f t="shared" si="116"/>
        <v>0</v>
      </c>
      <c r="AZ954" s="101">
        <f t="shared" si="116"/>
        <v>0</v>
      </c>
      <c r="BA954" s="101">
        <f t="shared" si="116"/>
        <v>0</v>
      </c>
      <c r="BB954" s="101">
        <f t="shared" si="116"/>
        <v>0</v>
      </c>
      <c r="BC954" s="101">
        <f t="shared" si="116"/>
        <v>0</v>
      </c>
      <c r="BD954" s="101">
        <f t="shared" si="116"/>
        <v>0</v>
      </c>
      <c r="BE954" s="101">
        <f t="shared" si="116"/>
        <v>0</v>
      </c>
      <c r="BF954" s="101">
        <f t="shared" si="116"/>
        <v>0</v>
      </c>
      <c r="BG954" s="101">
        <f t="shared" si="116"/>
        <v>0</v>
      </c>
      <c r="BH954" s="101">
        <f t="shared" si="116"/>
        <v>0</v>
      </c>
      <c r="BI954" s="101">
        <f t="shared" si="116"/>
        <v>0</v>
      </c>
      <c r="BJ954" s="101">
        <f t="shared" si="116"/>
        <v>0</v>
      </c>
      <c r="BK954" s="101">
        <f t="shared" si="116"/>
        <v>0</v>
      </c>
      <c r="BL954" s="101">
        <f t="shared" si="116"/>
        <v>0</v>
      </c>
      <c r="BM954" s="101">
        <f t="shared" si="116"/>
        <v>0</v>
      </c>
      <c r="BN954" s="101">
        <f t="shared" si="116"/>
        <v>0</v>
      </c>
      <c r="BO954" s="101">
        <f t="shared" si="116"/>
        <v>0</v>
      </c>
      <c r="BP954" s="101">
        <f t="shared" ref="BP954:CP954" si="117">Forecast_year_sleep_disturbance_cost*Forecast_year_mask</f>
        <v>0</v>
      </c>
      <c r="BQ954" s="101">
        <f t="shared" si="117"/>
        <v>0</v>
      </c>
      <c r="BR954" s="101">
        <f t="shared" si="117"/>
        <v>0</v>
      </c>
      <c r="BS954" s="101">
        <f t="shared" si="117"/>
        <v>0</v>
      </c>
      <c r="BT954" s="101">
        <f t="shared" si="117"/>
        <v>0</v>
      </c>
      <c r="BU954" s="101">
        <f t="shared" si="117"/>
        <v>0</v>
      </c>
      <c r="BV954" s="101">
        <f t="shared" si="117"/>
        <v>0</v>
      </c>
      <c r="BW954" s="101">
        <f t="shared" si="117"/>
        <v>0</v>
      </c>
      <c r="BX954" s="101">
        <f t="shared" si="117"/>
        <v>0</v>
      </c>
      <c r="BY954" s="101">
        <f t="shared" si="117"/>
        <v>0</v>
      </c>
      <c r="BZ954" s="101">
        <f t="shared" si="117"/>
        <v>0</v>
      </c>
      <c r="CA954" s="101">
        <f t="shared" si="117"/>
        <v>0</v>
      </c>
      <c r="CB954" s="101">
        <f t="shared" si="117"/>
        <v>0</v>
      </c>
      <c r="CC954" s="101">
        <f t="shared" si="117"/>
        <v>0</v>
      </c>
      <c r="CD954" s="101">
        <f t="shared" si="117"/>
        <v>0</v>
      </c>
      <c r="CE954" s="101">
        <f t="shared" si="117"/>
        <v>0</v>
      </c>
      <c r="CF954" s="101">
        <f t="shared" si="117"/>
        <v>0</v>
      </c>
      <c r="CG954" s="101">
        <f t="shared" si="117"/>
        <v>0</v>
      </c>
      <c r="CH954" s="101">
        <f t="shared" si="117"/>
        <v>0</v>
      </c>
      <c r="CI954" s="101">
        <f t="shared" si="117"/>
        <v>0</v>
      </c>
      <c r="CJ954" s="101">
        <f t="shared" si="117"/>
        <v>0</v>
      </c>
      <c r="CK954" s="101">
        <f t="shared" si="117"/>
        <v>0</v>
      </c>
      <c r="CL954" s="101">
        <f t="shared" si="117"/>
        <v>0</v>
      </c>
      <c r="CM954" s="101">
        <f t="shared" si="117"/>
        <v>0</v>
      </c>
      <c r="CN954" s="101">
        <f t="shared" si="117"/>
        <v>0</v>
      </c>
      <c r="CO954" s="101">
        <f t="shared" si="117"/>
        <v>0</v>
      </c>
      <c r="CP954" s="101">
        <f t="shared" si="117"/>
        <v>0</v>
      </c>
      <c r="CQ954" s="3" t="s">
        <v>276</v>
      </c>
    </row>
    <row r="955" spans="1:95" ht="14.5" x14ac:dyDescent="0.35">
      <c r="A955" s="102"/>
      <c r="B955" s="102" t="s">
        <v>268</v>
      </c>
      <c r="C955" s="102"/>
      <c r="D955" s="101">
        <f t="shared" ref="D955:AI955" si="118">(Opening_year_sleep_disturbance_cost+(Difference_sleep_disturbance_cost)*(year-Opening_year)/(Forecast_and_opening_year_difference))*Interpolation_mask</f>
        <v>0</v>
      </c>
      <c r="E955" s="101">
        <f t="shared" si="118"/>
        <v>0</v>
      </c>
      <c r="F955" s="101">
        <f t="shared" si="118"/>
        <v>0</v>
      </c>
      <c r="G955" s="101">
        <f t="shared" si="118"/>
        <v>0</v>
      </c>
      <c r="H955" s="101">
        <f t="shared" si="118"/>
        <v>0</v>
      </c>
      <c r="I955" s="101">
        <f t="shared" si="118"/>
        <v>0</v>
      </c>
      <c r="J955" s="101">
        <f>(Opening_year_sleep_disturbance_cost+(Difference_sleep_disturbance_cost)*(year-Opening_year)/(Forecast_and_opening_year_difference))*Interpolation_mask</f>
        <v>0</v>
      </c>
      <c r="K955" s="101">
        <f t="shared" si="118"/>
        <v>0</v>
      </c>
      <c r="L955" s="101">
        <f t="shared" si="118"/>
        <v>0</v>
      </c>
      <c r="M955" s="101">
        <f t="shared" si="118"/>
        <v>0</v>
      </c>
      <c r="N955" s="101">
        <f t="shared" si="118"/>
        <v>0</v>
      </c>
      <c r="O955" s="101">
        <f t="shared" si="118"/>
        <v>0</v>
      </c>
      <c r="P955" s="101">
        <f t="shared" si="118"/>
        <v>0</v>
      </c>
      <c r="Q955" s="101">
        <f t="shared" si="118"/>
        <v>0</v>
      </c>
      <c r="R955" s="101">
        <f t="shared" si="118"/>
        <v>0</v>
      </c>
      <c r="S955" s="101">
        <f t="shared" si="118"/>
        <v>0</v>
      </c>
      <c r="T955" s="101">
        <f t="shared" si="118"/>
        <v>0</v>
      </c>
      <c r="U955" s="101">
        <f t="shared" si="118"/>
        <v>0</v>
      </c>
      <c r="V955" s="101">
        <f t="shared" si="118"/>
        <v>0</v>
      </c>
      <c r="W955" s="101">
        <f t="shared" si="118"/>
        <v>0</v>
      </c>
      <c r="X955" s="101">
        <f t="shared" si="118"/>
        <v>0</v>
      </c>
      <c r="Y955" s="101">
        <f t="shared" si="118"/>
        <v>0</v>
      </c>
      <c r="Z955" s="101">
        <f t="shared" si="118"/>
        <v>0</v>
      </c>
      <c r="AA955" s="101">
        <f t="shared" si="118"/>
        <v>0</v>
      </c>
      <c r="AB955" s="101">
        <f t="shared" si="118"/>
        <v>0</v>
      </c>
      <c r="AC955" s="101">
        <f t="shared" si="118"/>
        <v>0</v>
      </c>
      <c r="AD955" s="101">
        <f t="shared" si="118"/>
        <v>0</v>
      </c>
      <c r="AE955" s="101">
        <f t="shared" si="118"/>
        <v>0</v>
      </c>
      <c r="AF955" s="101">
        <f t="shared" si="118"/>
        <v>0</v>
      </c>
      <c r="AG955" s="101">
        <f t="shared" si="118"/>
        <v>0</v>
      </c>
      <c r="AH955" s="101">
        <f t="shared" si="118"/>
        <v>0</v>
      </c>
      <c r="AI955" s="101">
        <f t="shared" si="118"/>
        <v>0</v>
      </c>
      <c r="AJ955" s="101">
        <f t="shared" ref="AJ955:BO955" si="119">(Opening_year_sleep_disturbance_cost+(Difference_sleep_disturbance_cost)*(year-Opening_year)/(Forecast_and_opening_year_difference))*Interpolation_mask</f>
        <v>0</v>
      </c>
      <c r="AK955" s="101">
        <f t="shared" si="119"/>
        <v>0</v>
      </c>
      <c r="AL955" s="101">
        <f t="shared" si="119"/>
        <v>0</v>
      </c>
      <c r="AM955" s="101">
        <f t="shared" si="119"/>
        <v>0</v>
      </c>
      <c r="AN955" s="101">
        <f t="shared" si="119"/>
        <v>0</v>
      </c>
      <c r="AO955" s="101">
        <f t="shared" si="119"/>
        <v>0</v>
      </c>
      <c r="AP955" s="101">
        <f t="shared" si="119"/>
        <v>0</v>
      </c>
      <c r="AQ955" s="101">
        <f t="shared" si="119"/>
        <v>0</v>
      </c>
      <c r="AR955" s="101">
        <f t="shared" si="119"/>
        <v>0</v>
      </c>
      <c r="AS955" s="101">
        <f t="shared" si="119"/>
        <v>0</v>
      </c>
      <c r="AT955" s="101">
        <f t="shared" si="119"/>
        <v>0</v>
      </c>
      <c r="AU955" s="101">
        <f t="shared" si="119"/>
        <v>0</v>
      </c>
      <c r="AV955" s="101">
        <f t="shared" si="119"/>
        <v>0</v>
      </c>
      <c r="AW955" s="101">
        <f t="shared" si="119"/>
        <v>0</v>
      </c>
      <c r="AX955" s="101">
        <f t="shared" si="119"/>
        <v>0</v>
      </c>
      <c r="AY955" s="101">
        <f t="shared" si="119"/>
        <v>0</v>
      </c>
      <c r="AZ955" s="101">
        <f t="shared" si="119"/>
        <v>0</v>
      </c>
      <c r="BA955" s="101">
        <f t="shared" si="119"/>
        <v>0</v>
      </c>
      <c r="BB955" s="101">
        <f t="shared" si="119"/>
        <v>0</v>
      </c>
      <c r="BC955" s="101">
        <f t="shared" si="119"/>
        <v>0</v>
      </c>
      <c r="BD955" s="101">
        <f t="shared" si="119"/>
        <v>0</v>
      </c>
      <c r="BE955" s="101">
        <f t="shared" si="119"/>
        <v>0</v>
      </c>
      <c r="BF955" s="101">
        <f t="shared" si="119"/>
        <v>0</v>
      </c>
      <c r="BG955" s="101">
        <f t="shared" si="119"/>
        <v>0</v>
      </c>
      <c r="BH955" s="101">
        <f t="shared" si="119"/>
        <v>0</v>
      </c>
      <c r="BI955" s="101">
        <f t="shared" si="119"/>
        <v>0</v>
      </c>
      <c r="BJ955" s="101">
        <f t="shared" si="119"/>
        <v>0</v>
      </c>
      <c r="BK955" s="101">
        <f t="shared" si="119"/>
        <v>0</v>
      </c>
      <c r="BL955" s="101">
        <f t="shared" si="119"/>
        <v>0</v>
      </c>
      <c r="BM955" s="101">
        <f t="shared" si="119"/>
        <v>0</v>
      </c>
      <c r="BN955" s="101">
        <f t="shared" si="119"/>
        <v>0</v>
      </c>
      <c r="BO955" s="101">
        <f t="shared" si="119"/>
        <v>0</v>
      </c>
      <c r="BP955" s="101">
        <f t="shared" ref="BP955:CP955" si="120">(Opening_year_sleep_disturbance_cost+(Difference_sleep_disturbance_cost)*(year-Opening_year)/(Forecast_and_opening_year_difference))*Interpolation_mask</f>
        <v>0</v>
      </c>
      <c r="BQ955" s="101">
        <f t="shared" si="120"/>
        <v>0</v>
      </c>
      <c r="BR955" s="101">
        <f t="shared" si="120"/>
        <v>0</v>
      </c>
      <c r="BS955" s="101">
        <f t="shared" si="120"/>
        <v>0</v>
      </c>
      <c r="BT955" s="101">
        <f t="shared" si="120"/>
        <v>0</v>
      </c>
      <c r="BU955" s="101">
        <f t="shared" si="120"/>
        <v>0</v>
      </c>
      <c r="BV955" s="101">
        <f t="shared" si="120"/>
        <v>0</v>
      </c>
      <c r="BW955" s="101">
        <f t="shared" si="120"/>
        <v>0</v>
      </c>
      <c r="BX955" s="101">
        <f t="shared" si="120"/>
        <v>0</v>
      </c>
      <c r="BY955" s="101">
        <f t="shared" si="120"/>
        <v>0</v>
      </c>
      <c r="BZ955" s="101">
        <f t="shared" si="120"/>
        <v>0</v>
      </c>
      <c r="CA955" s="101">
        <f t="shared" si="120"/>
        <v>0</v>
      </c>
      <c r="CB955" s="101">
        <f t="shared" si="120"/>
        <v>0</v>
      </c>
      <c r="CC955" s="101">
        <f t="shared" si="120"/>
        <v>0</v>
      </c>
      <c r="CD955" s="101">
        <f t="shared" si="120"/>
        <v>0</v>
      </c>
      <c r="CE955" s="101">
        <f t="shared" si="120"/>
        <v>0</v>
      </c>
      <c r="CF955" s="101">
        <f t="shared" si="120"/>
        <v>0</v>
      </c>
      <c r="CG955" s="101">
        <f t="shared" si="120"/>
        <v>0</v>
      </c>
      <c r="CH955" s="101">
        <f t="shared" si="120"/>
        <v>0</v>
      </c>
      <c r="CI955" s="101">
        <f t="shared" si="120"/>
        <v>0</v>
      </c>
      <c r="CJ955" s="101">
        <f t="shared" si="120"/>
        <v>0</v>
      </c>
      <c r="CK955" s="101">
        <f t="shared" si="120"/>
        <v>0</v>
      </c>
      <c r="CL955" s="101">
        <f t="shared" si="120"/>
        <v>0</v>
      </c>
      <c r="CM955" s="101">
        <f t="shared" si="120"/>
        <v>0</v>
      </c>
      <c r="CN955" s="101">
        <f t="shared" si="120"/>
        <v>0</v>
      </c>
      <c r="CO955" s="101">
        <f t="shared" si="120"/>
        <v>0</v>
      </c>
      <c r="CP955" s="101">
        <f t="shared" si="120"/>
        <v>0</v>
      </c>
      <c r="CQ955" s="3" t="s">
        <v>277</v>
      </c>
    </row>
    <row r="956" spans="1:95" ht="14.5" x14ac:dyDescent="0.35">
      <c r="A956" s="102"/>
      <c r="B956" s="102" t="s">
        <v>270</v>
      </c>
      <c r="C956" s="102"/>
      <c r="D956" s="101">
        <f t="shared" ref="D956:AI956" si="121">Forecast_year_sleep_disturbance_cost*Extrapolation_mask</f>
        <v>0</v>
      </c>
      <c r="E956" s="101">
        <f t="shared" si="121"/>
        <v>0</v>
      </c>
      <c r="F956" s="101">
        <f t="shared" si="121"/>
        <v>0</v>
      </c>
      <c r="G956" s="101">
        <f t="shared" si="121"/>
        <v>0</v>
      </c>
      <c r="H956" s="101">
        <f t="shared" si="121"/>
        <v>0</v>
      </c>
      <c r="I956" s="101">
        <f t="shared" si="121"/>
        <v>0</v>
      </c>
      <c r="J956" s="101">
        <f t="shared" si="121"/>
        <v>0</v>
      </c>
      <c r="K956" s="101">
        <f t="shared" si="121"/>
        <v>0</v>
      </c>
      <c r="L956" s="101">
        <f t="shared" si="121"/>
        <v>0</v>
      </c>
      <c r="M956" s="101">
        <f t="shared" si="121"/>
        <v>0</v>
      </c>
      <c r="N956" s="101">
        <f t="shared" si="121"/>
        <v>0</v>
      </c>
      <c r="O956" s="101">
        <f t="shared" si="121"/>
        <v>0</v>
      </c>
      <c r="P956" s="101">
        <f t="shared" si="121"/>
        <v>0</v>
      </c>
      <c r="Q956" s="101">
        <f t="shared" si="121"/>
        <v>0</v>
      </c>
      <c r="R956" s="101">
        <f t="shared" si="121"/>
        <v>0</v>
      </c>
      <c r="S956" s="101">
        <f t="shared" si="121"/>
        <v>0</v>
      </c>
      <c r="T956" s="101">
        <f t="shared" si="121"/>
        <v>0</v>
      </c>
      <c r="U956" s="101">
        <f t="shared" si="121"/>
        <v>0</v>
      </c>
      <c r="V956" s="101">
        <f t="shared" si="121"/>
        <v>0</v>
      </c>
      <c r="W956" s="101">
        <f t="shared" si="121"/>
        <v>0</v>
      </c>
      <c r="X956" s="101">
        <f t="shared" si="121"/>
        <v>0</v>
      </c>
      <c r="Y956" s="101">
        <f t="shared" si="121"/>
        <v>0</v>
      </c>
      <c r="Z956" s="101">
        <f t="shared" si="121"/>
        <v>0</v>
      </c>
      <c r="AA956" s="101">
        <f t="shared" si="121"/>
        <v>0</v>
      </c>
      <c r="AB956" s="101">
        <f t="shared" si="121"/>
        <v>0</v>
      </c>
      <c r="AC956" s="101">
        <f t="shared" si="121"/>
        <v>0</v>
      </c>
      <c r="AD956" s="101">
        <f t="shared" si="121"/>
        <v>0</v>
      </c>
      <c r="AE956" s="101">
        <f t="shared" si="121"/>
        <v>0</v>
      </c>
      <c r="AF956" s="101">
        <f t="shared" si="121"/>
        <v>0</v>
      </c>
      <c r="AG956" s="101">
        <f t="shared" si="121"/>
        <v>0</v>
      </c>
      <c r="AH956" s="101">
        <f t="shared" si="121"/>
        <v>0</v>
      </c>
      <c r="AI956" s="101">
        <f t="shared" si="121"/>
        <v>0</v>
      </c>
      <c r="AJ956" s="101">
        <f t="shared" ref="AJ956:BO956" si="122">Forecast_year_sleep_disturbance_cost*Extrapolation_mask</f>
        <v>0</v>
      </c>
      <c r="AK956" s="101">
        <f t="shared" si="122"/>
        <v>0</v>
      </c>
      <c r="AL956" s="101">
        <f t="shared" si="122"/>
        <v>0</v>
      </c>
      <c r="AM956" s="101">
        <f t="shared" si="122"/>
        <v>0</v>
      </c>
      <c r="AN956" s="101">
        <f t="shared" si="122"/>
        <v>0</v>
      </c>
      <c r="AO956" s="101">
        <f t="shared" si="122"/>
        <v>0</v>
      </c>
      <c r="AP956" s="101">
        <f t="shared" si="122"/>
        <v>0</v>
      </c>
      <c r="AQ956" s="101">
        <f t="shared" si="122"/>
        <v>0</v>
      </c>
      <c r="AR956" s="101">
        <f t="shared" si="122"/>
        <v>0</v>
      </c>
      <c r="AS956" s="101">
        <f t="shared" si="122"/>
        <v>0</v>
      </c>
      <c r="AT956" s="101">
        <f t="shared" si="122"/>
        <v>0</v>
      </c>
      <c r="AU956" s="101">
        <f t="shared" si="122"/>
        <v>0</v>
      </c>
      <c r="AV956" s="101">
        <f t="shared" si="122"/>
        <v>0</v>
      </c>
      <c r="AW956" s="101">
        <f t="shared" si="122"/>
        <v>0</v>
      </c>
      <c r="AX956" s="101">
        <f t="shared" si="122"/>
        <v>0</v>
      </c>
      <c r="AY956" s="101">
        <f t="shared" si="122"/>
        <v>0</v>
      </c>
      <c r="AZ956" s="101">
        <f t="shared" si="122"/>
        <v>0</v>
      </c>
      <c r="BA956" s="101">
        <f t="shared" si="122"/>
        <v>0</v>
      </c>
      <c r="BB956" s="101">
        <f t="shared" si="122"/>
        <v>0</v>
      </c>
      <c r="BC956" s="101">
        <f t="shared" si="122"/>
        <v>0</v>
      </c>
      <c r="BD956" s="101">
        <f t="shared" si="122"/>
        <v>0</v>
      </c>
      <c r="BE956" s="101">
        <f t="shared" si="122"/>
        <v>0</v>
      </c>
      <c r="BF956" s="101">
        <f t="shared" si="122"/>
        <v>0</v>
      </c>
      <c r="BG956" s="101">
        <f t="shared" si="122"/>
        <v>0</v>
      </c>
      <c r="BH956" s="101">
        <f t="shared" si="122"/>
        <v>0</v>
      </c>
      <c r="BI956" s="101">
        <f t="shared" si="122"/>
        <v>0</v>
      </c>
      <c r="BJ956" s="101">
        <f t="shared" si="122"/>
        <v>0</v>
      </c>
      <c r="BK956" s="101">
        <f t="shared" si="122"/>
        <v>0</v>
      </c>
      <c r="BL956" s="101">
        <f t="shared" si="122"/>
        <v>0</v>
      </c>
      <c r="BM956" s="101">
        <f t="shared" si="122"/>
        <v>0</v>
      </c>
      <c r="BN956" s="101">
        <f t="shared" si="122"/>
        <v>0</v>
      </c>
      <c r="BO956" s="101">
        <f t="shared" si="122"/>
        <v>0</v>
      </c>
      <c r="BP956" s="101">
        <f t="shared" ref="BP956:CP956" si="123">Forecast_year_sleep_disturbance_cost*Extrapolation_mask</f>
        <v>0</v>
      </c>
      <c r="BQ956" s="101">
        <f t="shared" si="123"/>
        <v>0</v>
      </c>
      <c r="BR956" s="101">
        <f t="shared" si="123"/>
        <v>0</v>
      </c>
      <c r="BS956" s="101">
        <f t="shared" si="123"/>
        <v>0</v>
      </c>
      <c r="BT956" s="101">
        <f t="shared" si="123"/>
        <v>0</v>
      </c>
      <c r="BU956" s="101">
        <f t="shared" si="123"/>
        <v>0</v>
      </c>
      <c r="BV956" s="101">
        <f t="shared" si="123"/>
        <v>0</v>
      </c>
      <c r="BW956" s="101">
        <f t="shared" si="123"/>
        <v>0</v>
      </c>
      <c r="BX956" s="101">
        <f t="shared" si="123"/>
        <v>0</v>
      </c>
      <c r="BY956" s="101">
        <f t="shared" si="123"/>
        <v>0</v>
      </c>
      <c r="BZ956" s="101">
        <f t="shared" si="123"/>
        <v>0</v>
      </c>
      <c r="CA956" s="101">
        <f t="shared" si="123"/>
        <v>0</v>
      </c>
      <c r="CB956" s="101">
        <f t="shared" si="123"/>
        <v>0</v>
      </c>
      <c r="CC956" s="101">
        <f t="shared" si="123"/>
        <v>0</v>
      </c>
      <c r="CD956" s="101">
        <f t="shared" si="123"/>
        <v>0</v>
      </c>
      <c r="CE956" s="101">
        <f t="shared" si="123"/>
        <v>0</v>
      </c>
      <c r="CF956" s="101">
        <f t="shared" si="123"/>
        <v>0</v>
      </c>
      <c r="CG956" s="101">
        <f t="shared" si="123"/>
        <v>0</v>
      </c>
      <c r="CH956" s="101">
        <f t="shared" si="123"/>
        <v>0</v>
      </c>
      <c r="CI956" s="101">
        <f t="shared" si="123"/>
        <v>0</v>
      </c>
      <c r="CJ956" s="101">
        <f t="shared" si="123"/>
        <v>0</v>
      </c>
      <c r="CK956" s="101">
        <f t="shared" si="123"/>
        <v>0</v>
      </c>
      <c r="CL956" s="101">
        <f t="shared" si="123"/>
        <v>0</v>
      </c>
      <c r="CM956" s="101">
        <f t="shared" si="123"/>
        <v>0</v>
      </c>
      <c r="CN956" s="101">
        <f t="shared" si="123"/>
        <v>0</v>
      </c>
      <c r="CO956" s="101">
        <f t="shared" si="123"/>
        <v>0</v>
      </c>
      <c r="CP956" s="101">
        <f t="shared" si="123"/>
        <v>0</v>
      </c>
      <c r="CQ956" s="3" t="s">
        <v>278</v>
      </c>
    </row>
    <row r="957" spans="1:95" ht="14.5" x14ac:dyDescent="0.35">
      <c r="A957" s="102"/>
      <c r="B957" s="102" t="s">
        <v>279</v>
      </c>
      <c r="C957" s="102"/>
      <c r="D957" s="101">
        <f>Opening_year_sleep_disturbance_cost_mask+Forecast_year_sleep_disturbance_cost_mask+Interpolation_sleep_disturbance_cost_mask+Extrapolation_sleep_disturbance_cost_mask</f>
        <v>0</v>
      </c>
      <c r="E957" s="101">
        <f t="shared" ref="E957:AJ957" si="124">Opening_year_sleep_disturbance_cost_mask+Forecast_year_sleep_disturbance_mask+Interpolation_sleep_disturbance_mask+Extrapolation_sleep_disturbance_mask</f>
        <v>0</v>
      </c>
      <c r="F957" s="101">
        <f t="shared" si="124"/>
        <v>0</v>
      </c>
      <c r="G957" s="101">
        <f>Opening_year_sleep_disturbance_cost_mask+Forecast_year_sleep_disturbance_mask+Interpolation_sleep_disturbance_mask+Extrapolation_sleep_disturbance_mask</f>
        <v>0</v>
      </c>
      <c r="H957" s="101">
        <f t="shared" si="124"/>
        <v>0</v>
      </c>
      <c r="I957" s="101">
        <f t="shared" si="124"/>
        <v>0</v>
      </c>
      <c r="J957" s="101">
        <f t="shared" si="124"/>
        <v>0</v>
      </c>
      <c r="K957" s="101">
        <f t="shared" si="124"/>
        <v>0</v>
      </c>
      <c r="L957" s="101">
        <f t="shared" si="124"/>
        <v>0</v>
      </c>
      <c r="M957" s="101">
        <f t="shared" si="124"/>
        <v>0</v>
      </c>
      <c r="N957" s="101">
        <f t="shared" si="124"/>
        <v>0</v>
      </c>
      <c r="O957" s="101">
        <f t="shared" si="124"/>
        <v>0</v>
      </c>
      <c r="P957" s="101">
        <f t="shared" si="124"/>
        <v>0</v>
      </c>
      <c r="Q957" s="101">
        <f t="shared" si="124"/>
        <v>0</v>
      </c>
      <c r="R957" s="101">
        <f t="shared" si="124"/>
        <v>0</v>
      </c>
      <c r="S957" s="101">
        <f t="shared" si="124"/>
        <v>0</v>
      </c>
      <c r="T957" s="101">
        <f t="shared" si="124"/>
        <v>0</v>
      </c>
      <c r="U957" s="101">
        <f t="shared" si="124"/>
        <v>0</v>
      </c>
      <c r="V957" s="101">
        <f t="shared" si="124"/>
        <v>0</v>
      </c>
      <c r="W957" s="101">
        <f t="shared" si="124"/>
        <v>0</v>
      </c>
      <c r="X957" s="101">
        <f t="shared" si="124"/>
        <v>0</v>
      </c>
      <c r="Y957" s="101">
        <f t="shared" si="124"/>
        <v>0</v>
      </c>
      <c r="Z957" s="101">
        <f t="shared" si="124"/>
        <v>0</v>
      </c>
      <c r="AA957" s="101">
        <f t="shared" si="124"/>
        <v>0</v>
      </c>
      <c r="AB957" s="101">
        <f t="shared" si="124"/>
        <v>0</v>
      </c>
      <c r="AC957" s="101">
        <f t="shared" si="124"/>
        <v>0</v>
      </c>
      <c r="AD957" s="101">
        <f t="shared" si="124"/>
        <v>0</v>
      </c>
      <c r="AE957" s="101">
        <f t="shared" si="124"/>
        <v>0</v>
      </c>
      <c r="AF957" s="101">
        <f t="shared" si="124"/>
        <v>0</v>
      </c>
      <c r="AG957" s="101">
        <f t="shared" si="124"/>
        <v>0</v>
      </c>
      <c r="AH957" s="101">
        <f t="shared" si="124"/>
        <v>0</v>
      </c>
      <c r="AI957" s="101">
        <f t="shared" si="124"/>
        <v>0</v>
      </c>
      <c r="AJ957" s="101">
        <f t="shared" si="124"/>
        <v>0</v>
      </c>
      <c r="AK957" s="101">
        <f t="shared" ref="AK957:BP957" si="125">Opening_year_sleep_disturbance_cost_mask+Forecast_year_sleep_disturbance_mask+Interpolation_sleep_disturbance_mask+Extrapolation_sleep_disturbance_mask</f>
        <v>0</v>
      </c>
      <c r="AL957" s="101">
        <f t="shared" si="125"/>
        <v>0</v>
      </c>
      <c r="AM957" s="101">
        <f t="shared" si="125"/>
        <v>0</v>
      </c>
      <c r="AN957" s="101">
        <f t="shared" si="125"/>
        <v>0</v>
      </c>
      <c r="AO957" s="101">
        <f t="shared" si="125"/>
        <v>0</v>
      </c>
      <c r="AP957" s="101">
        <f t="shared" si="125"/>
        <v>0</v>
      </c>
      <c r="AQ957" s="101">
        <f t="shared" si="125"/>
        <v>0</v>
      </c>
      <c r="AR957" s="101">
        <f t="shared" si="125"/>
        <v>0</v>
      </c>
      <c r="AS957" s="101">
        <f t="shared" si="125"/>
        <v>0</v>
      </c>
      <c r="AT957" s="101">
        <f t="shared" si="125"/>
        <v>0</v>
      </c>
      <c r="AU957" s="101">
        <f t="shared" si="125"/>
        <v>0</v>
      </c>
      <c r="AV957" s="101">
        <f t="shared" si="125"/>
        <v>0</v>
      </c>
      <c r="AW957" s="101">
        <f t="shared" si="125"/>
        <v>0</v>
      </c>
      <c r="AX957" s="101">
        <f t="shared" si="125"/>
        <v>0</v>
      </c>
      <c r="AY957" s="101">
        <f t="shared" si="125"/>
        <v>0</v>
      </c>
      <c r="AZ957" s="101">
        <f t="shared" si="125"/>
        <v>0</v>
      </c>
      <c r="BA957" s="101">
        <f t="shared" si="125"/>
        <v>0</v>
      </c>
      <c r="BB957" s="101">
        <f t="shared" si="125"/>
        <v>0</v>
      </c>
      <c r="BC957" s="101">
        <f t="shared" si="125"/>
        <v>0</v>
      </c>
      <c r="BD957" s="101">
        <f t="shared" si="125"/>
        <v>0</v>
      </c>
      <c r="BE957" s="101">
        <f t="shared" si="125"/>
        <v>0</v>
      </c>
      <c r="BF957" s="101">
        <f t="shared" si="125"/>
        <v>0</v>
      </c>
      <c r="BG957" s="101">
        <f t="shared" si="125"/>
        <v>0</v>
      </c>
      <c r="BH957" s="101">
        <f t="shared" si="125"/>
        <v>0</v>
      </c>
      <c r="BI957" s="101">
        <f t="shared" si="125"/>
        <v>0</v>
      </c>
      <c r="BJ957" s="101">
        <f t="shared" si="125"/>
        <v>0</v>
      </c>
      <c r="BK957" s="101">
        <f t="shared" si="125"/>
        <v>0</v>
      </c>
      <c r="BL957" s="101">
        <f t="shared" si="125"/>
        <v>0</v>
      </c>
      <c r="BM957" s="101">
        <f t="shared" si="125"/>
        <v>0</v>
      </c>
      <c r="BN957" s="101">
        <f t="shared" si="125"/>
        <v>0</v>
      </c>
      <c r="BO957" s="101">
        <f t="shared" si="125"/>
        <v>0</v>
      </c>
      <c r="BP957" s="101">
        <f t="shared" si="125"/>
        <v>0</v>
      </c>
      <c r="BQ957" s="101">
        <f t="shared" ref="BQ957:CP957" si="126">Opening_year_sleep_disturbance_cost_mask+Forecast_year_sleep_disturbance_mask+Interpolation_sleep_disturbance_mask+Extrapolation_sleep_disturbance_mask</f>
        <v>0</v>
      </c>
      <c r="BR957" s="101">
        <f t="shared" si="126"/>
        <v>0</v>
      </c>
      <c r="BS957" s="101">
        <f t="shared" si="126"/>
        <v>0</v>
      </c>
      <c r="BT957" s="101">
        <f t="shared" si="126"/>
        <v>0</v>
      </c>
      <c r="BU957" s="101">
        <f t="shared" si="126"/>
        <v>0</v>
      </c>
      <c r="BV957" s="101">
        <f t="shared" si="126"/>
        <v>0</v>
      </c>
      <c r="BW957" s="101">
        <f t="shared" si="126"/>
        <v>0</v>
      </c>
      <c r="BX957" s="101">
        <f t="shared" si="126"/>
        <v>0</v>
      </c>
      <c r="BY957" s="101">
        <f t="shared" si="126"/>
        <v>0</v>
      </c>
      <c r="BZ957" s="101">
        <f t="shared" si="126"/>
        <v>0</v>
      </c>
      <c r="CA957" s="101">
        <f t="shared" si="126"/>
        <v>0</v>
      </c>
      <c r="CB957" s="101">
        <f t="shared" si="126"/>
        <v>0</v>
      </c>
      <c r="CC957" s="101">
        <f t="shared" si="126"/>
        <v>0</v>
      </c>
      <c r="CD957" s="101">
        <f t="shared" si="126"/>
        <v>0</v>
      </c>
      <c r="CE957" s="101">
        <f t="shared" si="126"/>
        <v>0</v>
      </c>
      <c r="CF957" s="101">
        <f t="shared" si="126"/>
        <v>0</v>
      </c>
      <c r="CG957" s="101">
        <f t="shared" si="126"/>
        <v>0</v>
      </c>
      <c r="CH957" s="101">
        <f t="shared" si="126"/>
        <v>0</v>
      </c>
      <c r="CI957" s="101">
        <f t="shared" si="126"/>
        <v>0</v>
      </c>
      <c r="CJ957" s="101">
        <f t="shared" si="126"/>
        <v>0</v>
      </c>
      <c r="CK957" s="101">
        <f t="shared" si="126"/>
        <v>0</v>
      </c>
      <c r="CL957" s="101">
        <f t="shared" si="126"/>
        <v>0</v>
      </c>
      <c r="CM957" s="101">
        <f t="shared" si="126"/>
        <v>0</v>
      </c>
      <c r="CN957" s="101">
        <f t="shared" si="126"/>
        <v>0</v>
      </c>
      <c r="CO957" s="101">
        <f t="shared" si="126"/>
        <v>0</v>
      </c>
      <c r="CP957" s="101">
        <f t="shared" si="126"/>
        <v>0</v>
      </c>
      <c r="CQ957" s="3" t="s">
        <v>280</v>
      </c>
    </row>
    <row r="958" spans="1:95" ht="14.5" x14ac:dyDescent="0.35">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5">
      <c r="B959" s="5" t="s">
        <v>281</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5" x14ac:dyDescent="0.35">
      <c r="A962" s="102"/>
      <c r="B962" s="102" t="s">
        <v>67</v>
      </c>
      <c r="C962" s="102"/>
      <c r="D962" s="101">
        <f t="shared" ref="D962:AI962" si="127">Opening_year_amenity_cost*Opening_year_mask</f>
        <v>0</v>
      </c>
      <c r="E962" s="101">
        <f t="shared" si="127"/>
        <v>0</v>
      </c>
      <c r="F962" s="101">
        <f t="shared" si="127"/>
        <v>0</v>
      </c>
      <c r="G962" s="101">
        <f t="shared" si="127"/>
        <v>0</v>
      </c>
      <c r="H962" s="101">
        <f t="shared" si="127"/>
        <v>0</v>
      </c>
      <c r="I962" s="101">
        <f t="shared" si="127"/>
        <v>0</v>
      </c>
      <c r="J962" s="101">
        <f t="shared" si="127"/>
        <v>0</v>
      </c>
      <c r="K962" s="101">
        <f t="shared" si="127"/>
        <v>0</v>
      </c>
      <c r="L962" s="101">
        <f t="shared" si="127"/>
        <v>0</v>
      </c>
      <c r="M962" s="101">
        <f t="shared" si="127"/>
        <v>0</v>
      </c>
      <c r="N962" s="101">
        <f t="shared" si="127"/>
        <v>0</v>
      </c>
      <c r="O962" s="101">
        <f t="shared" si="127"/>
        <v>0</v>
      </c>
      <c r="P962" s="101">
        <f t="shared" si="127"/>
        <v>0</v>
      </c>
      <c r="Q962" s="101">
        <f t="shared" si="127"/>
        <v>0</v>
      </c>
      <c r="R962" s="101">
        <f t="shared" si="127"/>
        <v>0</v>
      </c>
      <c r="S962" s="101">
        <f t="shared" si="127"/>
        <v>0</v>
      </c>
      <c r="T962" s="101">
        <f t="shared" si="127"/>
        <v>0</v>
      </c>
      <c r="U962" s="101">
        <f t="shared" si="127"/>
        <v>0</v>
      </c>
      <c r="V962" s="101">
        <f t="shared" si="127"/>
        <v>0</v>
      </c>
      <c r="W962" s="101">
        <f t="shared" si="127"/>
        <v>0</v>
      </c>
      <c r="X962" s="101">
        <f t="shared" si="127"/>
        <v>0</v>
      </c>
      <c r="Y962" s="101">
        <f t="shared" si="127"/>
        <v>0</v>
      </c>
      <c r="Z962" s="101">
        <f t="shared" si="127"/>
        <v>0</v>
      </c>
      <c r="AA962" s="101">
        <f t="shared" si="127"/>
        <v>0</v>
      </c>
      <c r="AB962" s="101">
        <f t="shared" si="127"/>
        <v>0</v>
      </c>
      <c r="AC962" s="101">
        <f>Opening_year_amenity_cost*Opening_year_mask</f>
        <v>0</v>
      </c>
      <c r="AD962" s="101">
        <f t="shared" si="127"/>
        <v>0</v>
      </c>
      <c r="AE962" s="101">
        <f t="shared" si="127"/>
        <v>0</v>
      </c>
      <c r="AF962" s="101">
        <f t="shared" si="127"/>
        <v>0</v>
      </c>
      <c r="AG962" s="101">
        <f t="shared" si="127"/>
        <v>0</v>
      </c>
      <c r="AH962" s="101">
        <f t="shared" si="127"/>
        <v>0</v>
      </c>
      <c r="AI962" s="101">
        <f t="shared" si="127"/>
        <v>0</v>
      </c>
      <c r="AJ962" s="101">
        <f t="shared" ref="AJ962:BO962" si="128">Opening_year_amenity_cost*Opening_year_mask</f>
        <v>0</v>
      </c>
      <c r="AK962" s="101">
        <f t="shared" si="128"/>
        <v>0</v>
      </c>
      <c r="AL962" s="101">
        <f t="shared" si="128"/>
        <v>0</v>
      </c>
      <c r="AM962" s="101">
        <f t="shared" si="128"/>
        <v>0</v>
      </c>
      <c r="AN962" s="101">
        <f t="shared" si="128"/>
        <v>0</v>
      </c>
      <c r="AO962" s="101">
        <f t="shared" si="128"/>
        <v>0</v>
      </c>
      <c r="AP962" s="101">
        <f t="shared" si="128"/>
        <v>0</v>
      </c>
      <c r="AQ962" s="101">
        <f t="shared" si="128"/>
        <v>0</v>
      </c>
      <c r="AR962" s="101">
        <f t="shared" si="128"/>
        <v>0</v>
      </c>
      <c r="AS962" s="101">
        <f t="shared" si="128"/>
        <v>0</v>
      </c>
      <c r="AT962" s="101">
        <f t="shared" si="128"/>
        <v>0</v>
      </c>
      <c r="AU962" s="101">
        <f t="shared" si="128"/>
        <v>0</v>
      </c>
      <c r="AV962" s="101">
        <f t="shared" si="128"/>
        <v>0</v>
      </c>
      <c r="AW962" s="101">
        <f t="shared" si="128"/>
        <v>0</v>
      </c>
      <c r="AX962" s="101">
        <f t="shared" si="128"/>
        <v>0</v>
      </c>
      <c r="AY962" s="101">
        <f t="shared" si="128"/>
        <v>0</v>
      </c>
      <c r="AZ962" s="101">
        <f t="shared" si="128"/>
        <v>0</v>
      </c>
      <c r="BA962" s="101">
        <f t="shared" si="128"/>
        <v>0</v>
      </c>
      <c r="BB962" s="101">
        <f t="shared" si="128"/>
        <v>0</v>
      </c>
      <c r="BC962" s="101">
        <f t="shared" si="128"/>
        <v>0</v>
      </c>
      <c r="BD962" s="101">
        <f t="shared" si="128"/>
        <v>0</v>
      </c>
      <c r="BE962" s="101">
        <f t="shared" si="128"/>
        <v>0</v>
      </c>
      <c r="BF962" s="101">
        <f t="shared" si="128"/>
        <v>0</v>
      </c>
      <c r="BG962" s="101">
        <f t="shared" si="128"/>
        <v>0</v>
      </c>
      <c r="BH962" s="101">
        <f t="shared" si="128"/>
        <v>0</v>
      </c>
      <c r="BI962" s="101">
        <f t="shared" si="128"/>
        <v>0</v>
      </c>
      <c r="BJ962" s="101">
        <f t="shared" si="128"/>
        <v>0</v>
      </c>
      <c r="BK962" s="101">
        <f t="shared" si="128"/>
        <v>0</v>
      </c>
      <c r="BL962" s="101">
        <f t="shared" si="128"/>
        <v>0</v>
      </c>
      <c r="BM962" s="101">
        <f t="shared" si="128"/>
        <v>0</v>
      </c>
      <c r="BN962" s="101">
        <f t="shared" si="128"/>
        <v>0</v>
      </c>
      <c r="BO962" s="101">
        <f t="shared" si="128"/>
        <v>0</v>
      </c>
      <c r="BP962" s="101">
        <f t="shared" ref="BP962:CP962" si="129">Opening_year_amenity_cost*Opening_year_mask</f>
        <v>0</v>
      </c>
      <c r="BQ962" s="101">
        <f t="shared" si="129"/>
        <v>0</v>
      </c>
      <c r="BR962" s="101">
        <f t="shared" si="129"/>
        <v>0</v>
      </c>
      <c r="BS962" s="101">
        <f t="shared" si="129"/>
        <v>0</v>
      </c>
      <c r="BT962" s="101">
        <f t="shared" si="129"/>
        <v>0</v>
      </c>
      <c r="BU962" s="101">
        <f t="shared" si="129"/>
        <v>0</v>
      </c>
      <c r="BV962" s="101">
        <f t="shared" si="129"/>
        <v>0</v>
      </c>
      <c r="BW962" s="101">
        <f t="shared" si="129"/>
        <v>0</v>
      </c>
      <c r="BX962" s="101">
        <f t="shared" si="129"/>
        <v>0</v>
      </c>
      <c r="BY962" s="101">
        <f t="shared" si="129"/>
        <v>0</v>
      </c>
      <c r="BZ962" s="101">
        <f t="shared" si="129"/>
        <v>0</v>
      </c>
      <c r="CA962" s="101">
        <f t="shared" si="129"/>
        <v>0</v>
      </c>
      <c r="CB962" s="101">
        <f t="shared" si="129"/>
        <v>0</v>
      </c>
      <c r="CC962" s="101">
        <f t="shared" si="129"/>
        <v>0</v>
      </c>
      <c r="CD962" s="101">
        <f t="shared" si="129"/>
        <v>0</v>
      </c>
      <c r="CE962" s="101">
        <f t="shared" si="129"/>
        <v>0</v>
      </c>
      <c r="CF962" s="101">
        <f t="shared" si="129"/>
        <v>0</v>
      </c>
      <c r="CG962" s="101">
        <f t="shared" si="129"/>
        <v>0</v>
      </c>
      <c r="CH962" s="101">
        <f t="shared" si="129"/>
        <v>0</v>
      </c>
      <c r="CI962" s="101">
        <f t="shared" si="129"/>
        <v>0</v>
      </c>
      <c r="CJ962" s="101">
        <f t="shared" si="129"/>
        <v>0</v>
      </c>
      <c r="CK962" s="101">
        <f t="shared" si="129"/>
        <v>0</v>
      </c>
      <c r="CL962" s="101">
        <f t="shared" si="129"/>
        <v>0</v>
      </c>
      <c r="CM962" s="101">
        <f t="shared" si="129"/>
        <v>0</v>
      </c>
      <c r="CN962" s="101">
        <f t="shared" si="129"/>
        <v>0</v>
      </c>
      <c r="CO962" s="101">
        <f t="shared" si="129"/>
        <v>0</v>
      </c>
      <c r="CP962" s="101">
        <f t="shared" si="129"/>
        <v>0</v>
      </c>
      <c r="CQ962" s="3" t="s">
        <v>282</v>
      </c>
    </row>
    <row r="963" spans="1:95" ht="14.5" x14ac:dyDescent="0.35">
      <c r="A963" s="102"/>
      <c r="B963" s="102" t="s">
        <v>69</v>
      </c>
      <c r="C963" s="102"/>
      <c r="D963" s="101">
        <f t="shared" ref="D963:AI963" si="130">Forecast_year_amenity_cost*Forecast_year_mask</f>
        <v>0</v>
      </c>
      <c r="E963" s="101">
        <f t="shared" si="130"/>
        <v>0</v>
      </c>
      <c r="F963" s="101">
        <f t="shared" si="130"/>
        <v>0</v>
      </c>
      <c r="G963" s="101">
        <f t="shared" si="130"/>
        <v>0</v>
      </c>
      <c r="H963" s="101">
        <f t="shared" si="130"/>
        <v>0</v>
      </c>
      <c r="I963" s="101">
        <f t="shared" si="130"/>
        <v>0</v>
      </c>
      <c r="J963" s="101">
        <f t="shared" si="130"/>
        <v>0</v>
      </c>
      <c r="K963" s="101">
        <f t="shared" si="130"/>
        <v>0</v>
      </c>
      <c r="L963" s="101">
        <f t="shared" si="130"/>
        <v>0</v>
      </c>
      <c r="M963" s="101">
        <f t="shared" si="130"/>
        <v>0</v>
      </c>
      <c r="N963" s="101">
        <f t="shared" si="130"/>
        <v>0</v>
      </c>
      <c r="O963" s="101">
        <f t="shared" si="130"/>
        <v>0</v>
      </c>
      <c r="P963" s="101">
        <f t="shared" si="130"/>
        <v>0</v>
      </c>
      <c r="Q963" s="101">
        <f t="shared" si="130"/>
        <v>0</v>
      </c>
      <c r="R963" s="101">
        <f t="shared" si="130"/>
        <v>0</v>
      </c>
      <c r="S963" s="101">
        <f t="shared" si="130"/>
        <v>0</v>
      </c>
      <c r="T963" s="101">
        <f t="shared" si="130"/>
        <v>0</v>
      </c>
      <c r="U963" s="101">
        <f t="shared" si="130"/>
        <v>0</v>
      </c>
      <c r="V963" s="101">
        <f t="shared" si="130"/>
        <v>0</v>
      </c>
      <c r="W963" s="101">
        <f t="shared" si="130"/>
        <v>0</v>
      </c>
      <c r="X963" s="101">
        <f t="shared" si="130"/>
        <v>0</v>
      </c>
      <c r="Y963" s="101">
        <f t="shared" si="130"/>
        <v>0</v>
      </c>
      <c r="Z963" s="101">
        <f t="shared" si="130"/>
        <v>0</v>
      </c>
      <c r="AA963" s="101">
        <f t="shared" si="130"/>
        <v>0</v>
      </c>
      <c r="AB963" s="101">
        <f t="shared" si="130"/>
        <v>0</v>
      </c>
      <c r="AC963" s="101">
        <f>Forecast_year_amenity_cost*Forecast_year_mask</f>
        <v>0</v>
      </c>
      <c r="AD963" s="101">
        <f t="shared" si="130"/>
        <v>0</v>
      </c>
      <c r="AE963" s="101">
        <f t="shared" si="130"/>
        <v>0</v>
      </c>
      <c r="AF963" s="101">
        <f t="shared" si="130"/>
        <v>0</v>
      </c>
      <c r="AG963" s="101">
        <f t="shared" si="130"/>
        <v>0</v>
      </c>
      <c r="AH963" s="101">
        <f t="shared" si="130"/>
        <v>0</v>
      </c>
      <c r="AI963" s="101">
        <f t="shared" si="130"/>
        <v>0</v>
      </c>
      <c r="AJ963" s="101">
        <f t="shared" ref="AJ963:BO963" si="131">Forecast_year_amenity_cost*Forecast_year_mask</f>
        <v>0</v>
      </c>
      <c r="AK963" s="101">
        <f t="shared" si="131"/>
        <v>0</v>
      </c>
      <c r="AL963" s="101">
        <f t="shared" si="131"/>
        <v>0</v>
      </c>
      <c r="AM963" s="101">
        <f t="shared" si="131"/>
        <v>0</v>
      </c>
      <c r="AN963" s="101">
        <f t="shared" si="131"/>
        <v>0</v>
      </c>
      <c r="AO963" s="101">
        <f t="shared" si="131"/>
        <v>0</v>
      </c>
      <c r="AP963" s="101">
        <f t="shared" si="131"/>
        <v>0</v>
      </c>
      <c r="AQ963" s="101">
        <f t="shared" si="131"/>
        <v>0</v>
      </c>
      <c r="AR963" s="101">
        <f t="shared" si="131"/>
        <v>0</v>
      </c>
      <c r="AS963" s="101">
        <f t="shared" si="131"/>
        <v>0</v>
      </c>
      <c r="AT963" s="101">
        <f t="shared" si="131"/>
        <v>0</v>
      </c>
      <c r="AU963" s="101">
        <f t="shared" si="131"/>
        <v>0</v>
      </c>
      <c r="AV963" s="101">
        <f t="shared" si="131"/>
        <v>0</v>
      </c>
      <c r="AW963" s="101">
        <f t="shared" si="131"/>
        <v>0</v>
      </c>
      <c r="AX963" s="101">
        <f t="shared" si="131"/>
        <v>0</v>
      </c>
      <c r="AY963" s="101">
        <f t="shared" si="131"/>
        <v>0</v>
      </c>
      <c r="AZ963" s="101">
        <f t="shared" si="131"/>
        <v>0</v>
      </c>
      <c r="BA963" s="101">
        <f t="shared" si="131"/>
        <v>0</v>
      </c>
      <c r="BB963" s="101">
        <f t="shared" si="131"/>
        <v>0</v>
      </c>
      <c r="BC963" s="101">
        <f t="shared" si="131"/>
        <v>0</v>
      </c>
      <c r="BD963" s="101">
        <f t="shared" si="131"/>
        <v>0</v>
      </c>
      <c r="BE963" s="101">
        <f t="shared" si="131"/>
        <v>0</v>
      </c>
      <c r="BF963" s="101">
        <f t="shared" si="131"/>
        <v>0</v>
      </c>
      <c r="BG963" s="101">
        <f t="shared" si="131"/>
        <v>0</v>
      </c>
      <c r="BH963" s="101">
        <f t="shared" si="131"/>
        <v>0</v>
      </c>
      <c r="BI963" s="101">
        <f t="shared" si="131"/>
        <v>0</v>
      </c>
      <c r="BJ963" s="101">
        <f t="shared" si="131"/>
        <v>0</v>
      </c>
      <c r="BK963" s="101">
        <f t="shared" si="131"/>
        <v>0</v>
      </c>
      <c r="BL963" s="101">
        <f t="shared" si="131"/>
        <v>0</v>
      </c>
      <c r="BM963" s="101">
        <f t="shared" si="131"/>
        <v>0</v>
      </c>
      <c r="BN963" s="101">
        <f t="shared" si="131"/>
        <v>0</v>
      </c>
      <c r="BO963" s="101">
        <f t="shared" si="131"/>
        <v>0</v>
      </c>
      <c r="BP963" s="101">
        <f t="shared" ref="BP963:CP963" si="132">Forecast_year_amenity_cost*Forecast_year_mask</f>
        <v>0</v>
      </c>
      <c r="BQ963" s="101">
        <f t="shared" si="132"/>
        <v>0</v>
      </c>
      <c r="BR963" s="101">
        <f t="shared" si="132"/>
        <v>0</v>
      </c>
      <c r="BS963" s="101">
        <f t="shared" si="132"/>
        <v>0</v>
      </c>
      <c r="BT963" s="101">
        <f t="shared" si="132"/>
        <v>0</v>
      </c>
      <c r="BU963" s="101">
        <f t="shared" si="132"/>
        <v>0</v>
      </c>
      <c r="BV963" s="101">
        <f t="shared" si="132"/>
        <v>0</v>
      </c>
      <c r="BW963" s="101">
        <f t="shared" si="132"/>
        <v>0</v>
      </c>
      <c r="BX963" s="101">
        <f t="shared" si="132"/>
        <v>0</v>
      </c>
      <c r="BY963" s="101">
        <f t="shared" si="132"/>
        <v>0</v>
      </c>
      <c r="BZ963" s="101">
        <f t="shared" si="132"/>
        <v>0</v>
      </c>
      <c r="CA963" s="101">
        <f t="shared" si="132"/>
        <v>0</v>
      </c>
      <c r="CB963" s="101">
        <f t="shared" si="132"/>
        <v>0</v>
      </c>
      <c r="CC963" s="101">
        <f t="shared" si="132"/>
        <v>0</v>
      </c>
      <c r="CD963" s="101">
        <f t="shared" si="132"/>
        <v>0</v>
      </c>
      <c r="CE963" s="101">
        <f t="shared" si="132"/>
        <v>0</v>
      </c>
      <c r="CF963" s="101">
        <f t="shared" si="132"/>
        <v>0</v>
      </c>
      <c r="CG963" s="101">
        <f t="shared" si="132"/>
        <v>0</v>
      </c>
      <c r="CH963" s="101">
        <f t="shared" si="132"/>
        <v>0</v>
      </c>
      <c r="CI963" s="101">
        <f t="shared" si="132"/>
        <v>0</v>
      </c>
      <c r="CJ963" s="101">
        <f t="shared" si="132"/>
        <v>0</v>
      </c>
      <c r="CK963" s="101">
        <f t="shared" si="132"/>
        <v>0</v>
      </c>
      <c r="CL963" s="101">
        <f t="shared" si="132"/>
        <v>0</v>
      </c>
      <c r="CM963" s="101">
        <f t="shared" si="132"/>
        <v>0</v>
      </c>
      <c r="CN963" s="101">
        <f t="shared" si="132"/>
        <v>0</v>
      </c>
      <c r="CO963" s="101">
        <f t="shared" si="132"/>
        <v>0</v>
      </c>
      <c r="CP963" s="101">
        <f t="shared" si="132"/>
        <v>0</v>
      </c>
      <c r="CQ963" s="3" t="s">
        <v>283</v>
      </c>
    </row>
    <row r="964" spans="1:95" ht="14.5" x14ac:dyDescent="0.35">
      <c r="A964" s="102"/>
      <c r="B964" s="102" t="s">
        <v>268</v>
      </c>
      <c r="C964" s="102"/>
      <c r="D964" s="101">
        <f t="shared" ref="D964:AI964" si="133">(Opening_year_amenity_cost+(Difference_amenity_cost)*(year-Opening_year)/(Forecast_and_opening_year_difference))*Interpolation_mask</f>
        <v>0</v>
      </c>
      <c r="E964" s="101">
        <f t="shared" si="133"/>
        <v>0</v>
      </c>
      <c r="F964" s="101">
        <f t="shared" si="133"/>
        <v>0</v>
      </c>
      <c r="G964" s="101">
        <f t="shared" si="133"/>
        <v>0</v>
      </c>
      <c r="H964" s="101">
        <f t="shared" si="133"/>
        <v>0</v>
      </c>
      <c r="I964" s="101">
        <f t="shared" si="133"/>
        <v>0</v>
      </c>
      <c r="J964" s="101">
        <f t="shared" si="133"/>
        <v>0</v>
      </c>
      <c r="K964" s="101">
        <f t="shared" si="133"/>
        <v>0</v>
      </c>
      <c r="L964" s="101">
        <f t="shared" si="133"/>
        <v>0</v>
      </c>
      <c r="M964" s="101">
        <f t="shared" si="133"/>
        <v>0</v>
      </c>
      <c r="N964" s="101">
        <f t="shared" si="133"/>
        <v>0</v>
      </c>
      <c r="O964" s="101">
        <f t="shared" si="133"/>
        <v>0</v>
      </c>
      <c r="P964" s="101">
        <f t="shared" si="133"/>
        <v>0</v>
      </c>
      <c r="Q964" s="101">
        <f t="shared" si="133"/>
        <v>0</v>
      </c>
      <c r="R964" s="101">
        <f t="shared" si="133"/>
        <v>0</v>
      </c>
      <c r="S964" s="101">
        <f t="shared" si="133"/>
        <v>0</v>
      </c>
      <c r="T964" s="101">
        <f t="shared" si="133"/>
        <v>0</v>
      </c>
      <c r="U964" s="101">
        <f t="shared" si="133"/>
        <v>0</v>
      </c>
      <c r="V964" s="101">
        <f t="shared" si="133"/>
        <v>0</v>
      </c>
      <c r="W964" s="101">
        <f t="shared" si="133"/>
        <v>0</v>
      </c>
      <c r="X964" s="101">
        <f t="shared" si="133"/>
        <v>0</v>
      </c>
      <c r="Y964" s="101">
        <f t="shared" si="133"/>
        <v>0</v>
      </c>
      <c r="Z964" s="101">
        <f t="shared" si="133"/>
        <v>0</v>
      </c>
      <c r="AA964" s="101">
        <f t="shared" si="133"/>
        <v>0</v>
      </c>
      <c r="AB964" s="101">
        <f t="shared" si="133"/>
        <v>0</v>
      </c>
      <c r="AC964" s="101">
        <f t="shared" si="133"/>
        <v>0</v>
      </c>
      <c r="AD964" s="101">
        <f t="shared" si="133"/>
        <v>0</v>
      </c>
      <c r="AE964" s="101">
        <f t="shared" si="133"/>
        <v>0</v>
      </c>
      <c r="AF964" s="101">
        <f t="shared" si="133"/>
        <v>0</v>
      </c>
      <c r="AG964" s="101">
        <f t="shared" si="133"/>
        <v>0</v>
      </c>
      <c r="AH964" s="101">
        <f t="shared" si="133"/>
        <v>0</v>
      </c>
      <c r="AI964" s="101">
        <f t="shared" si="133"/>
        <v>0</v>
      </c>
      <c r="AJ964" s="101">
        <f t="shared" ref="AJ964:BO964" si="134">(Opening_year_amenity_cost+(Difference_amenity_cost)*(year-Opening_year)/(Forecast_and_opening_year_difference))*Interpolation_mask</f>
        <v>0</v>
      </c>
      <c r="AK964" s="101">
        <f t="shared" si="134"/>
        <v>0</v>
      </c>
      <c r="AL964" s="101">
        <f t="shared" si="134"/>
        <v>0</v>
      </c>
      <c r="AM964" s="101">
        <f t="shared" si="134"/>
        <v>0</v>
      </c>
      <c r="AN964" s="101">
        <f t="shared" si="134"/>
        <v>0</v>
      </c>
      <c r="AO964" s="101">
        <f t="shared" si="134"/>
        <v>0</v>
      </c>
      <c r="AP964" s="101">
        <f t="shared" si="134"/>
        <v>0</v>
      </c>
      <c r="AQ964" s="101">
        <f t="shared" si="134"/>
        <v>0</v>
      </c>
      <c r="AR964" s="101">
        <f t="shared" si="134"/>
        <v>0</v>
      </c>
      <c r="AS964" s="101">
        <f t="shared" si="134"/>
        <v>0</v>
      </c>
      <c r="AT964" s="101">
        <f t="shared" si="134"/>
        <v>0</v>
      </c>
      <c r="AU964" s="101">
        <f t="shared" si="134"/>
        <v>0</v>
      </c>
      <c r="AV964" s="101">
        <f t="shared" si="134"/>
        <v>0</v>
      </c>
      <c r="AW964" s="101">
        <f t="shared" si="134"/>
        <v>0</v>
      </c>
      <c r="AX964" s="101">
        <f t="shared" si="134"/>
        <v>0</v>
      </c>
      <c r="AY964" s="101">
        <f t="shared" si="134"/>
        <v>0</v>
      </c>
      <c r="AZ964" s="101">
        <f t="shared" si="134"/>
        <v>0</v>
      </c>
      <c r="BA964" s="101">
        <f t="shared" si="134"/>
        <v>0</v>
      </c>
      <c r="BB964" s="101">
        <f t="shared" si="134"/>
        <v>0</v>
      </c>
      <c r="BC964" s="101">
        <f t="shared" si="134"/>
        <v>0</v>
      </c>
      <c r="BD964" s="101">
        <f t="shared" si="134"/>
        <v>0</v>
      </c>
      <c r="BE964" s="101">
        <f t="shared" si="134"/>
        <v>0</v>
      </c>
      <c r="BF964" s="101">
        <f t="shared" si="134"/>
        <v>0</v>
      </c>
      <c r="BG964" s="101">
        <f t="shared" si="134"/>
        <v>0</v>
      </c>
      <c r="BH964" s="101">
        <f t="shared" si="134"/>
        <v>0</v>
      </c>
      <c r="BI964" s="101">
        <f t="shared" si="134"/>
        <v>0</v>
      </c>
      <c r="BJ964" s="101">
        <f t="shared" si="134"/>
        <v>0</v>
      </c>
      <c r="BK964" s="101">
        <f t="shared" si="134"/>
        <v>0</v>
      </c>
      <c r="BL964" s="101">
        <f t="shared" si="134"/>
        <v>0</v>
      </c>
      <c r="BM964" s="101">
        <f t="shared" si="134"/>
        <v>0</v>
      </c>
      <c r="BN964" s="101">
        <f t="shared" si="134"/>
        <v>0</v>
      </c>
      <c r="BO964" s="101">
        <f t="shared" si="134"/>
        <v>0</v>
      </c>
      <c r="BP964" s="101">
        <f t="shared" ref="BP964:CP964" si="135">(Opening_year_amenity_cost+(Difference_amenity_cost)*(year-Opening_year)/(Forecast_and_opening_year_difference))*Interpolation_mask</f>
        <v>0</v>
      </c>
      <c r="BQ964" s="101">
        <f t="shared" si="135"/>
        <v>0</v>
      </c>
      <c r="BR964" s="101">
        <f t="shared" si="135"/>
        <v>0</v>
      </c>
      <c r="BS964" s="101">
        <f t="shared" si="135"/>
        <v>0</v>
      </c>
      <c r="BT964" s="101">
        <f t="shared" si="135"/>
        <v>0</v>
      </c>
      <c r="BU964" s="101">
        <f t="shared" si="135"/>
        <v>0</v>
      </c>
      <c r="BV964" s="101">
        <f t="shared" si="135"/>
        <v>0</v>
      </c>
      <c r="BW964" s="101">
        <f t="shared" si="135"/>
        <v>0</v>
      </c>
      <c r="BX964" s="101">
        <f t="shared" si="135"/>
        <v>0</v>
      </c>
      <c r="BY964" s="101">
        <f t="shared" si="135"/>
        <v>0</v>
      </c>
      <c r="BZ964" s="101">
        <f t="shared" si="135"/>
        <v>0</v>
      </c>
      <c r="CA964" s="101">
        <f t="shared" si="135"/>
        <v>0</v>
      </c>
      <c r="CB964" s="101">
        <f t="shared" si="135"/>
        <v>0</v>
      </c>
      <c r="CC964" s="101">
        <f t="shared" si="135"/>
        <v>0</v>
      </c>
      <c r="CD964" s="101">
        <f t="shared" si="135"/>
        <v>0</v>
      </c>
      <c r="CE964" s="101">
        <f t="shared" si="135"/>
        <v>0</v>
      </c>
      <c r="CF964" s="101">
        <f t="shared" si="135"/>
        <v>0</v>
      </c>
      <c r="CG964" s="101">
        <f t="shared" si="135"/>
        <v>0</v>
      </c>
      <c r="CH964" s="101">
        <f t="shared" si="135"/>
        <v>0</v>
      </c>
      <c r="CI964" s="101">
        <f t="shared" si="135"/>
        <v>0</v>
      </c>
      <c r="CJ964" s="101">
        <f t="shared" si="135"/>
        <v>0</v>
      </c>
      <c r="CK964" s="101">
        <f t="shared" si="135"/>
        <v>0</v>
      </c>
      <c r="CL964" s="101">
        <f t="shared" si="135"/>
        <v>0</v>
      </c>
      <c r="CM964" s="101">
        <f t="shared" si="135"/>
        <v>0</v>
      </c>
      <c r="CN964" s="101">
        <f t="shared" si="135"/>
        <v>0</v>
      </c>
      <c r="CO964" s="101">
        <f t="shared" si="135"/>
        <v>0</v>
      </c>
      <c r="CP964" s="101">
        <f t="shared" si="135"/>
        <v>0</v>
      </c>
      <c r="CQ964" s="3" t="s">
        <v>284</v>
      </c>
    </row>
    <row r="965" spans="1:95" ht="14.5" x14ac:dyDescent="0.35">
      <c r="A965" s="102"/>
      <c r="B965" s="102" t="s">
        <v>270</v>
      </c>
      <c r="C965" s="102"/>
      <c r="D965" s="101">
        <f t="shared" ref="D965:AI965" si="136">Forecast_year_amenity_cost*Extrapolation_mask</f>
        <v>0</v>
      </c>
      <c r="E965" s="101">
        <f t="shared" si="136"/>
        <v>0</v>
      </c>
      <c r="F965" s="101">
        <f t="shared" si="136"/>
        <v>0</v>
      </c>
      <c r="G965" s="101">
        <f t="shared" si="136"/>
        <v>0</v>
      </c>
      <c r="H965" s="101">
        <f t="shared" si="136"/>
        <v>0</v>
      </c>
      <c r="I965" s="101">
        <f t="shared" si="136"/>
        <v>0</v>
      </c>
      <c r="J965" s="101">
        <f t="shared" si="136"/>
        <v>0</v>
      </c>
      <c r="K965" s="101">
        <f t="shared" si="136"/>
        <v>0</v>
      </c>
      <c r="L965" s="101">
        <f t="shared" si="136"/>
        <v>0</v>
      </c>
      <c r="M965" s="101">
        <f t="shared" si="136"/>
        <v>0</v>
      </c>
      <c r="N965" s="101">
        <f t="shared" si="136"/>
        <v>0</v>
      </c>
      <c r="O965" s="101">
        <f t="shared" si="136"/>
        <v>0</v>
      </c>
      <c r="P965" s="101">
        <f t="shared" si="136"/>
        <v>0</v>
      </c>
      <c r="Q965" s="101">
        <f t="shared" si="136"/>
        <v>0</v>
      </c>
      <c r="R965" s="101">
        <f t="shared" si="136"/>
        <v>0</v>
      </c>
      <c r="S965" s="101">
        <f t="shared" si="136"/>
        <v>0</v>
      </c>
      <c r="T965" s="101">
        <f t="shared" si="136"/>
        <v>0</v>
      </c>
      <c r="U965" s="101">
        <f t="shared" si="136"/>
        <v>0</v>
      </c>
      <c r="V965" s="101">
        <f t="shared" si="136"/>
        <v>0</v>
      </c>
      <c r="W965" s="101">
        <f t="shared" si="136"/>
        <v>0</v>
      </c>
      <c r="X965" s="101">
        <f t="shared" si="136"/>
        <v>0</v>
      </c>
      <c r="Y965" s="101">
        <f t="shared" si="136"/>
        <v>0</v>
      </c>
      <c r="Z965" s="101">
        <f t="shared" si="136"/>
        <v>0</v>
      </c>
      <c r="AA965" s="101">
        <f t="shared" si="136"/>
        <v>0</v>
      </c>
      <c r="AB965" s="101">
        <f t="shared" si="136"/>
        <v>0</v>
      </c>
      <c r="AC965" s="101">
        <f t="shared" si="136"/>
        <v>0</v>
      </c>
      <c r="AD965" s="101">
        <f t="shared" si="136"/>
        <v>0</v>
      </c>
      <c r="AE965" s="101">
        <f t="shared" si="136"/>
        <v>0</v>
      </c>
      <c r="AF965" s="101">
        <f t="shared" si="136"/>
        <v>0</v>
      </c>
      <c r="AG965" s="101">
        <f t="shared" si="136"/>
        <v>0</v>
      </c>
      <c r="AH965" s="101">
        <f t="shared" si="136"/>
        <v>0</v>
      </c>
      <c r="AI965" s="101">
        <f t="shared" si="136"/>
        <v>0</v>
      </c>
      <c r="AJ965" s="101">
        <f t="shared" ref="AJ965:BO965" si="137">Forecast_year_amenity_cost*Extrapolation_mask</f>
        <v>0</v>
      </c>
      <c r="AK965" s="101">
        <f t="shared" si="137"/>
        <v>0</v>
      </c>
      <c r="AL965" s="101">
        <f t="shared" si="137"/>
        <v>0</v>
      </c>
      <c r="AM965" s="101">
        <f t="shared" si="137"/>
        <v>0</v>
      </c>
      <c r="AN965" s="101">
        <f t="shared" si="137"/>
        <v>0</v>
      </c>
      <c r="AO965" s="101">
        <f t="shared" si="137"/>
        <v>0</v>
      </c>
      <c r="AP965" s="101">
        <f t="shared" si="137"/>
        <v>0</v>
      </c>
      <c r="AQ965" s="101">
        <f t="shared" si="137"/>
        <v>0</v>
      </c>
      <c r="AR965" s="101">
        <f t="shared" si="137"/>
        <v>0</v>
      </c>
      <c r="AS965" s="101">
        <f t="shared" si="137"/>
        <v>0</v>
      </c>
      <c r="AT965" s="101">
        <f t="shared" si="137"/>
        <v>0</v>
      </c>
      <c r="AU965" s="101">
        <f t="shared" si="137"/>
        <v>0</v>
      </c>
      <c r="AV965" s="101">
        <f t="shared" si="137"/>
        <v>0</v>
      </c>
      <c r="AW965" s="101">
        <f t="shared" si="137"/>
        <v>0</v>
      </c>
      <c r="AX965" s="101">
        <f t="shared" si="137"/>
        <v>0</v>
      </c>
      <c r="AY965" s="101">
        <f t="shared" si="137"/>
        <v>0</v>
      </c>
      <c r="AZ965" s="101">
        <f t="shared" si="137"/>
        <v>0</v>
      </c>
      <c r="BA965" s="101">
        <f t="shared" si="137"/>
        <v>0</v>
      </c>
      <c r="BB965" s="101">
        <f t="shared" si="137"/>
        <v>0</v>
      </c>
      <c r="BC965" s="101">
        <f t="shared" si="137"/>
        <v>0</v>
      </c>
      <c r="BD965" s="101">
        <f t="shared" si="137"/>
        <v>0</v>
      </c>
      <c r="BE965" s="101">
        <f t="shared" si="137"/>
        <v>0</v>
      </c>
      <c r="BF965" s="101">
        <f t="shared" si="137"/>
        <v>0</v>
      </c>
      <c r="BG965" s="101">
        <f t="shared" si="137"/>
        <v>0</v>
      </c>
      <c r="BH965" s="101">
        <f t="shared" si="137"/>
        <v>0</v>
      </c>
      <c r="BI965" s="101">
        <f t="shared" si="137"/>
        <v>0</v>
      </c>
      <c r="BJ965" s="101">
        <f t="shared" si="137"/>
        <v>0</v>
      </c>
      <c r="BK965" s="101">
        <f t="shared" si="137"/>
        <v>0</v>
      </c>
      <c r="BL965" s="101">
        <f t="shared" si="137"/>
        <v>0</v>
      </c>
      <c r="BM965" s="101">
        <f t="shared" si="137"/>
        <v>0</v>
      </c>
      <c r="BN965" s="101">
        <f t="shared" si="137"/>
        <v>0</v>
      </c>
      <c r="BO965" s="101">
        <f t="shared" si="137"/>
        <v>0</v>
      </c>
      <c r="BP965" s="101">
        <f t="shared" ref="BP965:CP965" si="138">Forecast_year_amenity_cost*Extrapolation_mask</f>
        <v>0</v>
      </c>
      <c r="BQ965" s="101">
        <f t="shared" si="138"/>
        <v>0</v>
      </c>
      <c r="BR965" s="101">
        <f t="shared" si="138"/>
        <v>0</v>
      </c>
      <c r="BS965" s="101">
        <f t="shared" si="138"/>
        <v>0</v>
      </c>
      <c r="BT965" s="101">
        <f t="shared" si="138"/>
        <v>0</v>
      </c>
      <c r="BU965" s="101">
        <f t="shared" si="138"/>
        <v>0</v>
      </c>
      <c r="BV965" s="101">
        <f t="shared" si="138"/>
        <v>0</v>
      </c>
      <c r="BW965" s="101">
        <f t="shared" si="138"/>
        <v>0</v>
      </c>
      <c r="BX965" s="101">
        <f t="shared" si="138"/>
        <v>0</v>
      </c>
      <c r="BY965" s="101">
        <f t="shared" si="138"/>
        <v>0</v>
      </c>
      <c r="BZ965" s="101">
        <f t="shared" si="138"/>
        <v>0</v>
      </c>
      <c r="CA965" s="101">
        <f t="shared" si="138"/>
        <v>0</v>
      </c>
      <c r="CB965" s="101">
        <f t="shared" si="138"/>
        <v>0</v>
      </c>
      <c r="CC965" s="101">
        <f t="shared" si="138"/>
        <v>0</v>
      </c>
      <c r="CD965" s="101">
        <f t="shared" si="138"/>
        <v>0</v>
      </c>
      <c r="CE965" s="101">
        <f t="shared" si="138"/>
        <v>0</v>
      </c>
      <c r="CF965" s="101">
        <f t="shared" si="138"/>
        <v>0</v>
      </c>
      <c r="CG965" s="101">
        <f t="shared" si="138"/>
        <v>0</v>
      </c>
      <c r="CH965" s="101">
        <f t="shared" si="138"/>
        <v>0</v>
      </c>
      <c r="CI965" s="101">
        <f t="shared" si="138"/>
        <v>0</v>
      </c>
      <c r="CJ965" s="101">
        <f t="shared" si="138"/>
        <v>0</v>
      </c>
      <c r="CK965" s="101">
        <f t="shared" si="138"/>
        <v>0</v>
      </c>
      <c r="CL965" s="101">
        <f t="shared" si="138"/>
        <v>0</v>
      </c>
      <c r="CM965" s="101">
        <f t="shared" si="138"/>
        <v>0</v>
      </c>
      <c r="CN965" s="101">
        <f t="shared" si="138"/>
        <v>0</v>
      </c>
      <c r="CO965" s="101">
        <f t="shared" si="138"/>
        <v>0</v>
      </c>
      <c r="CP965" s="101">
        <f t="shared" si="138"/>
        <v>0</v>
      </c>
      <c r="CQ965" s="3" t="s">
        <v>285</v>
      </c>
    </row>
    <row r="966" spans="1:95" ht="14.5" x14ac:dyDescent="0.35">
      <c r="A966" s="102"/>
      <c r="B966" s="102" t="s">
        <v>279</v>
      </c>
      <c r="C966" s="102"/>
      <c r="D966" s="101">
        <f t="shared" ref="D966:AI966" si="139">Opening_year_amenity_cost_mask+Forecast_year_amenity_cost_mask+Interpolation_amenity_cost_mask+Extrapolation_amenity_cost_mask</f>
        <v>0</v>
      </c>
      <c r="E966" s="101">
        <f t="shared" si="139"/>
        <v>0</v>
      </c>
      <c r="F966" s="101">
        <f t="shared" si="139"/>
        <v>0</v>
      </c>
      <c r="G966" s="101">
        <f t="shared" si="139"/>
        <v>0</v>
      </c>
      <c r="H966" s="101">
        <f t="shared" si="139"/>
        <v>0</v>
      </c>
      <c r="I966" s="101">
        <f t="shared" si="139"/>
        <v>0</v>
      </c>
      <c r="J966" s="101">
        <f t="shared" si="139"/>
        <v>0</v>
      </c>
      <c r="K966" s="101">
        <f t="shared" si="139"/>
        <v>0</v>
      </c>
      <c r="L966" s="101">
        <f t="shared" si="139"/>
        <v>0</v>
      </c>
      <c r="M966" s="101">
        <f t="shared" si="139"/>
        <v>0</v>
      </c>
      <c r="N966" s="101">
        <f t="shared" si="139"/>
        <v>0</v>
      </c>
      <c r="O966" s="101">
        <f t="shared" si="139"/>
        <v>0</v>
      </c>
      <c r="P966" s="101">
        <f t="shared" si="139"/>
        <v>0</v>
      </c>
      <c r="Q966" s="101">
        <f t="shared" si="139"/>
        <v>0</v>
      </c>
      <c r="R966" s="101">
        <f t="shared" si="139"/>
        <v>0</v>
      </c>
      <c r="S966" s="101">
        <f t="shared" si="139"/>
        <v>0</v>
      </c>
      <c r="T966" s="101">
        <f t="shared" si="139"/>
        <v>0</v>
      </c>
      <c r="U966" s="101">
        <f t="shared" si="139"/>
        <v>0</v>
      </c>
      <c r="V966" s="101">
        <f t="shared" si="139"/>
        <v>0</v>
      </c>
      <c r="W966" s="101">
        <f t="shared" si="139"/>
        <v>0</v>
      </c>
      <c r="X966" s="101">
        <f t="shared" si="139"/>
        <v>0</v>
      </c>
      <c r="Y966" s="101">
        <f t="shared" si="139"/>
        <v>0</v>
      </c>
      <c r="Z966" s="101">
        <f t="shared" si="139"/>
        <v>0</v>
      </c>
      <c r="AA966" s="101">
        <f t="shared" si="139"/>
        <v>0</v>
      </c>
      <c r="AB966" s="101">
        <f t="shared" si="139"/>
        <v>0</v>
      </c>
      <c r="AC966" s="101">
        <f t="shared" si="139"/>
        <v>0</v>
      </c>
      <c r="AD966" s="101">
        <f t="shared" si="139"/>
        <v>0</v>
      </c>
      <c r="AE966" s="101">
        <f t="shared" si="139"/>
        <v>0</v>
      </c>
      <c r="AF966" s="101">
        <f t="shared" si="139"/>
        <v>0</v>
      </c>
      <c r="AG966" s="101">
        <f t="shared" si="139"/>
        <v>0</v>
      </c>
      <c r="AH966" s="101">
        <f t="shared" si="139"/>
        <v>0</v>
      </c>
      <c r="AI966" s="101">
        <f t="shared" si="139"/>
        <v>0</v>
      </c>
      <c r="AJ966" s="101">
        <f t="shared" ref="AJ966:BO966" si="140">Opening_year_amenity_cost_mask+Forecast_year_amenity_cost_mask+Interpolation_amenity_cost_mask+Extrapolation_amenity_cost_mask</f>
        <v>0</v>
      </c>
      <c r="AK966" s="101">
        <f t="shared" si="140"/>
        <v>0</v>
      </c>
      <c r="AL966" s="101">
        <f t="shared" si="140"/>
        <v>0</v>
      </c>
      <c r="AM966" s="101">
        <f t="shared" si="140"/>
        <v>0</v>
      </c>
      <c r="AN966" s="101">
        <f t="shared" si="140"/>
        <v>0</v>
      </c>
      <c r="AO966" s="101">
        <f t="shared" si="140"/>
        <v>0</v>
      </c>
      <c r="AP966" s="101">
        <f t="shared" si="140"/>
        <v>0</v>
      </c>
      <c r="AQ966" s="101">
        <f t="shared" si="140"/>
        <v>0</v>
      </c>
      <c r="AR966" s="101">
        <f t="shared" si="140"/>
        <v>0</v>
      </c>
      <c r="AS966" s="101">
        <f t="shared" si="140"/>
        <v>0</v>
      </c>
      <c r="AT966" s="101">
        <f t="shared" si="140"/>
        <v>0</v>
      </c>
      <c r="AU966" s="101">
        <f t="shared" si="140"/>
        <v>0</v>
      </c>
      <c r="AV966" s="101">
        <f t="shared" si="140"/>
        <v>0</v>
      </c>
      <c r="AW966" s="101">
        <f t="shared" si="140"/>
        <v>0</v>
      </c>
      <c r="AX966" s="101">
        <f t="shared" si="140"/>
        <v>0</v>
      </c>
      <c r="AY966" s="101">
        <f t="shared" si="140"/>
        <v>0</v>
      </c>
      <c r="AZ966" s="101">
        <f t="shared" si="140"/>
        <v>0</v>
      </c>
      <c r="BA966" s="101">
        <f t="shared" si="140"/>
        <v>0</v>
      </c>
      <c r="BB966" s="101">
        <f t="shared" si="140"/>
        <v>0</v>
      </c>
      <c r="BC966" s="101">
        <f t="shared" si="140"/>
        <v>0</v>
      </c>
      <c r="BD966" s="101">
        <f t="shared" si="140"/>
        <v>0</v>
      </c>
      <c r="BE966" s="101">
        <f t="shared" si="140"/>
        <v>0</v>
      </c>
      <c r="BF966" s="101">
        <f t="shared" si="140"/>
        <v>0</v>
      </c>
      <c r="BG966" s="101">
        <f t="shared" si="140"/>
        <v>0</v>
      </c>
      <c r="BH966" s="101">
        <f t="shared" si="140"/>
        <v>0</v>
      </c>
      <c r="BI966" s="101">
        <f t="shared" si="140"/>
        <v>0</v>
      </c>
      <c r="BJ966" s="101">
        <f t="shared" si="140"/>
        <v>0</v>
      </c>
      <c r="BK966" s="101">
        <f t="shared" si="140"/>
        <v>0</v>
      </c>
      <c r="BL966" s="101">
        <f t="shared" si="140"/>
        <v>0</v>
      </c>
      <c r="BM966" s="101">
        <f t="shared" si="140"/>
        <v>0</v>
      </c>
      <c r="BN966" s="101">
        <f t="shared" si="140"/>
        <v>0</v>
      </c>
      <c r="BO966" s="101">
        <f t="shared" si="140"/>
        <v>0</v>
      </c>
      <c r="BP966" s="101">
        <f t="shared" ref="BP966:CP966" si="141">Opening_year_amenity_cost_mask+Forecast_year_amenity_cost_mask+Interpolation_amenity_cost_mask+Extrapolation_amenity_cost_mask</f>
        <v>0</v>
      </c>
      <c r="BQ966" s="101">
        <f t="shared" si="141"/>
        <v>0</v>
      </c>
      <c r="BR966" s="101">
        <f t="shared" si="141"/>
        <v>0</v>
      </c>
      <c r="BS966" s="101">
        <f t="shared" si="141"/>
        <v>0</v>
      </c>
      <c r="BT966" s="101">
        <f t="shared" si="141"/>
        <v>0</v>
      </c>
      <c r="BU966" s="101">
        <f t="shared" si="141"/>
        <v>0</v>
      </c>
      <c r="BV966" s="101">
        <f t="shared" si="141"/>
        <v>0</v>
      </c>
      <c r="BW966" s="101">
        <f t="shared" si="141"/>
        <v>0</v>
      </c>
      <c r="BX966" s="101">
        <f t="shared" si="141"/>
        <v>0</v>
      </c>
      <c r="BY966" s="101">
        <f t="shared" si="141"/>
        <v>0</v>
      </c>
      <c r="BZ966" s="101">
        <f t="shared" si="141"/>
        <v>0</v>
      </c>
      <c r="CA966" s="101">
        <f t="shared" si="141"/>
        <v>0</v>
      </c>
      <c r="CB966" s="101">
        <f t="shared" si="141"/>
        <v>0</v>
      </c>
      <c r="CC966" s="101">
        <f t="shared" si="141"/>
        <v>0</v>
      </c>
      <c r="CD966" s="101">
        <f t="shared" si="141"/>
        <v>0</v>
      </c>
      <c r="CE966" s="101">
        <f t="shared" si="141"/>
        <v>0</v>
      </c>
      <c r="CF966" s="101">
        <f t="shared" si="141"/>
        <v>0</v>
      </c>
      <c r="CG966" s="101">
        <f t="shared" si="141"/>
        <v>0</v>
      </c>
      <c r="CH966" s="101">
        <f t="shared" si="141"/>
        <v>0</v>
      </c>
      <c r="CI966" s="101">
        <f t="shared" si="141"/>
        <v>0</v>
      </c>
      <c r="CJ966" s="101">
        <f t="shared" si="141"/>
        <v>0</v>
      </c>
      <c r="CK966" s="101">
        <f t="shared" si="141"/>
        <v>0</v>
      </c>
      <c r="CL966" s="101">
        <f t="shared" si="141"/>
        <v>0</v>
      </c>
      <c r="CM966" s="101">
        <f t="shared" si="141"/>
        <v>0</v>
      </c>
      <c r="CN966" s="101">
        <f t="shared" si="141"/>
        <v>0</v>
      </c>
      <c r="CO966" s="101">
        <f t="shared" si="141"/>
        <v>0</v>
      </c>
      <c r="CP966" s="101">
        <f t="shared" si="141"/>
        <v>0</v>
      </c>
      <c r="CQ966" s="3" t="s">
        <v>286</v>
      </c>
    </row>
    <row r="967" spans="1:95" ht="14.5" x14ac:dyDescent="0.35">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5">
      <c r="B968" s="5" t="s">
        <v>287</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5" x14ac:dyDescent="0.35">
      <c r="A971" s="102"/>
      <c r="B971" s="102" t="s">
        <v>67</v>
      </c>
      <c r="C971" s="102"/>
      <c r="D971" s="101">
        <f t="shared" ref="D971:AI971" si="142">Opening_year_AMI_cost*Opening_year_mask</f>
        <v>0</v>
      </c>
      <c r="E971" s="101">
        <f t="shared" si="142"/>
        <v>0</v>
      </c>
      <c r="F971" s="101">
        <f t="shared" si="142"/>
        <v>0</v>
      </c>
      <c r="G971" s="101">
        <f t="shared" si="142"/>
        <v>0</v>
      </c>
      <c r="H971" s="101">
        <f t="shared" si="142"/>
        <v>0</v>
      </c>
      <c r="I971" s="101">
        <f t="shared" si="142"/>
        <v>0</v>
      </c>
      <c r="J971" s="101">
        <f t="shared" si="142"/>
        <v>0</v>
      </c>
      <c r="K971" s="101">
        <f t="shared" si="142"/>
        <v>0</v>
      </c>
      <c r="L971" s="101">
        <f t="shared" si="142"/>
        <v>0</v>
      </c>
      <c r="M971" s="101">
        <f t="shared" si="142"/>
        <v>0</v>
      </c>
      <c r="N971" s="101">
        <f t="shared" si="142"/>
        <v>0</v>
      </c>
      <c r="O971" s="101">
        <f t="shared" si="142"/>
        <v>0</v>
      </c>
      <c r="P971" s="101">
        <f t="shared" si="142"/>
        <v>0</v>
      </c>
      <c r="Q971" s="101">
        <f t="shared" si="142"/>
        <v>0</v>
      </c>
      <c r="R971" s="101">
        <f t="shared" si="142"/>
        <v>0</v>
      </c>
      <c r="S971" s="101">
        <f t="shared" si="142"/>
        <v>0</v>
      </c>
      <c r="T971" s="101">
        <f t="shared" si="142"/>
        <v>0</v>
      </c>
      <c r="U971" s="101">
        <f t="shared" si="142"/>
        <v>0</v>
      </c>
      <c r="V971" s="101">
        <f t="shared" si="142"/>
        <v>0</v>
      </c>
      <c r="W971" s="101">
        <f t="shared" si="142"/>
        <v>0</v>
      </c>
      <c r="X971" s="101">
        <f t="shared" si="142"/>
        <v>0</v>
      </c>
      <c r="Y971" s="101">
        <f t="shared" si="142"/>
        <v>0</v>
      </c>
      <c r="Z971" s="101">
        <f t="shared" si="142"/>
        <v>0</v>
      </c>
      <c r="AA971" s="101">
        <f t="shared" si="142"/>
        <v>0</v>
      </c>
      <c r="AB971" s="101">
        <f t="shared" si="142"/>
        <v>0</v>
      </c>
      <c r="AC971" s="101">
        <f t="shared" si="142"/>
        <v>0</v>
      </c>
      <c r="AD971" s="101">
        <f t="shared" si="142"/>
        <v>0</v>
      </c>
      <c r="AE971" s="101">
        <f t="shared" si="142"/>
        <v>0</v>
      </c>
      <c r="AF971" s="101">
        <f t="shared" si="142"/>
        <v>0</v>
      </c>
      <c r="AG971" s="101">
        <f t="shared" si="142"/>
        <v>0</v>
      </c>
      <c r="AH971" s="101">
        <f t="shared" si="142"/>
        <v>0</v>
      </c>
      <c r="AI971" s="101">
        <f t="shared" si="142"/>
        <v>0</v>
      </c>
      <c r="AJ971" s="101">
        <f t="shared" ref="AJ971:BO971" si="143">Opening_year_AMI_cost*Opening_year_mask</f>
        <v>0</v>
      </c>
      <c r="AK971" s="101">
        <f t="shared" si="143"/>
        <v>0</v>
      </c>
      <c r="AL971" s="101">
        <f t="shared" si="143"/>
        <v>0</v>
      </c>
      <c r="AM971" s="101">
        <f t="shared" si="143"/>
        <v>0</v>
      </c>
      <c r="AN971" s="101">
        <f t="shared" si="143"/>
        <v>0</v>
      </c>
      <c r="AO971" s="101">
        <f t="shared" si="143"/>
        <v>0</v>
      </c>
      <c r="AP971" s="101">
        <f t="shared" si="143"/>
        <v>0</v>
      </c>
      <c r="AQ971" s="101">
        <f t="shared" si="143"/>
        <v>0</v>
      </c>
      <c r="AR971" s="101">
        <f t="shared" si="143"/>
        <v>0</v>
      </c>
      <c r="AS971" s="101">
        <f t="shared" si="143"/>
        <v>0</v>
      </c>
      <c r="AT971" s="101">
        <f t="shared" si="143"/>
        <v>0</v>
      </c>
      <c r="AU971" s="101">
        <f t="shared" si="143"/>
        <v>0</v>
      </c>
      <c r="AV971" s="101">
        <f t="shared" si="143"/>
        <v>0</v>
      </c>
      <c r="AW971" s="101">
        <f t="shared" si="143"/>
        <v>0</v>
      </c>
      <c r="AX971" s="101">
        <f t="shared" si="143"/>
        <v>0</v>
      </c>
      <c r="AY971" s="101">
        <f t="shared" si="143"/>
        <v>0</v>
      </c>
      <c r="AZ971" s="101">
        <f t="shared" si="143"/>
        <v>0</v>
      </c>
      <c r="BA971" s="101">
        <f t="shared" si="143"/>
        <v>0</v>
      </c>
      <c r="BB971" s="101">
        <f t="shared" si="143"/>
        <v>0</v>
      </c>
      <c r="BC971" s="101">
        <f t="shared" si="143"/>
        <v>0</v>
      </c>
      <c r="BD971" s="101">
        <f t="shared" si="143"/>
        <v>0</v>
      </c>
      <c r="BE971" s="101">
        <f t="shared" si="143"/>
        <v>0</v>
      </c>
      <c r="BF971" s="101">
        <f t="shared" si="143"/>
        <v>0</v>
      </c>
      <c r="BG971" s="101">
        <f t="shared" si="143"/>
        <v>0</v>
      </c>
      <c r="BH971" s="101">
        <f t="shared" si="143"/>
        <v>0</v>
      </c>
      <c r="BI971" s="101">
        <f t="shared" si="143"/>
        <v>0</v>
      </c>
      <c r="BJ971" s="101">
        <f t="shared" si="143"/>
        <v>0</v>
      </c>
      <c r="BK971" s="101">
        <f t="shared" si="143"/>
        <v>0</v>
      </c>
      <c r="BL971" s="101">
        <f t="shared" si="143"/>
        <v>0</v>
      </c>
      <c r="BM971" s="101">
        <f t="shared" si="143"/>
        <v>0</v>
      </c>
      <c r="BN971" s="101">
        <f t="shared" si="143"/>
        <v>0</v>
      </c>
      <c r="BO971" s="101">
        <f t="shared" si="143"/>
        <v>0</v>
      </c>
      <c r="BP971" s="101">
        <f t="shared" ref="BP971:CP971" si="144">Opening_year_AMI_cost*Opening_year_mask</f>
        <v>0</v>
      </c>
      <c r="BQ971" s="101">
        <f t="shared" si="144"/>
        <v>0</v>
      </c>
      <c r="BR971" s="101">
        <f t="shared" si="144"/>
        <v>0</v>
      </c>
      <c r="BS971" s="101">
        <f t="shared" si="144"/>
        <v>0</v>
      </c>
      <c r="BT971" s="101">
        <f t="shared" si="144"/>
        <v>0</v>
      </c>
      <c r="BU971" s="101">
        <f t="shared" si="144"/>
        <v>0</v>
      </c>
      <c r="BV971" s="101">
        <f t="shared" si="144"/>
        <v>0</v>
      </c>
      <c r="BW971" s="101">
        <f t="shared" si="144"/>
        <v>0</v>
      </c>
      <c r="BX971" s="101">
        <f t="shared" si="144"/>
        <v>0</v>
      </c>
      <c r="BY971" s="101">
        <f t="shared" si="144"/>
        <v>0</v>
      </c>
      <c r="BZ971" s="101">
        <f t="shared" si="144"/>
        <v>0</v>
      </c>
      <c r="CA971" s="101">
        <f t="shared" si="144"/>
        <v>0</v>
      </c>
      <c r="CB971" s="101">
        <f t="shared" si="144"/>
        <v>0</v>
      </c>
      <c r="CC971" s="101">
        <f t="shared" si="144"/>
        <v>0</v>
      </c>
      <c r="CD971" s="101">
        <f t="shared" si="144"/>
        <v>0</v>
      </c>
      <c r="CE971" s="101">
        <f t="shared" si="144"/>
        <v>0</v>
      </c>
      <c r="CF971" s="101">
        <f t="shared" si="144"/>
        <v>0</v>
      </c>
      <c r="CG971" s="101">
        <f t="shared" si="144"/>
        <v>0</v>
      </c>
      <c r="CH971" s="101">
        <f t="shared" si="144"/>
        <v>0</v>
      </c>
      <c r="CI971" s="101">
        <f t="shared" si="144"/>
        <v>0</v>
      </c>
      <c r="CJ971" s="101">
        <f t="shared" si="144"/>
        <v>0</v>
      </c>
      <c r="CK971" s="101">
        <f t="shared" si="144"/>
        <v>0</v>
      </c>
      <c r="CL971" s="101">
        <f t="shared" si="144"/>
        <v>0</v>
      </c>
      <c r="CM971" s="101">
        <f t="shared" si="144"/>
        <v>0</v>
      </c>
      <c r="CN971" s="101">
        <f t="shared" si="144"/>
        <v>0</v>
      </c>
      <c r="CO971" s="101">
        <f t="shared" si="144"/>
        <v>0</v>
      </c>
      <c r="CP971" s="101">
        <f t="shared" si="144"/>
        <v>0</v>
      </c>
      <c r="CQ971" s="3" t="s">
        <v>288</v>
      </c>
    </row>
    <row r="972" spans="1:95" ht="14.5" x14ac:dyDescent="0.35">
      <c r="A972" s="102"/>
      <c r="B972" s="102" t="s">
        <v>69</v>
      </c>
      <c r="C972" s="102"/>
      <c r="D972" s="101">
        <f t="shared" ref="D972:AI972" si="145">Forecast_year_AMI_cost*Forecast_year_mask</f>
        <v>0</v>
      </c>
      <c r="E972" s="101">
        <f t="shared" si="145"/>
        <v>0</v>
      </c>
      <c r="F972" s="101">
        <f t="shared" si="145"/>
        <v>0</v>
      </c>
      <c r="G972" s="101">
        <f t="shared" si="145"/>
        <v>0</v>
      </c>
      <c r="H972" s="101">
        <f t="shared" si="145"/>
        <v>0</v>
      </c>
      <c r="I972" s="101">
        <f t="shared" si="145"/>
        <v>0</v>
      </c>
      <c r="J972" s="101">
        <f t="shared" si="145"/>
        <v>0</v>
      </c>
      <c r="K972" s="101">
        <f t="shared" si="145"/>
        <v>0</v>
      </c>
      <c r="L972" s="101">
        <f t="shared" si="145"/>
        <v>0</v>
      </c>
      <c r="M972" s="101">
        <f t="shared" si="145"/>
        <v>0</v>
      </c>
      <c r="N972" s="101">
        <f t="shared" si="145"/>
        <v>0</v>
      </c>
      <c r="O972" s="101">
        <f t="shared" si="145"/>
        <v>0</v>
      </c>
      <c r="P972" s="101">
        <f t="shared" si="145"/>
        <v>0</v>
      </c>
      <c r="Q972" s="101">
        <f t="shared" si="145"/>
        <v>0</v>
      </c>
      <c r="R972" s="101">
        <f t="shared" si="145"/>
        <v>0</v>
      </c>
      <c r="S972" s="101">
        <f t="shared" si="145"/>
        <v>0</v>
      </c>
      <c r="T972" s="101">
        <f t="shared" si="145"/>
        <v>0</v>
      </c>
      <c r="U972" s="101">
        <f t="shared" si="145"/>
        <v>0</v>
      </c>
      <c r="V972" s="101">
        <f t="shared" si="145"/>
        <v>0</v>
      </c>
      <c r="W972" s="101">
        <f t="shared" si="145"/>
        <v>0</v>
      </c>
      <c r="X972" s="101">
        <f t="shared" si="145"/>
        <v>0</v>
      </c>
      <c r="Y972" s="101">
        <f t="shared" si="145"/>
        <v>0</v>
      </c>
      <c r="Z972" s="101">
        <f t="shared" si="145"/>
        <v>0</v>
      </c>
      <c r="AA972" s="101">
        <f t="shared" si="145"/>
        <v>0</v>
      </c>
      <c r="AB972" s="101">
        <f t="shared" si="145"/>
        <v>0</v>
      </c>
      <c r="AC972" s="101">
        <f t="shared" si="145"/>
        <v>0</v>
      </c>
      <c r="AD972" s="101">
        <f t="shared" si="145"/>
        <v>0</v>
      </c>
      <c r="AE972" s="101">
        <f t="shared" si="145"/>
        <v>0</v>
      </c>
      <c r="AF972" s="101">
        <f t="shared" si="145"/>
        <v>0</v>
      </c>
      <c r="AG972" s="101">
        <f t="shared" si="145"/>
        <v>0</v>
      </c>
      <c r="AH972" s="101">
        <f t="shared" si="145"/>
        <v>0</v>
      </c>
      <c r="AI972" s="101">
        <f t="shared" si="145"/>
        <v>0</v>
      </c>
      <c r="AJ972" s="101">
        <f t="shared" ref="AJ972:BO972" si="146">Forecast_year_AMI_cost*Forecast_year_mask</f>
        <v>0</v>
      </c>
      <c r="AK972" s="101">
        <f t="shared" si="146"/>
        <v>0</v>
      </c>
      <c r="AL972" s="101">
        <f t="shared" si="146"/>
        <v>0</v>
      </c>
      <c r="AM972" s="101">
        <f t="shared" si="146"/>
        <v>0</v>
      </c>
      <c r="AN972" s="101">
        <f t="shared" si="146"/>
        <v>0</v>
      </c>
      <c r="AO972" s="101">
        <f t="shared" si="146"/>
        <v>0</v>
      </c>
      <c r="AP972" s="101">
        <f t="shared" si="146"/>
        <v>0</v>
      </c>
      <c r="AQ972" s="101">
        <f t="shared" si="146"/>
        <v>0</v>
      </c>
      <c r="AR972" s="101">
        <f t="shared" si="146"/>
        <v>0</v>
      </c>
      <c r="AS972" s="101">
        <f t="shared" si="146"/>
        <v>0</v>
      </c>
      <c r="AT972" s="101">
        <f t="shared" si="146"/>
        <v>0</v>
      </c>
      <c r="AU972" s="101">
        <f t="shared" si="146"/>
        <v>0</v>
      </c>
      <c r="AV972" s="101">
        <f t="shared" si="146"/>
        <v>0</v>
      </c>
      <c r="AW972" s="101">
        <f t="shared" si="146"/>
        <v>0</v>
      </c>
      <c r="AX972" s="101">
        <f t="shared" si="146"/>
        <v>0</v>
      </c>
      <c r="AY972" s="101">
        <f t="shared" si="146"/>
        <v>0</v>
      </c>
      <c r="AZ972" s="101">
        <f t="shared" si="146"/>
        <v>0</v>
      </c>
      <c r="BA972" s="101">
        <f t="shared" si="146"/>
        <v>0</v>
      </c>
      <c r="BB972" s="101">
        <f t="shared" si="146"/>
        <v>0</v>
      </c>
      <c r="BC972" s="101">
        <f t="shared" si="146"/>
        <v>0</v>
      </c>
      <c r="BD972" s="101">
        <f t="shared" si="146"/>
        <v>0</v>
      </c>
      <c r="BE972" s="101">
        <f t="shared" si="146"/>
        <v>0</v>
      </c>
      <c r="BF972" s="101">
        <f t="shared" si="146"/>
        <v>0</v>
      </c>
      <c r="BG972" s="101">
        <f t="shared" si="146"/>
        <v>0</v>
      </c>
      <c r="BH972" s="101">
        <f t="shared" si="146"/>
        <v>0</v>
      </c>
      <c r="BI972" s="101">
        <f t="shared" si="146"/>
        <v>0</v>
      </c>
      <c r="BJ972" s="101">
        <f t="shared" si="146"/>
        <v>0</v>
      </c>
      <c r="BK972" s="101">
        <f t="shared" si="146"/>
        <v>0</v>
      </c>
      <c r="BL972" s="101">
        <f t="shared" si="146"/>
        <v>0</v>
      </c>
      <c r="BM972" s="101">
        <f t="shared" si="146"/>
        <v>0</v>
      </c>
      <c r="BN972" s="101">
        <f t="shared" si="146"/>
        <v>0</v>
      </c>
      <c r="BO972" s="101">
        <f t="shared" si="146"/>
        <v>0</v>
      </c>
      <c r="BP972" s="101">
        <f t="shared" ref="BP972:CP972" si="147">Forecast_year_AMI_cost*Forecast_year_mask</f>
        <v>0</v>
      </c>
      <c r="BQ972" s="101">
        <f t="shared" si="147"/>
        <v>0</v>
      </c>
      <c r="BR972" s="101">
        <f t="shared" si="147"/>
        <v>0</v>
      </c>
      <c r="BS972" s="101">
        <f t="shared" si="147"/>
        <v>0</v>
      </c>
      <c r="BT972" s="101">
        <f t="shared" si="147"/>
        <v>0</v>
      </c>
      <c r="BU972" s="101">
        <f t="shared" si="147"/>
        <v>0</v>
      </c>
      <c r="BV972" s="101">
        <f t="shared" si="147"/>
        <v>0</v>
      </c>
      <c r="BW972" s="101">
        <f t="shared" si="147"/>
        <v>0</v>
      </c>
      <c r="BX972" s="101">
        <f t="shared" si="147"/>
        <v>0</v>
      </c>
      <c r="BY972" s="101">
        <f t="shared" si="147"/>
        <v>0</v>
      </c>
      <c r="BZ972" s="101">
        <f t="shared" si="147"/>
        <v>0</v>
      </c>
      <c r="CA972" s="101">
        <f t="shared" si="147"/>
        <v>0</v>
      </c>
      <c r="CB972" s="101">
        <f t="shared" si="147"/>
        <v>0</v>
      </c>
      <c r="CC972" s="101">
        <f t="shared" si="147"/>
        <v>0</v>
      </c>
      <c r="CD972" s="101">
        <f t="shared" si="147"/>
        <v>0</v>
      </c>
      <c r="CE972" s="101">
        <f t="shared" si="147"/>
        <v>0</v>
      </c>
      <c r="CF972" s="101">
        <f t="shared" si="147"/>
        <v>0</v>
      </c>
      <c r="CG972" s="101">
        <f t="shared" si="147"/>
        <v>0</v>
      </c>
      <c r="CH972" s="101">
        <f t="shared" si="147"/>
        <v>0</v>
      </c>
      <c r="CI972" s="101">
        <f t="shared" si="147"/>
        <v>0</v>
      </c>
      <c r="CJ972" s="101">
        <f t="shared" si="147"/>
        <v>0</v>
      </c>
      <c r="CK972" s="101">
        <f t="shared" si="147"/>
        <v>0</v>
      </c>
      <c r="CL972" s="101">
        <f t="shared" si="147"/>
        <v>0</v>
      </c>
      <c r="CM972" s="101">
        <f t="shared" si="147"/>
        <v>0</v>
      </c>
      <c r="CN972" s="101">
        <f t="shared" si="147"/>
        <v>0</v>
      </c>
      <c r="CO972" s="101">
        <f t="shared" si="147"/>
        <v>0</v>
      </c>
      <c r="CP972" s="101">
        <f t="shared" si="147"/>
        <v>0</v>
      </c>
      <c r="CQ972" s="3" t="s">
        <v>289</v>
      </c>
    </row>
    <row r="973" spans="1:95" ht="14.5" x14ac:dyDescent="0.35">
      <c r="A973" s="102"/>
      <c r="B973" s="102" t="s">
        <v>268</v>
      </c>
      <c r="C973" s="102"/>
      <c r="D973" s="101">
        <f t="shared" ref="D973:AI973" si="148">(Opening_year_AMI_cost+(Difference_AMI_cost)*(year-Opening_year)/(Forecast_and_opening_year_difference))*Interpolation_mask</f>
        <v>0</v>
      </c>
      <c r="E973" s="101">
        <f t="shared" si="148"/>
        <v>0</v>
      </c>
      <c r="F973" s="101">
        <f t="shared" si="148"/>
        <v>0</v>
      </c>
      <c r="G973" s="101">
        <f t="shared" si="148"/>
        <v>0</v>
      </c>
      <c r="H973" s="101">
        <f t="shared" si="148"/>
        <v>0</v>
      </c>
      <c r="I973" s="101">
        <f t="shared" si="148"/>
        <v>0</v>
      </c>
      <c r="J973" s="101">
        <f t="shared" si="148"/>
        <v>0</v>
      </c>
      <c r="K973" s="101">
        <f t="shared" si="148"/>
        <v>0</v>
      </c>
      <c r="L973" s="101">
        <f t="shared" si="148"/>
        <v>0</v>
      </c>
      <c r="M973" s="101">
        <f t="shared" si="148"/>
        <v>0</v>
      </c>
      <c r="N973" s="101">
        <f t="shared" si="148"/>
        <v>0</v>
      </c>
      <c r="O973" s="101">
        <f t="shared" si="148"/>
        <v>0</v>
      </c>
      <c r="P973" s="101">
        <f t="shared" si="148"/>
        <v>0</v>
      </c>
      <c r="Q973" s="101">
        <f t="shared" si="148"/>
        <v>0</v>
      </c>
      <c r="R973" s="101">
        <f t="shared" si="148"/>
        <v>0</v>
      </c>
      <c r="S973" s="101">
        <f t="shared" si="148"/>
        <v>0</v>
      </c>
      <c r="T973" s="101">
        <f t="shared" si="148"/>
        <v>0</v>
      </c>
      <c r="U973" s="101">
        <f t="shared" si="148"/>
        <v>0</v>
      </c>
      <c r="V973" s="101">
        <f t="shared" si="148"/>
        <v>0</v>
      </c>
      <c r="W973" s="101">
        <f t="shared" si="148"/>
        <v>0</v>
      </c>
      <c r="X973" s="101">
        <f t="shared" si="148"/>
        <v>0</v>
      </c>
      <c r="Y973" s="101">
        <f t="shared" si="148"/>
        <v>0</v>
      </c>
      <c r="Z973" s="101">
        <f t="shared" si="148"/>
        <v>0</v>
      </c>
      <c r="AA973" s="101">
        <f t="shared" si="148"/>
        <v>0</v>
      </c>
      <c r="AB973" s="101">
        <f t="shared" si="148"/>
        <v>0</v>
      </c>
      <c r="AC973" s="101">
        <f t="shared" si="148"/>
        <v>0</v>
      </c>
      <c r="AD973" s="101">
        <f t="shared" si="148"/>
        <v>0</v>
      </c>
      <c r="AE973" s="101">
        <f t="shared" si="148"/>
        <v>0</v>
      </c>
      <c r="AF973" s="101">
        <f t="shared" si="148"/>
        <v>0</v>
      </c>
      <c r="AG973" s="101">
        <f t="shared" si="148"/>
        <v>0</v>
      </c>
      <c r="AH973" s="101">
        <f t="shared" si="148"/>
        <v>0</v>
      </c>
      <c r="AI973" s="101">
        <f t="shared" si="148"/>
        <v>0</v>
      </c>
      <c r="AJ973" s="101">
        <f t="shared" ref="AJ973:BO973" si="149">(Opening_year_AMI_cost+(Difference_AMI_cost)*(year-Opening_year)/(Forecast_and_opening_year_difference))*Interpolation_mask</f>
        <v>0</v>
      </c>
      <c r="AK973" s="101">
        <f t="shared" si="149"/>
        <v>0</v>
      </c>
      <c r="AL973" s="101">
        <f t="shared" si="149"/>
        <v>0</v>
      </c>
      <c r="AM973" s="101">
        <f t="shared" si="149"/>
        <v>0</v>
      </c>
      <c r="AN973" s="101">
        <f t="shared" si="149"/>
        <v>0</v>
      </c>
      <c r="AO973" s="101">
        <f t="shared" si="149"/>
        <v>0</v>
      </c>
      <c r="AP973" s="101">
        <f t="shared" si="149"/>
        <v>0</v>
      </c>
      <c r="AQ973" s="101">
        <f t="shared" si="149"/>
        <v>0</v>
      </c>
      <c r="AR973" s="101">
        <f t="shared" si="149"/>
        <v>0</v>
      </c>
      <c r="AS973" s="101">
        <f t="shared" si="149"/>
        <v>0</v>
      </c>
      <c r="AT973" s="101">
        <f t="shared" si="149"/>
        <v>0</v>
      </c>
      <c r="AU973" s="101">
        <f t="shared" si="149"/>
        <v>0</v>
      </c>
      <c r="AV973" s="101">
        <f t="shared" si="149"/>
        <v>0</v>
      </c>
      <c r="AW973" s="101">
        <f t="shared" si="149"/>
        <v>0</v>
      </c>
      <c r="AX973" s="101">
        <f t="shared" si="149"/>
        <v>0</v>
      </c>
      <c r="AY973" s="101">
        <f t="shared" si="149"/>
        <v>0</v>
      </c>
      <c r="AZ973" s="101">
        <f t="shared" si="149"/>
        <v>0</v>
      </c>
      <c r="BA973" s="101">
        <f t="shared" si="149"/>
        <v>0</v>
      </c>
      <c r="BB973" s="101">
        <f t="shared" si="149"/>
        <v>0</v>
      </c>
      <c r="BC973" s="101">
        <f t="shared" si="149"/>
        <v>0</v>
      </c>
      <c r="BD973" s="101">
        <f t="shared" si="149"/>
        <v>0</v>
      </c>
      <c r="BE973" s="101">
        <f t="shared" si="149"/>
        <v>0</v>
      </c>
      <c r="BF973" s="101">
        <f t="shared" si="149"/>
        <v>0</v>
      </c>
      <c r="BG973" s="101">
        <f t="shared" si="149"/>
        <v>0</v>
      </c>
      <c r="BH973" s="101">
        <f t="shared" si="149"/>
        <v>0</v>
      </c>
      <c r="BI973" s="101">
        <f t="shared" si="149"/>
        <v>0</v>
      </c>
      <c r="BJ973" s="101">
        <f t="shared" si="149"/>
        <v>0</v>
      </c>
      <c r="BK973" s="101">
        <f t="shared" si="149"/>
        <v>0</v>
      </c>
      <c r="BL973" s="101">
        <f t="shared" si="149"/>
        <v>0</v>
      </c>
      <c r="BM973" s="101">
        <f t="shared" si="149"/>
        <v>0</v>
      </c>
      <c r="BN973" s="101">
        <f t="shared" si="149"/>
        <v>0</v>
      </c>
      <c r="BO973" s="101">
        <f t="shared" si="149"/>
        <v>0</v>
      </c>
      <c r="BP973" s="101">
        <f t="shared" ref="BP973:CP973" si="150">(Opening_year_AMI_cost+(Difference_AMI_cost)*(year-Opening_year)/(Forecast_and_opening_year_difference))*Interpolation_mask</f>
        <v>0</v>
      </c>
      <c r="BQ973" s="101">
        <f t="shared" si="150"/>
        <v>0</v>
      </c>
      <c r="BR973" s="101">
        <f t="shared" si="150"/>
        <v>0</v>
      </c>
      <c r="BS973" s="101">
        <f t="shared" si="150"/>
        <v>0</v>
      </c>
      <c r="BT973" s="101">
        <f t="shared" si="150"/>
        <v>0</v>
      </c>
      <c r="BU973" s="101">
        <f t="shared" si="150"/>
        <v>0</v>
      </c>
      <c r="BV973" s="101">
        <f t="shared" si="150"/>
        <v>0</v>
      </c>
      <c r="BW973" s="101">
        <f t="shared" si="150"/>
        <v>0</v>
      </c>
      <c r="BX973" s="101">
        <f t="shared" si="150"/>
        <v>0</v>
      </c>
      <c r="BY973" s="101">
        <f t="shared" si="150"/>
        <v>0</v>
      </c>
      <c r="BZ973" s="101">
        <f t="shared" si="150"/>
        <v>0</v>
      </c>
      <c r="CA973" s="101">
        <f t="shared" si="150"/>
        <v>0</v>
      </c>
      <c r="CB973" s="101">
        <f t="shared" si="150"/>
        <v>0</v>
      </c>
      <c r="CC973" s="101">
        <f t="shared" si="150"/>
        <v>0</v>
      </c>
      <c r="CD973" s="101">
        <f t="shared" si="150"/>
        <v>0</v>
      </c>
      <c r="CE973" s="101">
        <f t="shared" si="150"/>
        <v>0</v>
      </c>
      <c r="CF973" s="101">
        <f t="shared" si="150"/>
        <v>0</v>
      </c>
      <c r="CG973" s="101">
        <f t="shared" si="150"/>
        <v>0</v>
      </c>
      <c r="CH973" s="101">
        <f t="shared" si="150"/>
        <v>0</v>
      </c>
      <c r="CI973" s="101">
        <f t="shared" si="150"/>
        <v>0</v>
      </c>
      <c r="CJ973" s="101">
        <f t="shared" si="150"/>
        <v>0</v>
      </c>
      <c r="CK973" s="101">
        <f t="shared" si="150"/>
        <v>0</v>
      </c>
      <c r="CL973" s="101">
        <f t="shared" si="150"/>
        <v>0</v>
      </c>
      <c r="CM973" s="101">
        <f t="shared" si="150"/>
        <v>0</v>
      </c>
      <c r="CN973" s="101">
        <f t="shared" si="150"/>
        <v>0</v>
      </c>
      <c r="CO973" s="101">
        <f t="shared" si="150"/>
        <v>0</v>
      </c>
      <c r="CP973" s="101">
        <f t="shared" si="150"/>
        <v>0</v>
      </c>
      <c r="CQ973" s="3" t="s">
        <v>290</v>
      </c>
    </row>
    <row r="974" spans="1:95" ht="14.5" x14ac:dyDescent="0.35">
      <c r="A974" s="102"/>
      <c r="B974" s="102" t="s">
        <v>270</v>
      </c>
      <c r="C974" s="102"/>
      <c r="D974" s="101">
        <f t="shared" ref="D974:AI974" si="151">Forecast_year_AMI_cost*Extrapolation_mask</f>
        <v>0</v>
      </c>
      <c r="E974" s="101">
        <f t="shared" si="151"/>
        <v>0</v>
      </c>
      <c r="F974" s="101">
        <f t="shared" si="151"/>
        <v>0</v>
      </c>
      <c r="G974" s="101">
        <f t="shared" si="151"/>
        <v>0</v>
      </c>
      <c r="H974" s="101">
        <f t="shared" si="151"/>
        <v>0</v>
      </c>
      <c r="I974" s="101">
        <f t="shared" si="151"/>
        <v>0</v>
      </c>
      <c r="J974" s="101">
        <f t="shared" si="151"/>
        <v>0</v>
      </c>
      <c r="K974" s="101">
        <f t="shared" si="151"/>
        <v>0</v>
      </c>
      <c r="L974" s="101">
        <f t="shared" si="151"/>
        <v>0</v>
      </c>
      <c r="M974" s="101">
        <f t="shared" si="151"/>
        <v>0</v>
      </c>
      <c r="N974" s="101">
        <f t="shared" si="151"/>
        <v>0</v>
      </c>
      <c r="O974" s="101">
        <f t="shared" si="151"/>
        <v>0</v>
      </c>
      <c r="P974" s="101">
        <f t="shared" si="151"/>
        <v>0</v>
      </c>
      <c r="Q974" s="101">
        <f t="shared" si="151"/>
        <v>0</v>
      </c>
      <c r="R974" s="101">
        <f t="shared" si="151"/>
        <v>0</v>
      </c>
      <c r="S974" s="101">
        <f t="shared" si="151"/>
        <v>0</v>
      </c>
      <c r="T974" s="101">
        <f t="shared" si="151"/>
        <v>0</v>
      </c>
      <c r="U974" s="101">
        <f t="shared" si="151"/>
        <v>0</v>
      </c>
      <c r="V974" s="101">
        <f t="shared" si="151"/>
        <v>0</v>
      </c>
      <c r="W974" s="101">
        <f t="shared" si="151"/>
        <v>0</v>
      </c>
      <c r="X974" s="101">
        <f t="shared" si="151"/>
        <v>0</v>
      </c>
      <c r="Y974" s="101">
        <f t="shared" si="151"/>
        <v>0</v>
      </c>
      <c r="Z974" s="101">
        <f t="shared" si="151"/>
        <v>0</v>
      </c>
      <c r="AA974" s="101">
        <f t="shared" si="151"/>
        <v>0</v>
      </c>
      <c r="AB974" s="101">
        <f t="shared" si="151"/>
        <v>0</v>
      </c>
      <c r="AC974" s="101">
        <f t="shared" si="151"/>
        <v>0</v>
      </c>
      <c r="AD974" s="101">
        <f t="shared" si="151"/>
        <v>0</v>
      </c>
      <c r="AE974" s="101">
        <f t="shared" si="151"/>
        <v>0</v>
      </c>
      <c r="AF974" s="101">
        <f t="shared" si="151"/>
        <v>0</v>
      </c>
      <c r="AG974" s="101">
        <f t="shared" si="151"/>
        <v>0</v>
      </c>
      <c r="AH974" s="101">
        <f t="shared" si="151"/>
        <v>0</v>
      </c>
      <c r="AI974" s="101">
        <f t="shared" si="151"/>
        <v>0</v>
      </c>
      <c r="AJ974" s="101">
        <f t="shared" ref="AJ974:BO974" si="152">Forecast_year_AMI_cost*Extrapolation_mask</f>
        <v>0</v>
      </c>
      <c r="AK974" s="101">
        <f t="shared" si="152"/>
        <v>0</v>
      </c>
      <c r="AL974" s="101">
        <f t="shared" si="152"/>
        <v>0</v>
      </c>
      <c r="AM974" s="101">
        <f t="shared" si="152"/>
        <v>0</v>
      </c>
      <c r="AN974" s="101">
        <f t="shared" si="152"/>
        <v>0</v>
      </c>
      <c r="AO974" s="101">
        <f t="shared" si="152"/>
        <v>0</v>
      </c>
      <c r="AP974" s="101">
        <f t="shared" si="152"/>
        <v>0</v>
      </c>
      <c r="AQ974" s="101">
        <f t="shared" si="152"/>
        <v>0</v>
      </c>
      <c r="AR974" s="101">
        <f t="shared" si="152"/>
        <v>0</v>
      </c>
      <c r="AS974" s="101">
        <f t="shared" si="152"/>
        <v>0</v>
      </c>
      <c r="AT974" s="101">
        <f t="shared" si="152"/>
        <v>0</v>
      </c>
      <c r="AU974" s="101">
        <f t="shared" si="152"/>
        <v>0</v>
      </c>
      <c r="AV974" s="101">
        <f t="shared" si="152"/>
        <v>0</v>
      </c>
      <c r="AW974" s="101">
        <f t="shared" si="152"/>
        <v>0</v>
      </c>
      <c r="AX974" s="101">
        <f t="shared" si="152"/>
        <v>0</v>
      </c>
      <c r="AY974" s="101">
        <f t="shared" si="152"/>
        <v>0</v>
      </c>
      <c r="AZ974" s="101">
        <f t="shared" si="152"/>
        <v>0</v>
      </c>
      <c r="BA974" s="101">
        <f t="shared" si="152"/>
        <v>0</v>
      </c>
      <c r="BB974" s="101">
        <f t="shared" si="152"/>
        <v>0</v>
      </c>
      <c r="BC974" s="101">
        <f t="shared" si="152"/>
        <v>0</v>
      </c>
      <c r="BD974" s="101">
        <f t="shared" si="152"/>
        <v>0</v>
      </c>
      <c r="BE974" s="101">
        <f t="shared" si="152"/>
        <v>0</v>
      </c>
      <c r="BF974" s="101">
        <f t="shared" si="152"/>
        <v>0</v>
      </c>
      <c r="BG974" s="101">
        <f t="shared" si="152"/>
        <v>0</v>
      </c>
      <c r="BH974" s="101">
        <f t="shared" si="152"/>
        <v>0</v>
      </c>
      <c r="BI974" s="101">
        <f t="shared" si="152"/>
        <v>0</v>
      </c>
      <c r="BJ974" s="101">
        <f t="shared" si="152"/>
        <v>0</v>
      </c>
      <c r="BK974" s="101">
        <f t="shared" si="152"/>
        <v>0</v>
      </c>
      <c r="BL974" s="101">
        <f t="shared" si="152"/>
        <v>0</v>
      </c>
      <c r="BM974" s="101">
        <f t="shared" si="152"/>
        <v>0</v>
      </c>
      <c r="BN974" s="101">
        <f t="shared" si="152"/>
        <v>0</v>
      </c>
      <c r="BO974" s="101">
        <f t="shared" si="152"/>
        <v>0</v>
      </c>
      <c r="BP974" s="101">
        <f t="shared" ref="BP974:CP974" si="153">Forecast_year_AMI_cost*Extrapolation_mask</f>
        <v>0</v>
      </c>
      <c r="BQ974" s="101">
        <f t="shared" si="153"/>
        <v>0</v>
      </c>
      <c r="BR974" s="101">
        <f t="shared" si="153"/>
        <v>0</v>
      </c>
      <c r="BS974" s="101">
        <f t="shared" si="153"/>
        <v>0</v>
      </c>
      <c r="BT974" s="101">
        <f t="shared" si="153"/>
        <v>0</v>
      </c>
      <c r="BU974" s="101">
        <f t="shared" si="153"/>
        <v>0</v>
      </c>
      <c r="BV974" s="101">
        <f t="shared" si="153"/>
        <v>0</v>
      </c>
      <c r="BW974" s="101">
        <f t="shared" si="153"/>
        <v>0</v>
      </c>
      <c r="BX974" s="101">
        <f t="shared" si="153"/>
        <v>0</v>
      </c>
      <c r="BY974" s="101">
        <f t="shared" si="153"/>
        <v>0</v>
      </c>
      <c r="BZ974" s="101">
        <f t="shared" si="153"/>
        <v>0</v>
      </c>
      <c r="CA974" s="101">
        <f t="shared" si="153"/>
        <v>0</v>
      </c>
      <c r="CB974" s="101">
        <f t="shared" si="153"/>
        <v>0</v>
      </c>
      <c r="CC974" s="101">
        <f t="shared" si="153"/>
        <v>0</v>
      </c>
      <c r="CD974" s="101">
        <f t="shared" si="153"/>
        <v>0</v>
      </c>
      <c r="CE974" s="101">
        <f t="shared" si="153"/>
        <v>0</v>
      </c>
      <c r="CF974" s="101">
        <f t="shared" si="153"/>
        <v>0</v>
      </c>
      <c r="CG974" s="101">
        <f t="shared" si="153"/>
        <v>0</v>
      </c>
      <c r="CH974" s="101">
        <f t="shared" si="153"/>
        <v>0</v>
      </c>
      <c r="CI974" s="101">
        <f t="shared" si="153"/>
        <v>0</v>
      </c>
      <c r="CJ974" s="101">
        <f t="shared" si="153"/>
        <v>0</v>
      </c>
      <c r="CK974" s="101">
        <f t="shared" si="153"/>
        <v>0</v>
      </c>
      <c r="CL974" s="101">
        <f t="shared" si="153"/>
        <v>0</v>
      </c>
      <c r="CM974" s="101">
        <f t="shared" si="153"/>
        <v>0</v>
      </c>
      <c r="CN974" s="101">
        <f t="shared" si="153"/>
        <v>0</v>
      </c>
      <c r="CO974" s="101">
        <f t="shared" si="153"/>
        <v>0</v>
      </c>
      <c r="CP974" s="101">
        <f t="shared" si="153"/>
        <v>0</v>
      </c>
      <c r="CQ974" s="3" t="s">
        <v>291</v>
      </c>
    </row>
    <row r="975" spans="1:95" ht="14.5" x14ac:dyDescent="0.35">
      <c r="A975" s="102"/>
      <c r="B975" s="102" t="s">
        <v>279</v>
      </c>
      <c r="C975" s="102"/>
      <c r="D975" s="101">
        <f t="shared" ref="D975:AI975" si="154">Opening_year_AMI_cost_mask+Forecast_year_AMI_cost_mask+Interpolation_AMI_cost_mask+Extrapolation_AMI_cost_mask</f>
        <v>0</v>
      </c>
      <c r="E975" s="101">
        <f t="shared" si="154"/>
        <v>0</v>
      </c>
      <c r="F975" s="101">
        <f t="shared" si="154"/>
        <v>0</v>
      </c>
      <c r="G975" s="101">
        <f t="shared" si="154"/>
        <v>0</v>
      </c>
      <c r="H975" s="101">
        <f t="shared" si="154"/>
        <v>0</v>
      </c>
      <c r="I975" s="101">
        <f t="shared" si="154"/>
        <v>0</v>
      </c>
      <c r="J975" s="101">
        <f t="shared" si="154"/>
        <v>0</v>
      </c>
      <c r="K975" s="101">
        <f t="shared" si="154"/>
        <v>0</v>
      </c>
      <c r="L975" s="101">
        <f t="shared" si="154"/>
        <v>0</v>
      </c>
      <c r="M975" s="101">
        <f t="shared" si="154"/>
        <v>0</v>
      </c>
      <c r="N975" s="101">
        <f t="shared" si="154"/>
        <v>0</v>
      </c>
      <c r="O975" s="101">
        <f t="shared" si="154"/>
        <v>0</v>
      </c>
      <c r="P975" s="101">
        <f t="shared" si="154"/>
        <v>0</v>
      </c>
      <c r="Q975" s="101">
        <f t="shared" si="154"/>
        <v>0</v>
      </c>
      <c r="R975" s="101">
        <f t="shared" si="154"/>
        <v>0</v>
      </c>
      <c r="S975" s="101">
        <f t="shared" si="154"/>
        <v>0</v>
      </c>
      <c r="T975" s="101">
        <f t="shared" si="154"/>
        <v>0</v>
      </c>
      <c r="U975" s="101">
        <f t="shared" si="154"/>
        <v>0</v>
      </c>
      <c r="V975" s="101">
        <f t="shared" si="154"/>
        <v>0</v>
      </c>
      <c r="W975" s="101">
        <f t="shared" si="154"/>
        <v>0</v>
      </c>
      <c r="X975" s="101">
        <f t="shared" si="154"/>
        <v>0</v>
      </c>
      <c r="Y975" s="101">
        <f t="shared" si="154"/>
        <v>0</v>
      </c>
      <c r="Z975" s="101">
        <f t="shared" si="154"/>
        <v>0</v>
      </c>
      <c r="AA975" s="101">
        <f t="shared" si="154"/>
        <v>0</v>
      </c>
      <c r="AB975" s="101">
        <f t="shared" si="154"/>
        <v>0</v>
      </c>
      <c r="AC975" s="101">
        <f t="shared" si="154"/>
        <v>0</v>
      </c>
      <c r="AD975" s="101">
        <f t="shared" si="154"/>
        <v>0</v>
      </c>
      <c r="AE975" s="101">
        <f t="shared" si="154"/>
        <v>0</v>
      </c>
      <c r="AF975" s="101">
        <f t="shared" si="154"/>
        <v>0</v>
      </c>
      <c r="AG975" s="101">
        <f t="shared" si="154"/>
        <v>0</v>
      </c>
      <c r="AH975" s="101">
        <f t="shared" si="154"/>
        <v>0</v>
      </c>
      <c r="AI975" s="101">
        <f t="shared" si="154"/>
        <v>0</v>
      </c>
      <c r="AJ975" s="101">
        <f t="shared" ref="AJ975:BO975" si="155">Opening_year_AMI_cost_mask+Forecast_year_AMI_cost_mask+Interpolation_AMI_cost_mask+Extrapolation_AMI_cost_mask</f>
        <v>0</v>
      </c>
      <c r="AK975" s="101">
        <f t="shared" si="155"/>
        <v>0</v>
      </c>
      <c r="AL975" s="101">
        <f t="shared" si="155"/>
        <v>0</v>
      </c>
      <c r="AM975" s="101">
        <f t="shared" si="155"/>
        <v>0</v>
      </c>
      <c r="AN975" s="101">
        <f t="shared" si="155"/>
        <v>0</v>
      </c>
      <c r="AO975" s="101">
        <f t="shared" si="155"/>
        <v>0</v>
      </c>
      <c r="AP975" s="101">
        <f t="shared" si="155"/>
        <v>0</v>
      </c>
      <c r="AQ975" s="101">
        <f t="shared" si="155"/>
        <v>0</v>
      </c>
      <c r="AR975" s="101">
        <f t="shared" si="155"/>
        <v>0</v>
      </c>
      <c r="AS975" s="101">
        <f t="shared" si="155"/>
        <v>0</v>
      </c>
      <c r="AT975" s="101">
        <f t="shared" si="155"/>
        <v>0</v>
      </c>
      <c r="AU975" s="101">
        <f t="shared" si="155"/>
        <v>0</v>
      </c>
      <c r="AV975" s="101">
        <f t="shared" si="155"/>
        <v>0</v>
      </c>
      <c r="AW975" s="101">
        <f t="shared" si="155"/>
        <v>0</v>
      </c>
      <c r="AX975" s="101">
        <f t="shared" si="155"/>
        <v>0</v>
      </c>
      <c r="AY975" s="101">
        <f t="shared" si="155"/>
        <v>0</v>
      </c>
      <c r="AZ975" s="101">
        <f t="shared" si="155"/>
        <v>0</v>
      </c>
      <c r="BA975" s="101">
        <f t="shared" si="155"/>
        <v>0</v>
      </c>
      <c r="BB975" s="101">
        <f t="shared" si="155"/>
        <v>0</v>
      </c>
      <c r="BC975" s="101">
        <f t="shared" si="155"/>
        <v>0</v>
      </c>
      <c r="BD975" s="101">
        <f t="shared" si="155"/>
        <v>0</v>
      </c>
      <c r="BE975" s="101">
        <f t="shared" si="155"/>
        <v>0</v>
      </c>
      <c r="BF975" s="101">
        <f t="shared" si="155"/>
        <v>0</v>
      </c>
      <c r="BG975" s="101">
        <f t="shared" si="155"/>
        <v>0</v>
      </c>
      <c r="BH975" s="101">
        <f t="shared" si="155"/>
        <v>0</v>
      </c>
      <c r="BI975" s="101">
        <f t="shared" si="155"/>
        <v>0</v>
      </c>
      <c r="BJ975" s="101">
        <f t="shared" si="155"/>
        <v>0</v>
      </c>
      <c r="BK975" s="101">
        <f t="shared" si="155"/>
        <v>0</v>
      </c>
      <c r="BL975" s="101">
        <f t="shared" si="155"/>
        <v>0</v>
      </c>
      <c r="BM975" s="101">
        <f t="shared" si="155"/>
        <v>0</v>
      </c>
      <c r="BN975" s="101">
        <f t="shared" si="155"/>
        <v>0</v>
      </c>
      <c r="BO975" s="101">
        <f t="shared" si="155"/>
        <v>0</v>
      </c>
      <c r="BP975" s="101">
        <f t="shared" ref="BP975:CP975" si="156">Opening_year_AMI_cost_mask+Forecast_year_AMI_cost_mask+Interpolation_AMI_cost_mask+Extrapolation_AMI_cost_mask</f>
        <v>0</v>
      </c>
      <c r="BQ975" s="101">
        <f t="shared" si="156"/>
        <v>0</v>
      </c>
      <c r="BR975" s="101">
        <f t="shared" si="156"/>
        <v>0</v>
      </c>
      <c r="BS975" s="101">
        <f t="shared" si="156"/>
        <v>0</v>
      </c>
      <c r="BT975" s="101">
        <f t="shared" si="156"/>
        <v>0</v>
      </c>
      <c r="BU975" s="101">
        <f t="shared" si="156"/>
        <v>0</v>
      </c>
      <c r="BV975" s="101">
        <f t="shared" si="156"/>
        <v>0</v>
      </c>
      <c r="BW975" s="101">
        <f t="shared" si="156"/>
        <v>0</v>
      </c>
      <c r="BX975" s="101">
        <f t="shared" si="156"/>
        <v>0</v>
      </c>
      <c r="BY975" s="101">
        <f t="shared" si="156"/>
        <v>0</v>
      </c>
      <c r="BZ975" s="101">
        <f t="shared" si="156"/>
        <v>0</v>
      </c>
      <c r="CA975" s="101">
        <f t="shared" si="156"/>
        <v>0</v>
      </c>
      <c r="CB975" s="101">
        <f t="shared" si="156"/>
        <v>0</v>
      </c>
      <c r="CC975" s="101">
        <f t="shared" si="156"/>
        <v>0</v>
      </c>
      <c r="CD975" s="101">
        <f t="shared" si="156"/>
        <v>0</v>
      </c>
      <c r="CE975" s="101">
        <f t="shared" si="156"/>
        <v>0</v>
      </c>
      <c r="CF975" s="101">
        <f t="shared" si="156"/>
        <v>0</v>
      </c>
      <c r="CG975" s="101">
        <f t="shared" si="156"/>
        <v>0</v>
      </c>
      <c r="CH975" s="101">
        <f t="shared" si="156"/>
        <v>0</v>
      </c>
      <c r="CI975" s="101">
        <f t="shared" si="156"/>
        <v>0</v>
      </c>
      <c r="CJ975" s="101">
        <f t="shared" si="156"/>
        <v>0</v>
      </c>
      <c r="CK975" s="101">
        <f t="shared" si="156"/>
        <v>0</v>
      </c>
      <c r="CL975" s="101">
        <f t="shared" si="156"/>
        <v>0</v>
      </c>
      <c r="CM975" s="101">
        <f t="shared" si="156"/>
        <v>0</v>
      </c>
      <c r="CN975" s="101">
        <f t="shared" si="156"/>
        <v>0</v>
      </c>
      <c r="CO975" s="101">
        <f t="shared" si="156"/>
        <v>0</v>
      </c>
      <c r="CP975" s="101">
        <f t="shared" si="156"/>
        <v>0</v>
      </c>
      <c r="CQ975" s="3" t="s">
        <v>292</v>
      </c>
    </row>
    <row r="976" spans="1:95" ht="14.5" x14ac:dyDescent="0.35">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5">
      <c r="B977" s="5" t="s">
        <v>293</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5" x14ac:dyDescent="0.35">
      <c r="A980" s="102"/>
      <c r="B980" s="102" t="s">
        <v>67</v>
      </c>
      <c r="C980" s="102"/>
      <c r="D980" s="101">
        <f t="shared" ref="D980:AI980" si="157">Opening_year_stroke_cost*Opening_year_mask</f>
        <v>0</v>
      </c>
      <c r="E980" s="101">
        <f t="shared" si="157"/>
        <v>0</v>
      </c>
      <c r="F980" s="101">
        <f t="shared" si="157"/>
        <v>0</v>
      </c>
      <c r="G980" s="101">
        <f t="shared" si="157"/>
        <v>0</v>
      </c>
      <c r="H980" s="101">
        <f t="shared" si="157"/>
        <v>0</v>
      </c>
      <c r="I980" s="101">
        <f t="shared" si="157"/>
        <v>0</v>
      </c>
      <c r="J980" s="101">
        <f t="shared" si="157"/>
        <v>0</v>
      </c>
      <c r="K980" s="101">
        <f t="shared" si="157"/>
        <v>0</v>
      </c>
      <c r="L980" s="101">
        <f t="shared" si="157"/>
        <v>0</v>
      </c>
      <c r="M980" s="101">
        <f t="shared" si="157"/>
        <v>0</v>
      </c>
      <c r="N980" s="101">
        <f t="shared" si="157"/>
        <v>0</v>
      </c>
      <c r="O980" s="101">
        <f t="shared" si="157"/>
        <v>0</v>
      </c>
      <c r="P980" s="101">
        <f t="shared" si="157"/>
        <v>0</v>
      </c>
      <c r="Q980" s="101">
        <f t="shared" si="157"/>
        <v>0</v>
      </c>
      <c r="R980" s="101">
        <f t="shared" si="157"/>
        <v>0</v>
      </c>
      <c r="S980" s="101">
        <f t="shared" si="157"/>
        <v>0</v>
      </c>
      <c r="T980" s="101">
        <f t="shared" si="157"/>
        <v>0</v>
      </c>
      <c r="U980" s="101">
        <f t="shared" si="157"/>
        <v>0</v>
      </c>
      <c r="V980" s="101">
        <f t="shared" si="157"/>
        <v>0</v>
      </c>
      <c r="W980" s="101">
        <f t="shared" si="157"/>
        <v>0</v>
      </c>
      <c r="X980" s="101">
        <f t="shared" si="157"/>
        <v>0</v>
      </c>
      <c r="Y980" s="101">
        <f t="shared" si="157"/>
        <v>0</v>
      </c>
      <c r="Z980" s="101">
        <f t="shared" si="157"/>
        <v>0</v>
      </c>
      <c r="AA980" s="101">
        <f t="shared" si="157"/>
        <v>0</v>
      </c>
      <c r="AB980" s="101">
        <f t="shared" si="157"/>
        <v>0</v>
      </c>
      <c r="AC980" s="101">
        <f t="shared" si="157"/>
        <v>0</v>
      </c>
      <c r="AD980" s="101">
        <f t="shared" si="157"/>
        <v>0</v>
      </c>
      <c r="AE980" s="101">
        <f t="shared" si="157"/>
        <v>0</v>
      </c>
      <c r="AF980" s="101">
        <f t="shared" si="157"/>
        <v>0</v>
      </c>
      <c r="AG980" s="101">
        <f t="shared" si="157"/>
        <v>0</v>
      </c>
      <c r="AH980" s="101">
        <f t="shared" si="157"/>
        <v>0</v>
      </c>
      <c r="AI980" s="101">
        <f t="shared" si="157"/>
        <v>0</v>
      </c>
      <c r="AJ980" s="101">
        <f t="shared" ref="AJ980:BO980" si="158">Opening_year_stroke_cost*Opening_year_mask</f>
        <v>0</v>
      </c>
      <c r="AK980" s="101">
        <f t="shared" si="158"/>
        <v>0</v>
      </c>
      <c r="AL980" s="101">
        <f t="shared" si="158"/>
        <v>0</v>
      </c>
      <c r="AM980" s="101">
        <f t="shared" si="158"/>
        <v>0</v>
      </c>
      <c r="AN980" s="101">
        <f t="shared" si="158"/>
        <v>0</v>
      </c>
      <c r="AO980" s="101">
        <f t="shared" si="158"/>
        <v>0</v>
      </c>
      <c r="AP980" s="101">
        <f t="shared" si="158"/>
        <v>0</v>
      </c>
      <c r="AQ980" s="101">
        <f t="shared" si="158"/>
        <v>0</v>
      </c>
      <c r="AR980" s="101">
        <f t="shared" si="158"/>
        <v>0</v>
      </c>
      <c r="AS980" s="101">
        <f t="shared" si="158"/>
        <v>0</v>
      </c>
      <c r="AT980" s="101">
        <f t="shared" si="158"/>
        <v>0</v>
      </c>
      <c r="AU980" s="101">
        <f t="shared" si="158"/>
        <v>0</v>
      </c>
      <c r="AV980" s="101">
        <f t="shared" si="158"/>
        <v>0</v>
      </c>
      <c r="AW980" s="101">
        <f t="shared" si="158"/>
        <v>0</v>
      </c>
      <c r="AX980" s="101">
        <f t="shared" si="158"/>
        <v>0</v>
      </c>
      <c r="AY980" s="101">
        <f t="shared" si="158"/>
        <v>0</v>
      </c>
      <c r="AZ980" s="101">
        <f t="shared" si="158"/>
        <v>0</v>
      </c>
      <c r="BA980" s="101">
        <f t="shared" si="158"/>
        <v>0</v>
      </c>
      <c r="BB980" s="101">
        <f t="shared" si="158"/>
        <v>0</v>
      </c>
      <c r="BC980" s="101">
        <f t="shared" si="158"/>
        <v>0</v>
      </c>
      <c r="BD980" s="101">
        <f t="shared" si="158"/>
        <v>0</v>
      </c>
      <c r="BE980" s="101">
        <f t="shared" si="158"/>
        <v>0</v>
      </c>
      <c r="BF980" s="101">
        <f t="shared" si="158"/>
        <v>0</v>
      </c>
      <c r="BG980" s="101">
        <f t="shared" si="158"/>
        <v>0</v>
      </c>
      <c r="BH980" s="101">
        <f t="shared" si="158"/>
        <v>0</v>
      </c>
      <c r="BI980" s="101">
        <f t="shared" si="158"/>
        <v>0</v>
      </c>
      <c r="BJ980" s="101">
        <f t="shared" si="158"/>
        <v>0</v>
      </c>
      <c r="BK980" s="101">
        <f t="shared" si="158"/>
        <v>0</v>
      </c>
      <c r="BL980" s="101">
        <f t="shared" si="158"/>
        <v>0</v>
      </c>
      <c r="BM980" s="101">
        <f t="shared" si="158"/>
        <v>0</v>
      </c>
      <c r="BN980" s="101">
        <f t="shared" si="158"/>
        <v>0</v>
      </c>
      <c r="BO980" s="101">
        <f t="shared" si="158"/>
        <v>0</v>
      </c>
      <c r="BP980" s="101">
        <f t="shared" ref="BP980:CP980" si="159">Opening_year_stroke_cost*Opening_year_mask</f>
        <v>0</v>
      </c>
      <c r="BQ980" s="101">
        <f t="shared" si="159"/>
        <v>0</v>
      </c>
      <c r="BR980" s="101">
        <f t="shared" si="159"/>
        <v>0</v>
      </c>
      <c r="BS980" s="101">
        <f t="shared" si="159"/>
        <v>0</v>
      </c>
      <c r="BT980" s="101">
        <f t="shared" si="159"/>
        <v>0</v>
      </c>
      <c r="BU980" s="101">
        <f t="shared" si="159"/>
        <v>0</v>
      </c>
      <c r="BV980" s="101">
        <f t="shared" si="159"/>
        <v>0</v>
      </c>
      <c r="BW980" s="101">
        <f t="shared" si="159"/>
        <v>0</v>
      </c>
      <c r="BX980" s="101">
        <f t="shared" si="159"/>
        <v>0</v>
      </c>
      <c r="BY980" s="101">
        <f t="shared" si="159"/>
        <v>0</v>
      </c>
      <c r="BZ980" s="101">
        <f t="shared" si="159"/>
        <v>0</v>
      </c>
      <c r="CA980" s="101">
        <f t="shared" si="159"/>
        <v>0</v>
      </c>
      <c r="CB980" s="101">
        <f t="shared" si="159"/>
        <v>0</v>
      </c>
      <c r="CC980" s="101">
        <f t="shared" si="159"/>
        <v>0</v>
      </c>
      <c r="CD980" s="101">
        <f t="shared" si="159"/>
        <v>0</v>
      </c>
      <c r="CE980" s="101">
        <f t="shared" si="159"/>
        <v>0</v>
      </c>
      <c r="CF980" s="101">
        <f t="shared" si="159"/>
        <v>0</v>
      </c>
      <c r="CG980" s="101">
        <f t="shared" si="159"/>
        <v>0</v>
      </c>
      <c r="CH980" s="101">
        <f t="shared" si="159"/>
        <v>0</v>
      </c>
      <c r="CI980" s="101">
        <f t="shared" si="159"/>
        <v>0</v>
      </c>
      <c r="CJ980" s="101">
        <f t="shared" si="159"/>
        <v>0</v>
      </c>
      <c r="CK980" s="101">
        <f t="shared" si="159"/>
        <v>0</v>
      </c>
      <c r="CL980" s="101">
        <f t="shared" si="159"/>
        <v>0</v>
      </c>
      <c r="CM980" s="101">
        <f t="shared" si="159"/>
        <v>0</v>
      </c>
      <c r="CN980" s="101">
        <f t="shared" si="159"/>
        <v>0</v>
      </c>
      <c r="CO980" s="101">
        <f t="shared" si="159"/>
        <v>0</v>
      </c>
      <c r="CP980" s="101">
        <f t="shared" si="159"/>
        <v>0</v>
      </c>
      <c r="CQ980" s="3" t="s">
        <v>294</v>
      </c>
    </row>
    <row r="981" spans="1:95" ht="14.5" x14ac:dyDescent="0.35">
      <c r="A981" s="102"/>
      <c r="B981" s="102" t="s">
        <v>69</v>
      </c>
      <c r="C981" s="102"/>
      <c r="D981" s="101">
        <f t="shared" ref="D981:AI981" si="160">Forecast_year_stroke_cost*Forecast_year_mask</f>
        <v>0</v>
      </c>
      <c r="E981" s="101">
        <f t="shared" si="160"/>
        <v>0</v>
      </c>
      <c r="F981" s="101">
        <f t="shared" si="160"/>
        <v>0</v>
      </c>
      <c r="G981" s="101">
        <f t="shared" si="160"/>
        <v>0</v>
      </c>
      <c r="H981" s="101">
        <f t="shared" si="160"/>
        <v>0</v>
      </c>
      <c r="I981" s="101">
        <f t="shared" si="160"/>
        <v>0</v>
      </c>
      <c r="J981" s="101">
        <f t="shared" si="160"/>
        <v>0</v>
      </c>
      <c r="K981" s="101">
        <f t="shared" si="160"/>
        <v>0</v>
      </c>
      <c r="L981" s="101">
        <f t="shared" si="160"/>
        <v>0</v>
      </c>
      <c r="M981" s="101">
        <f t="shared" si="160"/>
        <v>0</v>
      </c>
      <c r="N981" s="101">
        <f t="shared" si="160"/>
        <v>0</v>
      </c>
      <c r="O981" s="101">
        <f t="shared" si="160"/>
        <v>0</v>
      </c>
      <c r="P981" s="101">
        <f t="shared" si="160"/>
        <v>0</v>
      </c>
      <c r="Q981" s="101">
        <f t="shared" si="160"/>
        <v>0</v>
      </c>
      <c r="R981" s="101">
        <f t="shared" si="160"/>
        <v>0</v>
      </c>
      <c r="S981" s="101">
        <f t="shared" si="160"/>
        <v>0</v>
      </c>
      <c r="T981" s="101">
        <f t="shared" si="160"/>
        <v>0</v>
      </c>
      <c r="U981" s="101">
        <f t="shared" si="160"/>
        <v>0</v>
      </c>
      <c r="V981" s="101">
        <f t="shared" si="160"/>
        <v>0</v>
      </c>
      <c r="W981" s="101">
        <f t="shared" si="160"/>
        <v>0</v>
      </c>
      <c r="X981" s="101">
        <f t="shared" si="160"/>
        <v>0</v>
      </c>
      <c r="Y981" s="101">
        <f t="shared" si="160"/>
        <v>0</v>
      </c>
      <c r="Z981" s="101">
        <f t="shared" si="160"/>
        <v>0</v>
      </c>
      <c r="AA981" s="101">
        <f t="shared" si="160"/>
        <v>0</v>
      </c>
      <c r="AB981" s="101">
        <f t="shared" si="160"/>
        <v>0</v>
      </c>
      <c r="AC981" s="101">
        <f t="shared" si="160"/>
        <v>0</v>
      </c>
      <c r="AD981" s="101">
        <f t="shared" si="160"/>
        <v>0</v>
      </c>
      <c r="AE981" s="101">
        <f t="shared" si="160"/>
        <v>0</v>
      </c>
      <c r="AF981" s="101">
        <f t="shared" si="160"/>
        <v>0</v>
      </c>
      <c r="AG981" s="101">
        <f t="shared" si="160"/>
        <v>0</v>
      </c>
      <c r="AH981" s="101">
        <f t="shared" si="160"/>
        <v>0</v>
      </c>
      <c r="AI981" s="101">
        <f t="shared" si="160"/>
        <v>0</v>
      </c>
      <c r="AJ981" s="101">
        <f t="shared" ref="AJ981:BO981" si="161">Forecast_year_stroke_cost*Forecast_year_mask</f>
        <v>0</v>
      </c>
      <c r="AK981" s="101">
        <f t="shared" si="161"/>
        <v>0</v>
      </c>
      <c r="AL981" s="101">
        <f t="shared" si="161"/>
        <v>0</v>
      </c>
      <c r="AM981" s="101">
        <f t="shared" si="161"/>
        <v>0</v>
      </c>
      <c r="AN981" s="101">
        <f t="shared" si="161"/>
        <v>0</v>
      </c>
      <c r="AO981" s="101">
        <f t="shared" si="161"/>
        <v>0</v>
      </c>
      <c r="AP981" s="101">
        <f t="shared" si="161"/>
        <v>0</v>
      </c>
      <c r="AQ981" s="101">
        <f t="shared" si="161"/>
        <v>0</v>
      </c>
      <c r="AR981" s="101">
        <f t="shared" si="161"/>
        <v>0</v>
      </c>
      <c r="AS981" s="101">
        <f t="shared" si="161"/>
        <v>0</v>
      </c>
      <c r="AT981" s="101">
        <f t="shared" si="161"/>
        <v>0</v>
      </c>
      <c r="AU981" s="101">
        <f t="shared" si="161"/>
        <v>0</v>
      </c>
      <c r="AV981" s="101">
        <f t="shared" si="161"/>
        <v>0</v>
      </c>
      <c r="AW981" s="101">
        <f t="shared" si="161"/>
        <v>0</v>
      </c>
      <c r="AX981" s="101">
        <f t="shared" si="161"/>
        <v>0</v>
      </c>
      <c r="AY981" s="101">
        <f t="shared" si="161"/>
        <v>0</v>
      </c>
      <c r="AZ981" s="101">
        <f t="shared" si="161"/>
        <v>0</v>
      </c>
      <c r="BA981" s="101">
        <f t="shared" si="161"/>
        <v>0</v>
      </c>
      <c r="BB981" s="101">
        <f t="shared" si="161"/>
        <v>0</v>
      </c>
      <c r="BC981" s="101">
        <f t="shared" si="161"/>
        <v>0</v>
      </c>
      <c r="BD981" s="101">
        <f t="shared" si="161"/>
        <v>0</v>
      </c>
      <c r="BE981" s="101">
        <f t="shared" si="161"/>
        <v>0</v>
      </c>
      <c r="BF981" s="101">
        <f t="shared" si="161"/>
        <v>0</v>
      </c>
      <c r="BG981" s="101">
        <f t="shared" si="161"/>
        <v>0</v>
      </c>
      <c r="BH981" s="101">
        <f t="shared" si="161"/>
        <v>0</v>
      </c>
      <c r="BI981" s="101">
        <f t="shared" si="161"/>
        <v>0</v>
      </c>
      <c r="BJ981" s="101">
        <f t="shared" si="161"/>
        <v>0</v>
      </c>
      <c r="BK981" s="101">
        <f t="shared" si="161"/>
        <v>0</v>
      </c>
      <c r="BL981" s="101">
        <f t="shared" si="161"/>
        <v>0</v>
      </c>
      <c r="BM981" s="101">
        <f t="shared" si="161"/>
        <v>0</v>
      </c>
      <c r="BN981" s="101">
        <f t="shared" si="161"/>
        <v>0</v>
      </c>
      <c r="BO981" s="101">
        <f t="shared" si="161"/>
        <v>0</v>
      </c>
      <c r="BP981" s="101">
        <f t="shared" ref="BP981:CP981" si="162">Forecast_year_stroke_cost*Forecast_year_mask</f>
        <v>0</v>
      </c>
      <c r="BQ981" s="101">
        <f t="shared" si="162"/>
        <v>0</v>
      </c>
      <c r="BR981" s="101">
        <f t="shared" si="162"/>
        <v>0</v>
      </c>
      <c r="BS981" s="101">
        <f t="shared" si="162"/>
        <v>0</v>
      </c>
      <c r="BT981" s="101">
        <f t="shared" si="162"/>
        <v>0</v>
      </c>
      <c r="BU981" s="101">
        <f t="shared" si="162"/>
        <v>0</v>
      </c>
      <c r="BV981" s="101">
        <f t="shared" si="162"/>
        <v>0</v>
      </c>
      <c r="BW981" s="101">
        <f t="shared" si="162"/>
        <v>0</v>
      </c>
      <c r="BX981" s="101">
        <f t="shared" si="162"/>
        <v>0</v>
      </c>
      <c r="BY981" s="101">
        <f t="shared" si="162"/>
        <v>0</v>
      </c>
      <c r="BZ981" s="101">
        <f t="shared" si="162"/>
        <v>0</v>
      </c>
      <c r="CA981" s="101">
        <f t="shared" si="162"/>
        <v>0</v>
      </c>
      <c r="CB981" s="101">
        <f t="shared" si="162"/>
        <v>0</v>
      </c>
      <c r="CC981" s="101">
        <f t="shared" si="162"/>
        <v>0</v>
      </c>
      <c r="CD981" s="101">
        <f t="shared" si="162"/>
        <v>0</v>
      </c>
      <c r="CE981" s="101">
        <f t="shared" si="162"/>
        <v>0</v>
      </c>
      <c r="CF981" s="101">
        <f t="shared" si="162"/>
        <v>0</v>
      </c>
      <c r="CG981" s="101">
        <f t="shared" si="162"/>
        <v>0</v>
      </c>
      <c r="CH981" s="101">
        <f t="shared" si="162"/>
        <v>0</v>
      </c>
      <c r="CI981" s="101">
        <f t="shared" si="162"/>
        <v>0</v>
      </c>
      <c r="CJ981" s="101">
        <f t="shared" si="162"/>
        <v>0</v>
      </c>
      <c r="CK981" s="101">
        <f t="shared" si="162"/>
        <v>0</v>
      </c>
      <c r="CL981" s="101">
        <f t="shared" si="162"/>
        <v>0</v>
      </c>
      <c r="CM981" s="101">
        <f t="shared" si="162"/>
        <v>0</v>
      </c>
      <c r="CN981" s="101">
        <f t="shared" si="162"/>
        <v>0</v>
      </c>
      <c r="CO981" s="101">
        <f t="shared" si="162"/>
        <v>0</v>
      </c>
      <c r="CP981" s="101">
        <f t="shared" si="162"/>
        <v>0</v>
      </c>
      <c r="CQ981" s="3" t="s">
        <v>295</v>
      </c>
    </row>
    <row r="982" spans="1:95" ht="14.5" x14ac:dyDescent="0.35">
      <c r="A982" s="102"/>
      <c r="B982" s="102" t="s">
        <v>268</v>
      </c>
      <c r="C982" s="102"/>
      <c r="D982" s="101">
        <f t="shared" ref="D982:AI982" si="163">(Opening_year_stroke_cost+(Difference_stroke_cost)*(year-Opening_year)/(Forecast_and_opening_year_difference))*Interpolation_mask</f>
        <v>0</v>
      </c>
      <c r="E982" s="101">
        <f t="shared" si="163"/>
        <v>0</v>
      </c>
      <c r="F982" s="101">
        <f t="shared" si="163"/>
        <v>0</v>
      </c>
      <c r="G982" s="101">
        <f t="shared" si="163"/>
        <v>0</v>
      </c>
      <c r="H982" s="101">
        <f t="shared" si="163"/>
        <v>0</v>
      </c>
      <c r="I982" s="101">
        <f t="shared" si="163"/>
        <v>0</v>
      </c>
      <c r="J982" s="101">
        <f t="shared" si="163"/>
        <v>0</v>
      </c>
      <c r="K982" s="101">
        <f t="shared" si="163"/>
        <v>0</v>
      </c>
      <c r="L982" s="101">
        <f t="shared" si="163"/>
        <v>0</v>
      </c>
      <c r="M982" s="101">
        <f t="shared" si="163"/>
        <v>0</v>
      </c>
      <c r="N982" s="101">
        <f t="shared" si="163"/>
        <v>0</v>
      </c>
      <c r="O982" s="101">
        <f t="shared" si="163"/>
        <v>0</v>
      </c>
      <c r="P982" s="101">
        <f t="shared" si="163"/>
        <v>0</v>
      </c>
      <c r="Q982" s="101">
        <f t="shared" si="163"/>
        <v>0</v>
      </c>
      <c r="R982" s="101">
        <f t="shared" si="163"/>
        <v>0</v>
      </c>
      <c r="S982" s="101">
        <f t="shared" si="163"/>
        <v>0</v>
      </c>
      <c r="T982" s="101">
        <f t="shared" si="163"/>
        <v>0</v>
      </c>
      <c r="U982" s="101">
        <f t="shared" si="163"/>
        <v>0</v>
      </c>
      <c r="V982" s="101">
        <f t="shared" si="163"/>
        <v>0</v>
      </c>
      <c r="W982" s="101">
        <f t="shared" si="163"/>
        <v>0</v>
      </c>
      <c r="X982" s="101">
        <f t="shared" si="163"/>
        <v>0</v>
      </c>
      <c r="Y982" s="101">
        <f t="shared" si="163"/>
        <v>0</v>
      </c>
      <c r="Z982" s="101">
        <f t="shared" si="163"/>
        <v>0</v>
      </c>
      <c r="AA982" s="101">
        <f t="shared" si="163"/>
        <v>0</v>
      </c>
      <c r="AB982" s="101">
        <f t="shared" si="163"/>
        <v>0</v>
      </c>
      <c r="AC982" s="101">
        <f t="shared" si="163"/>
        <v>0</v>
      </c>
      <c r="AD982" s="101">
        <f t="shared" si="163"/>
        <v>0</v>
      </c>
      <c r="AE982" s="101">
        <f t="shared" si="163"/>
        <v>0</v>
      </c>
      <c r="AF982" s="101">
        <f t="shared" si="163"/>
        <v>0</v>
      </c>
      <c r="AG982" s="101">
        <f t="shared" si="163"/>
        <v>0</v>
      </c>
      <c r="AH982" s="101">
        <f t="shared" si="163"/>
        <v>0</v>
      </c>
      <c r="AI982" s="101">
        <f t="shared" si="163"/>
        <v>0</v>
      </c>
      <c r="AJ982" s="101">
        <f t="shared" ref="AJ982:BO982" si="164">(Opening_year_stroke_cost+(Difference_stroke_cost)*(year-Opening_year)/(Forecast_and_opening_year_difference))*Interpolation_mask</f>
        <v>0</v>
      </c>
      <c r="AK982" s="101">
        <f t="shared" si="164"/>
        <v>0</v>
      </c>
      <c r="AL982" s="101">
        <f t="shared" si="164"/>
        <v>0</v>
      </c>
      <c r="AM982" s="101">
        <f t="shared" si="164"/>
        <v>0</v>
      </c>
      <c r="AN982" s="101">
        <f t="shared" si="164"/>
        <v>0</v>
      </c>
      <c r="AO982" s="101">
        <f t="shared" si="164"/>
        <v>0</v>
      </c>
      <c r="AP982" s="101">
        <f t="shared" si="164"/>
        <v>0</v>
      </c>
      <c r="AQ982" s="101">
        <f t="shared" si="164"/>
        <v>0</v>
      </c>
      <c r="AR982" s="101">
        <f t="shared" si="164"/>
        <v>0</v>
      </c>
      <c r="AS982" s="101">
        <f t="shared" si="164"/>
        <v>0</v>
      </c>
      <c r="AT982" s="101">
        <f t="shared" si="164"/>
        <v>0</v>
      </c>
      <c r="AU982" s="101">
        <f t="shared" si="164"/>
        <v>0</v>
      </c>
      <c r="AV982" s="101">
        <f t="shared" si="164"/>
        <v>0</v>
      </c>
      <c r="AW982" s="101">
        <f t="shared" si="164"/>
        <v>0</v>
      </c>
      <c r="AX982" s="101">
        <f t="shared" si="164"/>
        <v>0</v>
      </c>
      <c r="AY982" s="101">
        <f t="shared" si="164"/>
        <v>0</v>
      </c>
      <c r="AZ982" s="101">
        <f t="shared" si="164"/>
        <v>0</v>
      </c>
      <c r="BA982" s="101">
        <f t="shared" si="164"/>
        <v>0</v>
      </c>
      <c r="BB982" s="101">
        <f t="shared" si="164"/>
        <v>0</v>
      </c>
      <c r="BC982" s="101">
        <f t="shared" si="164"/>
        <v>0</v>
      </c>
      <c r="BD982" s="101">
        <f t="shared" si="164"/>
        <v>0</v>
      </c>
      <c r="BE982" s="101">
        <f t="shared" si="164"/>
        <v>0</v>
      </c>
      <c r="BF982" s="101">
        <f t="shared" si="164"/>
        <v>0</v>
      </c>
      <c r="BG982" s="101">
        <f t="shared" si="164"/>
        <v>0</v>
      </c>
      <c r="BH982" s="101">
        <f t="shared" si="164"/>
        <v>0</v>
      </c>
      <c r="BI982" s="101">
        <f t="shared" si="164"/>
        <v>0</v>
      </c>
      <c r="BJ982" s="101">
        <f t="shared" si="164"/>
        <v>0</v>
      </c>
      <c r="BK982" s="101">
        <f t="shared" si="164"/>
        <v>0</v>
      </c>
      <c r="BL982" s="101">
        <f t="shared" si="164"/>
        <v>0</v>
      </c>
      <c r="BM982" s="101">
        <f t="shared" si="164"/>
        <v>0</v>
      </c>
      <c r="BN982" s="101">
        <f t="shared" si="164"/>
        <v>0</v>
      </c>
      <c r="BO982" s="101">
        <f t="shared" si="164"/>
        <v>0</v>
      </c>
      <c r="BP982" s="101">
        <f t="shared" ref="BP982:CP982" si="165">(Opening_year_stroke_cost+(Difference_stroke_cost)*(year-Opening_year)/(Forecast_and_opening_year_difference))*Interpolation_mask</f>
        <v>0</v>
      </c>
      <c r="BQ982" s="101">
        <f t="shared" si="165"/>
        <v>0</v>
      </c>
      <c r="BR982" s="101">
        <f t="shared" si="165"/>
        <v>0</v>
      </c>
      <c r="BS982" s="101">
        <f t="shared" si="165"/>
        <v>0</v>
      </c>
      <c r="BT982" s="101">
        <f t="shared" si="165"/>
        <v>0</v>
      </c>
      <c r="BU982" s="101">
        <f t="shared" si="165"/>
        <v>0</v>
      </c>
      <c r="BV982" s="101">
        <f t="shared" si="165"/>
        <v>0</v>
      </c>
      <c r="BW982" s="101">
        <f t="shared" si="165"/>
        <v>0</v>
      </c>
      <c r="BX982" s="101">
        <f t="shared" si="165"/>
        <v>0</v>
      </c>
      <c r="BY982" s="101">
        <f t="shared" si="165"/>
        <v>0</v>
      </c>
      <c r="BZ982" s="101">
        <f t="shared" si="165"/>
        <v>0</v>
      </c>
      <c r="CA982" s="101">
        <f t="shared" si="165"/>
        <v>0</v>
      </c>
      <c r="CB982" s="101">
        <f t="shared" si="165"/>
        <v>0</v>
      </c>
      <c r="CC982" s="101">
        <f t="shared" si="165"/>
        <v>0</v>
      </c>
      <c r="CD982" s="101">
        <f t="shared" si="165"/>
        <v>0</v>
      </c>
      <c r="CE982" s="101">
        <f t="shared" si="165"/>
        <v>0</v>
      </c>
      <c r="CF982" s="101">
        <f t="shared" si="165"/>
        <v>0</v>
      </c>
      <c r="CG982" s="101">
        <f t="shared" si="165"/>
        <v>0</v>
      </c>
      <c r="CH982" s="101">
        <f t="shared" si="165"/>
        <v>0</v>
      </c>
      <c r="CI982" s="101">
        <f t="shared" si="165"/>
        <v>0</v>
      </c>
      <c r="CJ982" s="101">
        <f t="shared" si="165"/>
        <v>0</v>
      </c>
      <c r="CK982" s="101">
        <f t="shared" si="165"/>
        <v>0</v>
      </c>
      <c r="CL982" s="101">
        <f t="shared" si="165"/>
        <v>0</v>
      </c>
      <c r="CM982" s="101">
        <f t="shared" si="165"/>
        <v>0</v>
      </c>
      <c r="CN982" s="101">
        <f t="shared" si="165"/>
        <v>0</v>
      </c>
      <c r="CO982" s="101">
        <f t="shared" si="165"/>
        <v>0</v>
      </c>
      <c r="CP982" s="101">
        <f t="shared" si="165"/>
        <v>0</v>
      </c>
      <c r="CQ982" s="3" t="s">
        <v>296</v>
      </c>
    </row>
    <row r="983" spans="1:95" ht="14.5" x14ac:dyDescent="0.35">
      <c r="A983" s="102"/>
      <c r="B983" s="102" t="s">
        <v>270</v>
      </c>
      <c r="C983" s="102"/>
      <c r="D983" s="101">
        <f t="shared" ref="D983:AI983" si="166">Forecast_year_stroke_cost*Extrapolation_mask</f>
        <v>0</v>
      </c>
      <c r="E983" s="101">
        <f t="shared" si="166"/>
        <v>0</v>
      </c>
      <c r="F983" s="101">
        <f t="shared" si="166"/>
        <v>0</v>
      </c>
      <c r="G983" s="101">
        <f t="shared" si="166"/>
        <v>0</v>
      </c>
      <c r="H983" s="101">
        <f t="shared" si="166"/>
        <v>0</v>
      </c>
      <c r="I983" s="101">
        <f t="shared" si="166"/>
        <v>0</v>
      </c>
      <c r="J983" s="101">
        <f t="shared" si="166"/>
        <v>0</v>
      </c>
      <c r="K983" s="101">
        <f t="shared" si="166"/>
        <v>0</v>
      </c>
      <c r="L983" s="101">
        <f t="shared" si="166"/>
        <v>0</v>
      </c>
      <c r="M983" s="101">
        <f t="shared" si="166"/>
        <v>0</v>
      </c>
      <c r="N983" s="101">
        <f t="shared" si="166"/>
        <v>0</v>
      </c>
      <c r="O983" s="101">
        <f t="shared" si="166"/>
        <v>0</v>
      </c>
      <c r="P983" s="101">
        <f t="shared" si="166"/>
        <v>0</v>
      </c>
      <c r="Q983" s="101">
        <f t="shared" si="166"/>
        <v>0</v>
      </c>
      <c r="R983" s="101">
        <f t="shared" si="166"/>
        <v>0</v>
      </c>
      <c r="S983" s="101">
        <f t="shared" si="166"/>
        <v>0</v>
      </c>
      <c r="T983" s="101">
        <f t="shared" si="166"/>
        <v>0</v>
      </c>
      <c r="U983" s="101">
        <f t="shared" si="166"/>
        <v>0</v>
      </c>
      <c r="V983" s="101">
        <f t="shared" si="166"/>
        <v>0</v>
      </c>
      <c r="W983" s="101">
        <f t="shared" si="166"/>
        <v>0</v>
      </c>
      <c r="X983" s="101">
        <f t="shared" si="166"/>
        <v>0</v>
      </c>
      <c r="Y983" s="101">
        <f t="shared" si="166"/>
        <v>0</v>
      </c>
      <c r="Z983" s="101">
        <f t="shared" si="166"/>
        <v>0</v>
      </c>
      <c r="AA983" s="101">
        <f t="shared" si="166"/>
        <v>0</v>
      </c>
      <c r="AB983" s="101">
        <f t="shared" si="166"/>
        <v>0</v>
      </c>
      <c r="AC983" s="101">
        <f t="shared" si="166"/>
        <v>0</v>
      </c>
      <c r="AD983" s="101">
        <f t="shared" si="166"/>
        <v>0</v>
      </c>
      <c r="AE983" s="101">
        <f t="shared" si="166"/>
        <v>0</v>
      </c>
      <c r="AF983" s="101">
        <f t="shared" si="166"/>
        <v>0</v>
      </c>
      <c r="AG983" s="101">
        <f t="shared" si="166"/>
        <v>0</v>
      </c>
      <c r="AH983" s="101">
        <f t="shared" si="166"/>
        <v>0</v>
      </c>
      <c r="AI983" s="101">
        <f t="shared" si="166"/>
        <v>0</v>
      </c>
      <c r="AJ983" s="101">
        <f t="shared" ref="AJ983:BO983" si="167">Forecast_year_stroke_cost*Extrapolation_mask</f>
        <v>0</v>
      </c>
      <c r="AK983" s="101">
        <f t="shared" si="167"/>
        <v>0</v>
      </c>
      <c r="AL983" s="101">
        <f t="shared" si="167"/>
        <v>0</v>
      </c>
      <c r="AM983" s="101">
        <f t="shared" si="167"/>
        <v>0</v>
      </c>
      <c r="AN983" s="101">
        <f t="shared" si="167"/>
        <v>0</v>
      </c>
      <c r="AO983" s="101">
        <f t="shared" si="167"/>
        <v>0</v>
      </c>
      <c r="AP983" s="101">
        <f t="shared" si="167"/>
        <v>0</v>
      </c>
      <c r="AQ983" s="101">
        <f t="shared" si="167"/>
        <v>0</v>
      </c>
      <c r="AR983" s="101">
        <f t="shared" si="167"/>
        <v>0</v>
      </c>
      <c r="AS983" s="101">
        <f t="shared" si="167"/>
        <v>0</v>
      </c>
      <c r="AT983" s="101">
        <f t="shared" si="167"/>
        <v>0</v>
      </c>
      <c r="AU983" s="101">
        <f t="shared" si="167"/>
        <v>0</v>
      </c>
      <c r="AV983" s="101">
        <f t="shared" si="167"/>
        <v>0</v>
      </c>
      <c r="AW983" s="101">
        <f t="shared" si="167"/>
        <v>0</v>
      </c>
      <c r="AX983" s="101">
        <f t="shared" si="167"/>
        <v>0</v>
      </c>
      <c r="AY983" s="101">
        <f t="shared" si="167"/>
        <v>0</v>
      </c>
      <c r="AZ983" s="101">
        <f t="shared" si="167"/>
        <v>0</v>
      </c>
      <c r="BA983" s="101">
        <f t="shared" si="167"/>
        <v>0</v>
      </c>
      <c r="BB983" s="101">
        <f t="shared" si="167"/>
        <v>0</v>
      </c>
      <c r="BC983" s="101">
        <f t="shared" si="167"/>
        <v>0</v>
      </c>
      <c r="BD983" s="101">
        <f t="shared" si="167"/>
        <v>0</v>
      </c>
      <c r="BE983" s="101">
        <f t="shared" si="167"/>
        <v>0</v>
      </c>
      <c r="BF983" s="101">
        <f t="shared" si="167"/>
        <v>0</v>
      </c>
      <c r="BG983" s="101">
        <f t="shared" si="167"/>
        <v>0</v>
      </c>
      <c r="BH983" s="101">
        <f t="shared" si="167"/>
        <v>0</v>
      </c>
      <c r="BI983" s="101">
        <f t="shared" si="167"/>
        <v>0</v>
      </c>
      <c r="BJ983" s="101">
        <f t="shared" si="167"/>
        <v>0</v>
      </c>
      <c r="BK983" s="101">
        <f t="shared" si="167"/>
        <v>0</v>
      </c>
      <c r="BL983" s="101">
        <f t="shared" si="167"/>
        <v>0</v>
      </c>
      <c r="BM983" s="101">
        <f t="shared" si="167"/>
        <v>0</v>
      </c>
      <c r="BN983" s="101">
        <f t="shared" si="167"/>
        <v>0</v>
      </c>
      <c r="BO983" s="101">
        <f t="shared" si="167"/>
        <v>0</v>
      </c>
      <c r="BP983" s="101">
        <f t="shared" ref="BP983:CP983" si="168">Forecast_year_stroke_cost*Extrapolation_mask</f>
        <v>0</v>
      </c>
      <c r="BQ983" s="101">
        <f t="shared" si="168"/>
        <v>0</v>
      </c>
      <c r="BR983" s="101">
        <f t="shared" si="168"/>
        <v>0</v>
      </c>
      <c r="BS983" s="101">
        <f t="shared" si="168"/>
        <v>0</v>
      </c>
      <c r="BT983" s="101">
        <f t="shared" si="168"/>
        <v>0</v>
      </c>
      <c r="BU983" s="101">
        <f t="shared" si="168"/>
        <v>0</v>
      </c>
      <c r="BV983" s="101">
        <f t="shared" si="168"/>
        <v>0</v>
      </c>
      <c r="BW983" s="101">
        <f t="shared" si="168"/>
        <v>0</v>
      </c>
      <c r="BX983" s="101">
        <f t="shared" si="168"/>
        <v>0</v>
      </c>
      <c r="BY983" s="101">
        <f t="shared" si="168"/>
        <v>0</v>
      </c>
      <c r="BZ983" s="101">
        <f t="shared" si="168"/>
        <v>0</v>
      </c>
      <c r="CA983" s="101">
        <f t="shared" si="168"/>
        <v>0</v>
      </c>
      <c r="CB983" s="101">
        <f t="shared" si="168"/>
        <v>0</v>
      </c>
      <c r="CC983" s="101">
        <f t="shared" si="168"/>
        <v>0</v>
      </c>
      <c r="CD983" s="101">
        <f t="shared" si="168"/>
        <v>0</v>
      </c>
      <c r="CE983" s="101">
        <f t="shared" si="168"/>
        <v>0</v>
      </c>
      <c r="CF983" s="101">
        <f t="shared" si="168"/>
        <v>0</v>
      </c>
      <c r="CG983" s="101">
        <f t="shared" si="168"/>
        <v>0</v>
      </c>
      <c r="CH983" s="101">
        <f t="shared" si="168"/>
        <v>0</v>
      </c>
      <c r="CI983" s="101">
        <f t="shared" si="168"/>
        <v>0</v>
      </c>
      <c r="CJ983" s="101">
        <f t="shared" si="168"/>
        <v>0</v>
      </c>
      <c r="CK983" s="101">
        <f t="shared" si="168"/>
        <v>0</v>
      </c>
      <c r="CL983" s="101">
        <f t="shared" si="168"/>
        <v>0</v>
      </c>
      <c r="CM983" s="101">
        <f t="shared" si="168"/>
        <v>0</v>
      </c>
      <c r="CN983" s="101">
        <f t="shared" si="168"/>
        <v>0</v>
      </c>
      <c r="CO983" s="101">
        <f t="shared" si="168"/>
        <v>0</v>
      </c>
      <c r="CP983" s="101">
        <f t="shared" si="168"/>
        <v>0</v>
      </c>
      <c r="CQ983" s="3" t="s">
        <v>297</v>
      </c>
    </row>
    <row r="984" spans="1:95" ht="14.5" x14ac:dyDescent="0.35">
      <c r="A984" s="102"/>
      <c r="B984" s="102" t="s">
        <v>279</v>
      </c>
      <c r="C984" s="102"/>
      <c r="D984" s="101">
        <f t="shared" ref="D984:AI984" si="169">Opening_year_stroke_cost_mask+Forecast_year_stroke_cost_mask+Interpolation_stroke_cost_mask+Extrapolation_stroke_cost_mask</f>
        <v>0</v>
      </c>
      <c r="E984" s="101">
        <f t="shared" si="169"/>
        <v>0</v>
      </c>
      <c r="F984" s="101">
        <f t="shared" si="169"/>
        <v>0</v>
      </c>
      <c r="G984" s="101">
        <f t="shared" si="169"/>
        <v>0</v>
      </c>
      <c r="H984" s="101">
        <f t="shared" si="169"/>
        <v>0</v>
      </c>
      <c r="I984" s="101">
        <f t="shared" si="169"/>
        <v>0</v>
      </c>
      <c r="J984" s="101">
        <f t="shared" si="169"/>
        <v>0</v>
      </c>
      <c r="K984" s="101">
        <f t="shared" si="169"/>
        <v>0</v>
      </c>
      <c r="L984" s="101">
        <f t="shared" si="169"/>
        <v>0</v>
      </c>
      <c r="M984" s="101">
        <f t="shared" si="169"/>
        <v>0</v>
      </c>
      <c r="N984" s="101">
        <f t="shared" si="169"/>
        <v>0</v>
      </c>
      <c r="O984" s="101">
        <f t="shared" si="169"/>
        <v>0</v>
      </c>
      <c r="P984" s="101">
        <f t="shared" si="169"/>
        <v>0</v>
      </c>
      <c r="Q984" s="101">
        <f t="shared" si="169"/>
        <v>0</v>
      </c>
      <c r="R984" s="101">
        <f t="shared" si="169"/>
        <v>0</v>
      </c>
      <c r="S984" s="101">
        <f t="shared" si="169"/>
        <v>0</v>
      </c>
      <c r="T984" s="101">
        <f t="shared" si="169"/>
        <v>0</v>
      </c>
      <c r="U984" s="101">
        <f t="shared" si="169"/>
        <v>0</v>
      </c>
      <c r="V984" s="101">
        <f t="shared" si="169"/>
        <v>0</v>
      </c>
      <c r="W984" s="101">
        <f t="shared" si="169"/>
        <v>0</v>
      </c>
      <c r="X984" s="101">
        <f t="shared" si="169"/>
        <v>0</v>
      </c>
      <c r="Y984" s="101">
        <f t="shared" si="169"/>
        <v>0</v>
      </c>
      <c r="Z984" s="101">
        <f t="shared" si="169"/>
        <v>0</v>
      </c>
      <c r="AA984" s="101">
        <f t="shared" si="169"/>
        <v>0</v>
      </c>
      <c r="AB984" s="101">
        <f t="shared" si="169"/>
        <v>0</v>
      </c>
      <c r="AC984" s="101">
        <f t="shared" si="169"/>
        <v>0</v>
      </c>
      <c r="AD984" s="101">
        <f t="shared" si="169"/>
        <v>0</v>
      </c>
      <c r="AE984" s="101">
        <f t="shared" si="169"/>
        <v>0</v>
      </c>
      <c r="AF984" s="101">
        <f t="shared" si="169"/>
        <v>0</v>
      </c>
      <c r="AG984" s="101">
        <f t="shared" si="169"/>
        <v>0</v>
      </c>
      <c r="AH984" s="101">
        <f t="shared" si="169"/>
        <v>0</v>
      </c>
      <c r="AI984" s="101">
        <f t="shared" si="169"/>
        <v>0</v>
      </c>
      <c r="AJ984" s="101">
        <f t="shared" ref="AJ984:BO984" si="170">Opening_year_stroke_cost_mask+Forecast_year_stroke_cost_mask+Interpolation_stroke_cost_mask+Extrapolation_stroke_cost_mask</f>
        <v>0</v>
      </c>
      <c r="AK984" s="101">
        <f t="shared" si="170"/>
        <v>0</v>
      </c>
      <c r="AL984" s="101">
        <f t="shared" si="170"/>
        <v>0</v>
      </c>
      <c r="AM984" s="101">
        <f t="shared" si="170"/>
        <v>0</v>
      </c>
      <c r="AN984" s="101">
        <f t="shared" si="170"/>
        <v>0</v>
      </c>
      <c r="AO984" s="101">
        <f t="shared" si="170"/>
        <v>0</v>
      </c>
      <c r="AP984" s="101">
        <f t="shared" si="170"/>
        <v>0</v>
      </c>
      <c r="AQ984" s="101">
        <f t="shared" si="170"/>
        <v>0</v>
      </c>
      <c r="AR984" s="101">
        <f t="shared" si="170"/>
        <v>0</v>
      </c>
      <c r="AS984" s="101">
        <f t="shared" si="170"/>
        <v>0</v>
      </c>
      <c r="AT984" s="101">
        <f t="shared" si="170"/>
        <v>0</v>
      </c>
      <c r="AU984" s="101">
        <f t="shared" si="170"/>
        <v>0</v>
      </c>
      <c r="AV984" s="101">
        <f t="shared" si="170"/>
        <v>0</v>
      </c>
      <c r="AW984" s="101">
        <f t="shared" si="170"/>
        <v>0</v>
      </c>
      <c r="AX984" s="101">
        <f t="shared" si="170"/>
        <v>0</v>
      </c>
      <c r="AY984" s="101">
        <f t="shared" si="170"/>
        <v>0</v>
      </c>
      <c r="AZ984" s="101">
        <f t="shared" si="170"/>
        <v>0</v>
      </c>
      <c r="BA984" s="101">
        <f t="shared" si="170"/>
        <v>0</v>
      </c>
      <c r="BB984" s="101">
        <f t="shared" si="170"/>
        <v>0</v>
      </c>
      <c r="BC984" s="101">
        <f t="shared" si="170"/>
        <v>0</v>
      </c>
      <c r="BD984" s="101">
        <f t="shared" si="170"/>
        <v>0</v>
      </c>
      <c r="BE984" s="101">
        <f t="shared" si="170"/>
        <v>0</v>
      </c>
      <c r="BF984" s="101">
        <f t="shared" si="170"/>
        <v>0</v>
      </c>
      <c r="BG984" s="101">
        <f t="shared" si="170"/>
        <v>0</v>
      </c>
      <c r="BH984" s="101">
        <f t="shared" si="170"/>
        <v>0</v>
      </c>
      <c r="BI984" s="101">
        <f t="shared" si="170"/>
        <v>0</v>
      </c>
      <c r="BJ984" s="101">
        <f t="shared" si="170"/>
        <v>0</v>
      </c>
      <c r="BK984" s="101">
        <f t="shared" si="170"/>
        <v>0</v>
      </c>
      <c r="BL984" s="101">
        <f t="shared" si="170"/>
        <v>0</v>
      </c>
      <c r="BM984" s="101">
        <f t="shared" si="170"/>
        <v>0</v>
      </c>
      <c r="BN984" s="101">
        <f t="shared" si="170"/>
        <v>0</v>
      </c>
      <c r="BO984" s="101">
        <f t="shared" si="170"/>
        <v>0</v>
      </c>
      <c r="BP984" s="101">
        <f t="shared" ref="BP984:CP984" si="171">Opening_year_stroke_cost_mask+Forecast_year_stroke_cost_mask+Interpolation_stroke_cost_mask+Extrapolation_stroke_cost_mask</f>
        <v>0</v>
      </c>
      <c r="BQ984" s="101">
        <f t="shared" si="171"/>
        <v>0</v>
      </c>
      <c r="BR984" s="101">
        <f t="shared" si="171"/>
        <v>0</v>
      </c>
      <c r="BS984" s="101">
        <f t="shared" si="171"/>
        <v>0</v>
      </c>
      <c r="BT984" s="101">
        <f t="shared" si="171"/>
        <v>0</v>
      </c>
      <c r="BU984" s="101">
        <f t="shared" si="171"/>
        <v>0</v>
      </c>
      <c r="BV984" s="101">
        <f t="shared" si="171"/>
        <v>0</v>
      </c>
      <c r="BW984" s="101">
        <f t="shared" si="171"/>
        <v>0</v>
      </c>
      <c r="BX984" s="101">
        <f t="shared" si="171"/>
        <v>0</v>
      </c>
      <c r="BY984" s="101">
        <f t="shared" si="171"/>
        <v>0</v>
      </c>
      <c r="BZ984" s="101">
        <f t="shared" si="171"/>
        <v>0</v>
      </c>
      <c r="CA984" s="101">
        <f t="shared" si="171"/>
        <v>0</v>
      </c>
      <c r="CB984" s="101">
        <f t="shared" si="171"/>
        <v>0</v>
      </c>
      <c r="CC984" s="101">
        <f t="shared" si="171"/>
        <v>0</v>
      </c>
      <c r="CD984" s="101">
        <f t="shared" si="171"/>
        <v>0</v>
      </c>
      <c r="CE984" s="101">
        <f t="shared" si="171"/>
        <v>0</v>
      </c>
      <c r="CF984" s="101">
        <f t="shared" si="171"/>
        <v>0</v>
      </c>
      <c r="CG984" s="101">
        <f t="shared" si="171"/>
        <v>0</v>
      </c>
      <c r="CH984" s="101">
        <f t="shared" si="171"/>
        <v>0</v>
      </c>
      <c r="CI984" s="101">
        <f t="shared" si="171"/>
        <v>0</v>
      </c>
      <c r="CJ984" s="101">
        <f t="shared" si="171"/>
        <v>0</v>
      </c>
      <c r="CK984" s="101">
        <f t="shared" si="171"/>
        <v>0</v>
      </c>
      <c r="CL984" s="101">
        <f t="shared" si="171"/>
        <v>0</v>
      </c>
      <c r="CM984" s="101">
        <f t="shared" si="171"/>
        <v>0</v>
      </c>
      <c r="CN984" s="101">
        <f t="shared" si="171"/>
        <v>0</v>
      </c>
      <c r="CO984" s="101">
        <f t="shared" si="171"/>
        <v>0</v>
      </c>
      <c r="CP984" s="101">
        <f t="shared" si="171"/>
        <v>0</v>
      </c>
      <c r="CQ984" s="3" t="s">
        <v>298</v>
      </c>
    </row>
    <row r="985" spans="1:95" ht="14.5" x14ac:dyDescent="0.35">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5">
      <c r="B986" s="5" t="s">
        <v>299</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5" x14ac:dyDescent="0.35">
      <c r="A989" s="102"/>
      <c r="B989" s="102" t="s">
        <v>67</v>
      </c>
      <c r="C989" s="102"/>
      <c r="D989" s="101">
        <f t="shared" ref="D989:AI989" si="172">Opening_year_dementia_cost*Opening_year_mask</f>
        <v>0</v>
      </c>
      <c r="E989" s="101">
        <f t="shared" si="172"/>
        <v>0</v>
      </c>
      <c r="F989" s="101">
        <f t="shared" si="172"/>
        <v>0</v>
      </c>
      <c r="G989" s="101">
        <f t="shared" si="172"/>
        <v>0</v>
      </c>
      <c r="H989" s="101">
        <f t="shared" si="172"/>
        <v>0</v>
      </c>
      <c r="I989" s="101">
        <f t="shared" si="172"/>
        <v>0</v>
      </c>
      <c r="J989" s="101">
        <f t="shared" si="172"/>
        <v>0</v>
      </c>
      <c r="K989" s="101">
        <f t="shared" si="172"/>
        <v>0</v>
      </c>
      <c r="L989" s="101">
        <f t="shared" si="172"/>
        <v>0</v>
      </c>
      <c r="M989" s="101">
        <f t="shared" si="172"/>
        <v>0</v>
      </c>
      <c r="N989" s="101">
        <f t="shared" si="172"/>
        <v>0</v>
      </c>
      <c r="O989" s="101">
        <f t="shared" si="172"/>
        <v>0</v>
      </c>
      <c r="P989" s="101">
        <f t="shared" si="172"/>
        <v>0</v>
      </c>
      <c r="Q989" s="101">
        <f t="shared" si="172"/>
        <v>0</v>
      </c>
      <c r="R989" s="101">
        <f t="shared" si="172"/>
        <v>0</v>
      </c>
      <c r="S989" s="101">
        <f t="shared" si="172"/>
        <v>0</v>
      </c>
      <c r="T989" s="101">
        <f t="shared" si="172"/>
        <v>0</v>
      </c>
      <c r="U989" s="101">
        <f t="shared" si="172"/>
        <v>0</v>
      </c>
      <c r="V989" s="101">
        <f t="shared" si="172"/>
        <v>0</v>
      </c>
      <c r="W989" s="101">
        <f t="shared" si="172"/>
        <v>0</v>
      </c>
      <c r="X989" s="101">
        <f t="shared" si="172"/>
        <v>0</v>
      </c>
      <c r="Y989" s="101">
        <f t="shared" si="172"/>
        <v>0</v>
      </c>
      <c r="Z989" s="101">
        <f t="shared" si="172"/>
        <v>0</v>
      </c>
      <c r="AA989" s="101">
        <f t="shared" si="172"/>
        <v>0</v>
      </c>
      <c r="AB989" s="101">
        <f t="shared" si="172"/>
        <v>0</v>
      </c>
      <c r="AC989" s="101">
        <f t="shared" si="172"/>
        <v>0</v>
      </c>
      <c r="AD989" s="101">
        <f t="shared" si="172"/>
        <v>0</v>
      </c>
      <c r="AE989" s="101">
        <f t="shared" si="172"/>
        <v>0</v>
      </c>
      <c r="AF989" s="101">
        <f t="shared" si="172"/>
        <v>0</v>
      </c>
      <c r="AG989" s="101">
        <f t="shared" si="172"/>
        <v>0</v>
      </c>
      <c r="AH989" s="101">
        <f t="shared" si="172"/>
        <v>0</v>
      </c>
      <c r="AI989" s="101">
        <f t="shared" si="172"/>
        <v>0</v>
      </c>
      <c r="AJ989" s="101">
        <f t="shared" ref="AJ989:BO989" si="173">Opening_year_dementia_cost*Opening_year_mask</f>
        <v>0</v>
      </c>
      <c r="AK989" s="101">
        <f t="shared" si="173"/>
        <v>0</v>
      </c>
      <c r="AL989" s="101">
        <f t="shared" si="173"/>
        <v>0</v>
      </c>
      <c r="AM989" s="101">
        <f t="shared" si="173"/>
        <v>0</v>
      </c>
      <c r="AN989" s="101">
        <f t="shared" si="173"/>
        <v>0</v>
      </c>
      <c r="AO989" s="101">
        <f t="shared" si="173"/>
        <v>0</v>
      </c>
      <c r="AP989" s="101">
        <f t="shared" si="173"/>
        <v>0</v>
      </c>
      <c r="AQ989" s="101">
        <f t="shared" si="173"/>
        <v>0</v>
      </c>
      <c r="AR989" s="101">
        <f t="shared" si="173"/>
        <v>0</v>
      </c>
      <c r="AS989" s="101">
        <f t="shared" si="173"/>
        <v>0</v>
      </c>
      <c r="AT989" s="101">
        <f t="shared" si="173"/>
        <v>0</v>
      </c>
      <c r="AU989" s="101">
        <f t="shared" si="173"/>
        <v>0</v>
      </c>
      <c r="AV989" s="101">
        <f t="shared" si="173"/>
        <v>0</v>
      </c>
      <c r="AW989" s="101">
        <f t="shared" si="173"/>
        <v>0</v>
      </c>
      <c r="AX989" s="101">
        <f t="shared" si="173"/>
        <v>0</v>
      </c>
      <c r="AY989" s="101">
        <f t="shared" si="173"/>
        <v>0</v>
      </c>
      <c r="AZ989" s="101">
        <f t="shared" si="173"/>
        <v>0</v>
      </c>
      <c r="BA989" s="101">
        <f t="shared" si="173"/>
        <v>0</v>
      </c>
      <c r="BB989" s="101">
        <f t="shared" si="173"/>
        <v>0</v>
      </c>
      <c r="BC989" s="101">
        <f t="shared" si="173"/>
        <v>0</v>
      </c>
      <c r="BD989" s="101">
        <f t="shared" si="173"/>
        <v>0</v>
      </c>
      <c r="BE989" s="101">
        <f t="shared" si="173"/>
        <v>0</v>
      </c>
      <c r="BF989" s="101">
        <f t="shared" si="173"/>
        <v>0</v>
      </c>
      <c r="BG989" s="101">
        <f t="shared" si="173"/>
        <v>0</v>
      </c>
      <c r="BH989" s="101">
        <f t="shared" si="173"/>
        <v>0</v>
      </c>
      <c r="BI989" s="101">
        <f t="shared" si="173"/>
        <v>0</v>
      </c>
      <c r="BJ989" s="101">
        <f t="shared" si="173"/>
        <v>0</v>
      </c>
      <c r="BK989" s="101">
        <f t="shared" si="173"/>
        <v>0</v>
      </c>
      <c r="BL989" s="101">
        <f t="shared" si="173"/>
        <v>0</v>
      </c>
      <c r="BM989" s="101">
        <f t="shared" si="173"/>
        <v>0</v>
      </c>
      <c r="BN989" s="101">
        <f t="shared" si="173"/>
        <v>0</v>
      </c>
      <c r="BO989" s="101">
        <f t="shared" si="173"/>
        <v>0</v>
      </c>
      <c r="BP989" s="101">
        <f t="shared" ref="BP989:CP989" si="174">Opening_year_dementia_cost*Opening_year_mask</f>
        <v>0</v>
      </c>
      <c r="BQ989" s="101">
        <f t="shared" si="174"/>
        <v>0</v>
      </c>
      <c r="BR989" s="101">
        <f t="shared" si="174"/>
        <v>0</v>
      </c>
      <c r="BS989" s="101">
        <f t="shared" si="174"/>
        <v>0</v>
      </c>
      <c r="BT989" s="101">
        <f t="shared" si="174"/>
        <v>0</v>
      </c>
      <c r="BU989" s="101">
        <f t="shared" si="174"/>
        <v>0</v>
      </c>
      <c r="BV989" s="101">
        <f t="shared" si="174"/>
        <v>0</v>
      </c>
      <c r="BW989" s="101">
        <f t="shared" si="174"/>
        <v>0</v>
      </c>
      <c r="BX989" s="101">
        <f t="shared" si="174"/>
        <v>0</v>
      </c>
      <c r="BY989" s="101">
        <f t="shared" si="174"/>
        <v>0</v>
      </c>
      <c r="BZ989" s="101">
        <f t="shared" si="174"/>
        <v>0</v>
      </c>
      <c r="CA989" s="101">
        <f t="shared" si="174"/>
        <v>0</v>
      </c>
      <c r="CB989" s="101">
        <f t="shared" si="174"/>
        <v>0</v>
      </c>
      <c r="CC989" s="101">
        <f t="shared" si="174"/>
        <v>0</v>
      </c>
      <c r="CD989" s="101">
        <f t="shared" si="174"/>
        <v>0</v>
      </c>
      <c r="CE989" s="101">
        <f t="shared" si="174"/>
        <v>0</v>
      </c>
      <c r="CF989" s="101">
        <f t="shared" si="174"/>
        <v>0</v>
      </c>
      <c r="CG989" s="101">
        <f t="shared" si="174"/>
        <v>0</v>
      </c>
      <c r="CH989" s="101">
        <f t="shared" si="174"/>
        <v>0</v>
      </c>
      <c r="CI989" s="101">
        <f t="shared" si="174"/>
        <v>0</v>
      </c>
      <c r="CJ989" s="101">
        <f t="shared" si="174"/>
        <v>0</v>
      </c>
      <c r="CK989" s="101">
        <f t="shared" si="174"/>
        <v>0</v>
      </c>
      <c r="CL989" s="101">
        <f t="shared" si="174"/>
        <v>0</v>
      </c>
      <c r="CM989" s="101">
        <f t="shared" si="174"/>
        <v>0</v>
      </c>
      <c r="CN989" s="101">
        <f t="shared" si="174"/>
        <v>0</v>
      </c>
      <c r="CO989" s="101">
        <f t="shared" si="174"/>
        <v>0</v>
      </c>
      <c r="CP989" s="101">
        <f t="shared" si="174"/>
        <v>0</v>
      </c>
      <c r="CQ989" s="3" t="s">
        <v>300</v>
      </c>
    </row>
    <row r="990" spans="1:95" ht="14.5" x14ac:dyDescent="0.35">
      <c r="A990" s="102"/>
      <c r="B990" s="102" t="s">
        <v>69</v>
      </c>
      <c r="C990" s="102"/>
      <c r="D990" s="101">
        <f t="shared" ref="D990:AI990" si="175">Forecast_year_dementia_cost*Forecast_year_mask</f>
        <v>0</v>
      </c>
      <c r="E990" s="101">
        <f t="shared" si="175"/>
        <v>0</v>
      </c>
      <c r="F990" s="101">
        <f t="shared" si="175"/>
        <v>0</v>
      </c>
      <c r="G990" s="101">
        <f t="shared" si="175"/>
        <v>0</v>
      </c>
      <c r="H990" s="101">
        <f t="shared" si="175"/>
        <v>0</v>
      </c>
      <c r="I990" s="101">
        <f t="shared" si="175"/>
        <v>0</v>
      </c>
      <c r="J990" s="101">
        <f t="shared" si="175"/>
        <v>0</v>
      </c>
      <c r="K990" s="101">
        <f t="shared" si="175"/>
        <v>0</v>
      </c>
      <c r="L990" s="101">
        <f t="shared" si="175"/>
        <v>0</v>
      </c>
      <c r="M990" s="101">
        <f t="shared" si="175"/>
        <v>0</v>
      </c>
      <c r="N990" s="101">
        <f t="shared" si="175"/>
        <v>0</v>
      </c>
      <c r="O990" s="101">
        <f t="shared" si="175"/>
        <v>0</v>
      </c>
      <c r="P990" s="101">
        <f t="shared" si="175"/>
        <v>0</v>
      </c>
      <c r="Q990" s="101">
        <f t="shared" si="175"/>
        <v>0</v>
      </c>
      <c r="R990" s="101">
        <f t="shared" si="175"/>
        <v>0</v>
      </c>
      <c r="S990" s="101">
        <f t="shared" si="175"/>
        <v>0</v>
      </c>
      <c r="T990" s="101">
        <f t="shared" si="175"/>
        <v>0</v>
      </c>
      <c r="U990" s="101">
        <f t="shared" si="175"/>
        <v>0</v>
      </c>
      <c r="V990" s="101">
        <f t="shared" si="175"/>
        <v>0</v>
      </c>
      <c r="W990" s="101">
        <f t="shared" si="175"/>
        <v>0</v>
      </c>
      <c r="X990" s="101">
        <f t="shared" si="175"/>
        <v>0</v>
      </c>
      <c r="Y990" s="101">
        <f t="shared" si="175"/>
        <v>0</v>
      </c>
      <c r="Z990" s="101">
        <f t="shared" si="175"/>
        <v>0</v>
      </c>
      <c r="AA990" s="101">
        <f t="shared" si="175"/>
        <v>0</v>
      </c>
      <c r="AB990" s="101">
        <f t="shared" si="175"/>
        <v>0</v>
      </c>
      <c r="AC990" s="101">
        <f t="shared" si="175"/>
        <v>0</v>
      </c>
      <c r="AD990" s="101">
        <f t="shared" si="175"/>
        <v>0</v>
      </c>
      <c r="AE990" s="101">
        <f t="shared" si="175"/>
        <v>0</v>
      </c>
      <c r="AF990" s="101">
        <f t="shared" si="175"/>
        <v>0</v>
      </c>
      <c r="AG990" s="101">
        <f t="shared" si="175"/>
        <v>0</v>
      </c>
      <c r="AH990" s="101">
        <f t="shared" si="175"/>
        <v>0</v>
      </c>
      <c r="AI990" s="101">
        <f t="shared" si="175"/>
        <v>0</v>
      </c>
      <c r="AJ990" s="101">
        <f t="shared" ref="AJ990:BO990" si="176">Forecast_year_dementia_cost*Forecast_year_mask</f>
        <v>0</v>
      </c>
      <c r="AK990" s="101">
        <f t="shared" si="176"/>
        <v>0</v>
      </c>
      <c r="AL990" s="101">
        <f t="shared" si="176"/>
        <v>0</v>
      </c>
      <c r="AM990" s="101">
        <f t="shared" si="176"/>
        <v>0</v>
      </c>
      <c r="AN990" s="101">
        <f t="shared" si="176"/>
        <v>0</v>
      </c>
      <c r="AO990" s="101">
        <f t="shared" si="176"/>
        <v>0</v>
      </c>
      <c r="AP990" s="101">
        <f t="shared" si="176"/>
        <v>0</v>
      </c>
      <c r="AQ990" s="101">
        <f t="shared" si="176"/>
        <v>0</v>
      </c>
      <c r="AR990" s="101">
        <f t="shared" si="176"/>
        <v>0</v>
      </c>
      <c r="AS990" s="101">
        <f t="shared" si="176"/>
        <v>0</v>
      </c>
      <c r="AT990" s="101">
        <f t="shared" si="176"/>
        <v>0</v>
      </c>
      <c r="AU990" s="101">
        <f t="shared" si="176"/>
        <v>0</v>
      </c>
      <c r="AV990" s="101">
        <f t="shared" si="176"/>
        <v>0</v>
      </c>
      <c r="AW990" s="101">
        <f t="shared" si="176"/>
        <v>0</v>
      </c>
      <c r="AX990" s="101">
        <f t="shared" si="176"/>
        <v>0</v>
      </c>
      <c r="AY990" s="101">
        <f t="shared" si="176"/>
        <v>0</v>
      </c>
      <c r="AZ990" s="101">
        <f t="shared" si="176"/>
        <v>0</v>
      </c>
      <c r="BA990" s="101">
        <f t="shared" si="176"/>
        <v>0</v>
      </c>
      <c r="BB990" s="101">
        <f t="shared" si="176"/>
        <v>0</v>
      </c>
      <c r="BC990" s="101">
        <f t="shared" si="176"/>
        <v>0</v>
      </c>
      <c r="BD990" s="101">
        <f t="shared" si="176"/>
        <v>0</v>
      </c>
      <c r="BE990" s="101">
        <f t="shared" si="176"/>
        <v>0</v>
      </c>
      <c r="BF990" s="101">
        <f t="shared" si="176"/>
        <v>0</v>
      </c>
      <c r="BG990" s="101">
        <f t="shared" si="176"/>
        <v>0</v>
      </c>
      <c r="BH990" s="101">
        <f t="shared" si="176"/>
        <v>0</v>
      </c>
      <c r="BI990" s="101">
        <f t="shared" si="176"/>
        <v>0</v>
      </c>
      <c r="BJ990" s="101">
        <f t="shared" si="176"/>
        <v>0</v>
      </c>
      <c r="BK990" s="101">
        <f t="shared" si="176"/>
        <v>0</v>
      </c>
      <c r="BL990" s="101">
        <f t="shared" si="176"/>
        <v>0</v>
      </c>
      <c r="BM990" s="101">
        <f t="shared" si="176"/>
        <v>0</v>
      </c>
      <c r="BN990" s="101">
        <f t="shared" si="176"/>
        <v>0</v>
      </c>
      <c r="BO990" s="101">
        <f t="shared" si="176"/>
        <v>0</v>
      </c>
      <c r="BP990" s="101">
        <f t="shared" ref="BP990:CP990" si="177">Forecast_year_dementia_cost*Forecast_year_mask</f>
        <v>0</v>
      </c>
      <c r="BQ990" s="101">
        <f t="shared" si="177"/>
        <v>0</v>
      </c>
      <c r="BR990" s="101">
        <f t="shared" si="177"/>
        <v>0</v>
      </c>
      <c r="BS990" s="101">
        <f t="shared" si="177"/>
        <v>0</v>
      </c>
      <c r="BT990" s="101">
        <f t="shared" si="177"/>
        <v>0</v>
      </c>
      <c r="BU990" s="101">
        <f t="shared" si="177"/>
        <v>0</v>
      </c>
      <c r="BV990" s="101">
        <f t="shared" si="177"/>
        <v>0</v>
      </c>
      <c r="BW990" s="101">
        <f t="shared" si="177"/>
        <v>0</v>
      </c>
      <c r="BX990" s="101">
        <f t="shared" si="177"/>
        <v>0</v>
      </c>
      <c r="BY990" s="101">
        <f t="shared" si="177"/>
        <v>0</v>
      </c>
      <c r="BZ990" s="101">
        <f t="shared" si="177"/>
        <v>0</v>
      </c>
      <c r="CA990" s="101">
        <f t="shared" si="177"/>
        <v>0</v>
      </c>
      <c r="CB990" s="101">
        <f t="shared" si="177"/>
        <v>0</v>
      </c>
      <c r="CC990" s="101">
        <f t="shared" si="177"/>
        <v>0</v>
      </c>
      <c r="CD990" s="101">
        <f t="shared" si="177"/>
        <v>0</v>
      </c>
      <c r="CE990" s="101">
        <f t="shared" si="177"/>
        <v>0</v>
      </c>
      <c r="CF990" s="101">
        <f t="shared" si="177"/>
        <v>0</v>
      </c>
      <c r="CG990" s="101">
        <f t="shared" si="177"/>
        <v>0</v>
      </c>
      <c r="CH990" s="101">
        <f t="shared" si="177"/>
        <v>0</v>
      </c>
      <c r="CI990" s="101">
        <f t="shared" si="177"/>
        <v>0</v>
      </c>
      <c r="CJ990" s="101">
        <f t="shared" si="177"/>
        <v>0</v>
      </c>
      <c r="CK990" s="101">
        <f t="shared" si="177"/>
        <v>0</v>
      </c>
      <c r="CL990" s="101">
        <f t="shared" si="177"/>
        <v>0</v>
      </c>
      <c r="CM990" s="101">
        <f t="shared" si="177"/>
        <v>0</v>
      </c>
      <c r="CN990" s="101">
        <f t="shared" si="177"/>
        <v>0</v>
      </c>
      <c r="CO990" s="101">
        <f t="shared" si="177"/>
        <v>0</v>
      </c>
      <c r="CP990" s="101">
        <f t="shared" si="177"/>
        <v>0</v>
      </c>
      <c r="CQ990" s="3" t="s">
        <v>301</v>
      </c>
    </row>
    <row r="991" spans="1:95" ht="14.5" x14ac:dyDescent="0.35">
      <c r="A991" s="102"/>
      <c r="B991" s="102" t="s">
        <v>268</v>
      </c>
      <c r="C991" s="102"/>
      <c r="D991" s="101">
        <f t="shared" ref="D991:AI991" si="178">(Opening_year_dementia_cost+(Difference_dementia_cost)*(year-Opening_year)/(Forecast_and_opening_year_difference))*Interpolation_mask</f>
        <v>0</v>
      </c>
      <c r="E991" s="101">
        <f t="shared" si="178"/>
        <v>0</v>
      </c>
      <c r="F991" s="101">
        <f t="shared" si="178"/>
        <v>0</v>
      </c>
      <c r="G991" s="101">
        <f t="shared" si="178"/>
        <v>0</v>
      </c>
      <c r="H991" s="101">
        <f t="shared" si="178"/>
        <v>0</v>
      </c>
      <c r="I991" s="101">
        <f t="shared" si="178"/>
        <v>0</v>
      </c>
      <c r="J991" s="101">
        <f t="shared" si="178"/>
        <v>0</v>
      </c>
      <c r="K991" s="101">
        <f t="shared" si="178"/>
        <v>0</v>
      </c>
      <c r="L991" s="101">
        <f t="shared" si="178"/>
        <v>0</v>
      </c>
      <c r="M991" s="101">
        <f t="shared" si="178"/>
        <v>0</v>
      </c>
      <c r="N991" s="101">
        <f t="shared" si="178"/>
        <v>0</v>
      </c>
      <c r="O991" s="101">
        <f t="shared" si="178"/>
        <v>0</v>
      </c>
      <c r="P991" s="101">
        <f t="shared" si="178"/>
        <v>0</v>
      </c>
      <c r="Q991" s="101">
        <f t="shared" si="178"/>
        <v>0</v>
      </c>
      <c r="R991" s="101">
        <f t="shared" si="178"/>
        <v>0</v>
      </c>
      <c r="S991" s="101">
        <f t="shared" si="178"/>
        <v>0</v>
      </c>
      <c r="T991" s="101">
        <f t="shared" si="178"/>
        <v>0</v>
      </c>
      <c r="U991" s="101">
        <f t="shared" si="178"/>
        <v>0</v>
      </c>
      <c r="V991" s="101">
        <f t="shared" si="178"/>
        <v>0</v>
      </c>
      <c r="W991" s="101">
        <f t="shared" si="178"/>
        <v>0</v>
      </c>
      <c r="X991" s="101">
        <f t="shared" si="178"/>
        <v>0</v>
      </c>
      <c r="Y991" s="101">
        <f t="shared" si="178"/>
        <v>0</v>
      </c>
      <c r="Z991" s="101">
        <f t="shared" si="178"/>
        <v>0</v>
      </c>
      <c r="AA991" s="101">
        <f t="shared" si="178"/>
        <v>0</v>
      </c>
      <c r="AB991" s="101">
        <f t="shared" si="178"/>
        <v>0</v>
      </c>
      <c r="AC991" s="101">
        <f t="shared" si="178"/>
        <v>0</v>
      </c>
      <c r="AD991" s="101">
        <f t="shared" si="178"/>
        <v>0</v>
      </c>
      <c r="AE991" s="101">
        <f t="shared" si="178"/>
        <v>0</v>
      </c>
      <c r="AF991" s="101">
        <f t="shared" si="178"/>
        <v>0</v>
      </c>
      <c r="AG991" s="101">
        <f t="shared" si="178"/>
        <v>0</v>
      </c>
      <c r="AH991" s="101">
        <f t="shared" si="178"/>
        <v>0</v>
      </c>
      <c r="AI991" s="101">
        <f t="shared" si="178"/>
        <v>0</v>
      </c>
      <c r="AJ991" s="101">
        <f t="shared" ref="AJ991:BO991" si="179">(Opening_year_dementia_cost+(Difference_dementia_cost)*(year-Opening_year)/(Forecast_and_opening_year_difference))*Interpolation_mask</f>
        <v>0</v>
      </c>
      <c r="AK991" s="101">
        <f t="shared" si="179"/>
        <v>0</v>
      </c>
      <c r="AL991" s="101">
        <f t="shared" si="179"/>
        <v>0</v>
      </c>
      <c r="AM991" s="101">
        <f t="shared" si="179"/>
        <v>0</v>
      </c>
      <c r="AN991" s="101">
        <f t="shared" si="179"/>
        <v>0</v>
      </c>
      <c r="AO991" s="101">
        <f t="shared" si="179"/>
        <v>0</v>
      </c>
      <c r="AP991" s="101">
        <f t="shared" si="179"/>
        <v>0</v>
      </c>
      <c r="AQ991" s="101">
        <f t="shared" si="179"/>
        <v>0</v>
      </c>
      <c r="AR991" s="101">
        <f t="shared" si="179"/>
        <v>0</v>
      </c>
      <c r="AS991" s="101">
        <f t="shared" si="179"/>
        <v>0</v>
      </c>
      <c r="AT991" s="101">
        <f t="shared" si="179"/>
        <v>0</v>
      </c>
      <c r="AU991" s="101">
        <f t="shared" si="179"/>
        <v>0</v>
      </c>
      <c r="AV991" s="101">
        <f t="shared" si="179"/>
        <v>0</v>
      </c>
      <c r="AW991" s="101">
        <f t="shared" si="179"/>
        <v>0</v>
      </c>
      <c r="AX991" s="101">
        <f t="shared" si="179"/>
        <v>0</v>
      </c>
      <c r="AY991" s="101">
        <f t="shared" si="179"/>
        <v>0</v>
      </c>
      <c r="AZ991" s="101">
        <f t="shared" si="179"/>
        <v>0</v>
      </c>
      <c r="BA991" s="101">
        <f t="shared" si="179"/>
        <v>0</v>
      </c>
      <c r="BB991" s="101">
        <f t="shared" si="179"/>
        <v>0</v>
      </c>
      <c r="BC991" s="101">
        <f t="shared" si="179"/>
        <v>0</v>
      </c>
      <c r="BD991" s="101">
        <f t="shared" si="179"/>
        <v>0</v>
      </c>
      <c r="BE991" s="101">
        <f t="shared" si="179"/>
        <v>0</v>
      </c>
      <c r="BF991" s="101">
        <f t="shared" si="179"/>
        <v>0</v>
      </c>
      <c r="BG991" s="101">
        <f t="shared" si="179"/>
        <v>0</v>
      </c>
      <c r="BH991" s="101">
        <f t="shared" si="179"/>
        <v>0</v>
      </c>
      <c r="BI991" s="101">
        <f t="shared" si="179"/>
        <v>0</v>
      </c>
      <c r="BJ991" s="101">
        <f t="shared" si="179"/>
        <v>0</v>
      </c>
      <c r="BK991" s="101">
        <f t="shared" si="179"/>
        <v>0</v>
      </c>
      <c r="BL991" s="101">
        <f t="shared" si="179"/>
        <v>0</v>
      </c>
      <c r="BM991" s="101">
        <f t="shared" si="179"/>
        <v>0</v>
      </c>
      <c r="BN991" s="101">
        <f t="shared" si="179"/>
        <v>0</v>
      </c>
      <c r="BO991" s="101">
        <f t="shared" si="179"/>
        <v>0</v>
      </c>
      <c r="BP991" s="101">
        <f t="shared" ref="BP991:CP991" si="180">(Opening_year_dementia_cost+(Difference_dementia_cost)*(year-Opening_year)/(Forecast_and_opening_year_difference))*Interpolation_mask</f>
        <v>0</v>
      </c>
      <c r="BQ991" s="101">
        <f t="shared" si="180"/>
        <v>0</v>
      </c>
      <c r="BR991" s="101">
        <f t="shared" si="180"/>
        <v>0</v>
      </c>
      <c r="BS991" s="101">
        <f t="shared" si="180"/>
        <v>0</v>
      </c>
      <c r="BT991" s="101">
        <f t="shared" si="180"/>
        <v>0</v>
      </c>
      <c r="BU991" s="101">
        <f t="shared" si="180"/>
        <v>0</v>
      </c>
      <c r="BV991" s="101">
        <f t="shared" si="180"/>
        <v>0</v>
      </c>
      <c r="BW991" s="101">
        <f t="shared" si="180"/>
        <v>0</v>
      </c>
      <c r="BX991" s="101">
        <f t="shared" si="180"/>
        <v>0</v>
      </c>
      <c r="BY991" s="101">
        <f t="shared" si="180"/>
        <v>0</v>
      </c>
      <c r="BZ991" s="101">
        <f t="shared" si="180"/>
        <v>0</v>
      </c>
      <c r="CA991" s="101">
        <f t="shared" si="180"/>
        <v>0</v>
      </c>
      <c r="CB991" s="101">
        <f t="shared" si="180"/>
        <v>0</v>
      </c>
      <c r="CC991" s="101">
        <f t="shared" si="180"/>
        <v>0</v>
      </c>
      <c r="CD991" s="101">
        <f t="shared" si="180"/>
        <v>0</v>
      </c>
      <c r="CE991" s="101">
        <f t="shared" si="180"/>
        <v>0</v>
      </c>
      <c r="CF991" s="101">
        <f t="shared" si="180"/>
        <v>0</v>
      </c>
      <c r="CG991" s="101">
        <f t="shared" si="180"/>
        <v>0</v>
      </c>
      <c r="CH991" s="101">
        <f t="shared" si="180"/>
        <v>0</v>
      </c>
      <c r="CI991" s="101">
        <f t="shared" si="180"/>
        <v>0</v>
      </c>
      <c r="CJ991" s="101">
        <f t="shared" si="180"/>
        <v>0</v>
      </c>
      <c r="CK991" s="101">
        <f t="shared" si="180"/>
        <v>0</v>
      </c>
      <c r="CL991" s="101">
        <f t="shared" si="180"/>
        <v>0</v>
      </c>
      <c r="CM991" s="101">
        <f t="shared" si="180"/>
        <v>0</v>
      </c>
      <c r="CN991" s="101">
        <f t="shared" si="180"/>
        <v>0</v>
      </c>
      <c r="CO991" s="101">
        <f t="shared" si="180"/>
        <v>0</v>
      </c>
      <c r="CP991" s="101">
        <f t="shared" si="180"/>
        <v>0</v>
      </c>
      <c r="CQ991" s="3" t="s">
        <v>302</v>
      </c>
    </row>
    <row r="992" spans="1:95" ht="14.5" x14ac:dyDescent="0.35">
      <c r="A992" s="102"/>
      <c r="B992" s="102" t="s">
        <v>270</v>
      </c>
      <c r="C992" s="102"/>
      <c r="D992" s="101">
        <f t="shared" ref="D992:AI992" si="181">Forecast_year_dementia_cost*Extrapolation_mask</f>
        <v>0</v>
      </c>
      <c r="E992" s="101">
        <f t="shared" si="181"/>
        <v>0</v>
      </c>
      <c r="F992" s="101">
        <f t="shared" si="181"/>
        <v>0</v>
      </c>
      <c r="G992" s="101">
        <f t="shared" si="181"/>
        <v>0</v>
      </c>
      <c r="H992" s="101">
        <f t="shared" si="181"/>
        <v>0</v>
      </c>
      <c r="I992" s="101">
        <f t="shared" si="181"/>
        <v>0</v>
      </c>
      <c r="J992" s="101">
        <f t="shared" si="181"/>
        <v>0</v>
      </c>
      <c r="K992" s="101">
        <f t="shared" si="181"/>
        <v>0</v>
      </c>
      <c r="L992" s="101">
        <f t="shared" si="181"/>
        <v>0</v>
      </c>
      <c r="M992" s="101">
        <f t="shared" si="181"/>
        <v>0</v>
      </c>
      <c r="N992" s="101">
        <f t="shared" si="181"/>
        <v>0</v>
      </c>
      <c r="O992" s="101">
        <f t="shared" si="181"/>
        <v>0</v>
      </c>
      <c r="P992" s="101">
        <f t="shared" si="181"/>
        <v>0</v>
      </c>
      <c r="Q992" s="101">
        <f t="shared" si="181"/>
        <v>0</v>
      </c>
      <c r="R992" s="101">
        <f t="shared" si="181"/>
        <v>0</v>
      </c>
      <c r="S992" s="101">
        <f t="shared" si="181"/>
        <v>0</v>
      </c>
      <c r="T992" s="101">
        <f t="shared" si="181"/>
        <v>0</v>
      </c>
      <c r="U992" s="101">
        <f t="shared" si="181"/>
        <v>0</v>
      </c>
      <c r="V992" s="101">
        <f t="shared" si="181"/>
        <v>0</v>
      </c>
      <c r="W992" s="101">
        <f t="shared" si="181"/>
        <v>0</v>
      </c>
      <c r="X992" s="101">
        <f t="shared" si="181"/>
        <v>0</v>
      </c>
      <c r="Y992" s="101">
        <f t="shared" si="181"/>
        <v>0</v>
      </c>
      <c r="Z992" s="101">
        <f t="shared" si="181"/>
        <v>0</v>
      </c>
      <c r="AA992" s="101">
        <f t="shared" si="181"/>
        <v>0</v>
      </c>
      <c r="AB992" s="101">
        <f t="shared" si="181"/>
        <v>0</v>
      </c>
      <c r="AC992" s="101">
        <f t="shared" si="181"/>
        <v>0</v>
      </c>
      <c r="AD992" s="101">
        <f t="shared" si="181"/>
        <v>0</v>
      </c>
      <c r="AE992" s="101">
        <f t="shared" si="181"/>
        <v>0</v>
      </c>
      <c r="AF992" s="101">
        <f t="shared" si="181"/>
        <v>0</v>
      </c>
      <c r="AG992" s="101">
        <f t="shared" si="181"/>
        <v>0</v>
      </c>
      <c r="AH992" s="101">
        <f t="shared" si="181"/>
        <v>0</v>
      </c>
      <c r="AI992" s="101">
        <f t="shared" si="181"/>
        <v>0</v>
      </c>
      <c r="AJ992" s="101">
        <f t="shared" ref="AJ992:BO992" si="182">Forecast_year_dementia_cost*Extrapolation_mask</f>
        <v>0</v>
      </c>
      <c r="AK992" s="101">
        <f t="shared" si="182"/>
        <v>0</v>
      </c>
      <c r="AL992" s="101">
        <f t="shared" si="182"/>
        <v>0</v>
      </c>
      <c r="AM992" s="101">
        <f t="shared" si="182"/>
        <v>0</v>
      </c>
      <c r="AN992" s="101">
        <f t="shared" si="182"/>
        <v>0</v>
      </c>
      <c r="AO992" s="101">
        <f t="shared" si="182"/>
        <v>0</v>
      </c>
      <c r="AP992" s="101">
        <f t="shared" si="182"/>
        <v>0</v>
      </c>
      <c r="AQ992" s="101">
        <f t="shared" si="182"/>
        <v>0</v>
      </c>
      <c r="AR992" s="101">
        <f t="shared" si="182"/>
        <v>0</v>
      </c>
      <c r="AS992" s="101">
        <f t="shared" si="182"/>
        <v>0</v>
      </c>
      <c r="AT992" s="101">
        <f t="shared" si="182"/>
        <v>0</v>
      </c>
      <c r="AU992" s="101">
        <f t="shared" si="182"/>
        <v>0</v>
      </c>
      <c r="AV992" s="101">
        <f t="shared" si="182"/>
        <v>0</v>
      </c>
      <c r="AW992" s="101">
        <f t="shared" si="182"/>
        <v>0</v>
      </c>
      <c r="AX992" s="101">
        <f t="shared" si="182"/>
        <v>0</v>
      </c>
      <c r="AY992" s="101">
        <f t="shared" si="182"/>
        <v>0</v>
      </c>
      <c r="AZ992" s="101">
        <f t="shared" si="182"/>
        <v>0</v>
      </c>
      <c r="BA992" s="101">
        <f t="shared" si="182"/>
        <v>0</v>
      </c>
      <c r="BB992" s="101">
        <f t="shared" si="182"/>
        <v>0</v>
      </c>
      <c r="BC992" s="101">
        <f t="shared" si="182"/>
        <v>0</v>
      </c>
      <c r="BD992" s="101">
        <f t="shared" si="182"/>
        <v>0</v>
      </c>
      <c r="BE992" s="101">
        <f t="shared" si="182"/>
        <v>0</v>
      </c>
      <c r="BF992" s="101">
        <f t="shared" si="182"/>
        <v>0</v>
      </c>
      <c r="BG992" s="101">
        <f t="shared" si="182"/>
        <v>0</v>
      </c>
      <c r="BH992" s="101">
        <f t="shared" si="182"/>
        <v>0</v>
      </c>
      <c r="BI992" s="101">
        <f t="shared" si="182"/>
        <v>0</v>
      </c>
      <c r="BJ992" s="101">
        <f t="shared" si="182"/>
        <v>0</v>
      </c>
      <c r="BK992" s="101">
        <f t="shared" si="182"/>
        <v>0</v>
      </c>
      <c r="BL992" s="101">
        <f t="shared" si="182"/>
        <v>0</v>
      </c>
      <c r="BM992" s="101">
        <f t="shared" si="182"/>
        <v>0</v>
      </c>
      <c r="BN992" s="101">
        <f t="shared" si="182"/>
        <v>0</v>
      </c>
      <c r="BO992" s="101">
        <f t="shared" si="182"/>
        <v>0</v>
      </c>
      <c r="BP992" s="101">
        <f t="shared" ref="BP992:CP992" si="183">Forecast_year_dementia_cost*Extrapolation_mask</f>
        <v>0</v>
      </c>
      <c r="BQ992" s="101">
        <f t="shared" si="183"/>
        <v>0</v>
      </c>
      <c r="BR992" s="101">
        <f t="shared" si="183"/>
        <v>0</v>
      </c>
      <c r="BS992" s="101">
        <f t="shared" si="183"/>
        <v>0</v>
      </c>
      <c r="BT992" s="101">
        <f t="shared" si="183"/>
        <v>0</v>
      </c>
      <c r="BU992" s="101">
        <f t="shared" si="183"/>
        <v>0</v>
      </c>
      <c r="BV992" s="101">
        <f t="shared" si="183"/>
        <v>0</v>
      </c>
      <c r="BW992" s="101">
        <f t="shared" si="183"/>
        <v>0</v>
      </c>
      <c r="BX992" s="101">
        <f t="shared" si="183"/>
        <v>0</v>
      </c>
      <c r="BY992" s="101">
        <f t="shared" si="183"/>
        <v>0</v>
      </c>
      <c r="BZ992" s="101">
        <f t="shared" si="183"/>
        <v>0</v>
      </c>
      <c r="CA992" s="101">
        <f t="shared" si="183"/>
        <v>0</v>
      </c>
      <c r="CB992" s="101">
        <f t="shared" si="183"/>
        <v>0</v>
      </c>
      <c r="CC992" s="101">
        <f t="shared" si="183"/>
        <v>0</v>
      </c>
      <c r="CD992" s="101">
        <f t="shared" si="183"/>
        <v>0</v>
      </c>
      <c r="CE992" s="101">
        <f t="shared" si="183"/>
        <v>0</v>
      </c>
      <c r="CF992" s="101">
        <f t="shared" si="183"/>
        <v>0</v>
      </c>
      <c r="CG992" s="101">
        <f t="shared" si="183"/>
        <v>0</v>
      </c>
      <c r="CH992" s="101">
        <f t="shared" si="183"/>
        <v>0</v>
      </c>
      <c r="CI992" s="101">
        <f t="shared" si="183"/>
        <v>0</v>
      </c>
      <c r="CJ992" s="101">
        <f t="shared" si="183"/>
        <v>0</v>
      </c>
      <c r="CK992" s="101">
        <f t="shared" si="183"/>
        <v>0</v>
      </c>
      <c r="CL992" s="101">
        <f t="shared" si="183"/>
        <v>0</v>
      </c>
      <c r="CM992" s="101">
        <f t="shared" si="183"/>
        <v>0</v>
      </c>
      <c r="CN992" s="101">
        <f t="shared" si="183"/>
        <v>0</v>
      </c>
      <c r="CO992" s="101">
        <f t="shared" si="183"/>
        <v>0</v>
      </c>
      <c r="CP992" s="101">
        <f t="shared" si="183"/>
        <v>0</v>
      </c>
      <c r="CQ992" s="3" t="s">
        <v>303</v>
      </c>
    </row>
    <row r="993" spans="1:95" ht="14.5" x14ac:dyDescent="0.35">
      <c r="A993" s="102"/>
      <c r="B993" s="102" t="s">
        <v>279</v>
      </c>
      <c r="C993" s="102"/>
      <c r="D993" s="101">
        <f t="shared" ref="D993:AI993" si="184">Opening_year_dementia_cost_mask+Forecast_year_dementia_cost_mask+Interpolation_dementia_cost_mask+Extrapolation_dementia_cost_mask</f>
        <v>0</v>
      </c>
      <c r="E993" s="101">
        <f t="shared" si="184"/>
        <v>0</v>
      </c>
      <c r="F993" s="101">
        <f t="shared" si="184"/>
        <v>0</v>
      </c>
      <c r="G993" s="101">
        <f t="shared" si="184"/>
        <v>0</v>
      </c>
      <c r="H993" s="101">
        <f t="shared" si="184"/>
        <v>0</v>
      </c>
      <c r="I993" s="101">
        <f t="shared" si="184"/>
        <v>0</v>
      </c>
      <c r="J993" s="101">
        <f t="shared" si="184"/>
        <v>0</v>
      </c>
      <c r="K993" s="101">
        <f t="shared" si="184"/>
        <v>0</v>
      </c>
      <c r="L993" s="101">
        <f t="shared" si="184"/>
        <v>0</v>
      </c>
      <c r="M993" s="101">
        <f t="shared" si="184"/>
        <v>0</v>
      </c>
      <c r="N993" s="101">
        <f t="shared" si="184"/>
        <v>0</v>
      </c>
      <c r="O993" s="101">
        <f t="shared" si="184"/>
        <v>0</v>
      </c>
      <c r="P993" s="101">
        <f t="shared" si="184"/>
        <v>0</v>
      </c>
      <c r="Q993" s="101">
        <f t="shared" si="184"/>
        <v>0</v>
      </c>
      <c r="R993" s="101">
        <f t="shared" si="184"/>
        <v>0</v>
      </c>
      <c r="S993" s="101">
        <f t="shared" si="184"/>
        <v>0</v>
      </c>
      <c r="T993" s="101">
        <f t="shared" si="184"/>
        <v>0</v>
      </c>
      <c r="U993" s="101">
        <f t="shared" si="184"/>
        <v>0</v>
      </c>
      <c r="V993" s="101">
        <f t="shared" si="184"/>
        <v>0</v>
      </c>
      <c r="W993" s="101">
        <f t="shared" si="184"/>
        <v>0</v>
      </c>
      <c r="X993" s="101">
        <f t="shared" si="184"/>
        <v>0</v>
      </c>
      <c r="Y993" s="101">
        <f t="shared" si="184"/>
        <v>0</v>
      </c>
      <c r="Z993" s="101">
        <f t="shared" si="184"/>
        <v>0</v>
      </c>
      <c r="AA993" s="101">
        <f t="shared" si="184"/>
        <v>0</v>
      </c>
      <c r="AB993" s="101">
        <f t="shared" si="184"/>
        <v>0</v>
      </c>
      <c r="AC993" s="101">
        <f t="shared" si="184"/>
        <v>0</v>
      </c>
      <c r="AD993" s="101">
        <f t="shared" si="184"/>
        <v>0</v>
      </c>
      <c r="AE993" s="101">
        <f t="shared" si="184"/>
        <v>0</v>
      </c>
      <c r="AF993" s="101">
        <f t="shared" si="184"/>
        <v>0</v>
      </c>
      <c r="AG993" s="101">
        <f t="shared" si="184"/>
        <v>0</v>
      </c>
      <c r="AH993" s="101">
        <f t="shared" si="184"/>
        <v>0</v>
      </c>
      <c r="AI993" s="101">
        <f t="shared" si="184"/>
        <v>0</v>
      </c>
      <c r="AJ993" s="101">
        <f t="shared" ref="AJ993:BO993" si="185">Opening_year_dementia_cost_mask+Forecast_year_dementia_cost_mask+Interpolation_dementia_cost_mask+Extrapolation_dementia_cost_mask</f>
        <v>0</v>
      </c>
      <c r="AK993" s="101">
        <f t="shared" si="185"/>
        <v>0</v>
      </c>
      <c r="AL993" s="101">
        <f t="shared" si="185"/>
        <v>0</v>
      </c>
      <c r="AM993" s="101">
        <f t="shared" si="185"/>
        <v>0</v>
      </c>
      <c r="AN993" s="101">
        <f t="shared" si="185"/>
        <v>0</v>
      </c>
      <c r="AO993" s="101">
        <f t="shared" si="185"/>
        <v>0</v>
      </c>
      <c r="AP993" s="101">
        <f t="shared" si="185"/>
        <v>0</v>
      </c>
      <c r="AQ993" s="101">
        <f t="shared" si="185"/>
        <v>0</v>
      </c>
      <c r="AR993" s="101">
        <f t="shared" si="185"/>
        <v>0</v>
      </c>
      <c r="AS993" s="101">
        <f t="shared" si="185"/>
        <v>0</v>
      </c>
      <c r="AT993" s="101">
        <f t="shared" si="185"/>
        <v>0</v>
      </c>
      <c r="AU993" s="101">
        <f t="shared" si="185"/>
        <v>0</v>
      </c>
      <c r="AV993" s="101">
        <f t="shared" si="185"/>
        <v>0</v>
      </c>
      <c r="AW993" s="101">
        <f t="shared" si="185"/>
        <v>0</v>
      </c>
      <c r="AX993" s="101">
        <f t="shared" si="185"/>
        <v>0</v>
      </c>
      <c r="AY993" s="101">
        <f t="shared" si="185"/>
        <v>0</v>
      </c>
      <c r="AZ993" s="101">
        <f t="shared" si="185"/>
        <v>0</v>
      </c>
      <c r="BA993" s="101">
        <f t="shared" si="185"/>
        <v>0</v>
      </c>
      <c r="BB993" s="101">
        <f t="shared" si="185"/>
        <v>0</v>
      </c>
      <c r="BC993" s="101">
        <f t="shared" si="185"/>
        <v>0</v>
      </c>
      <c r="BD993" s="101">
        <f t="shared" si="185"/>
        <v>0</v>
      </c>
      <c r="BE993" s="101">
        <f t="shared" si="185"/>
        <v>0</v>
      </c>
      <c r="BF993" s="101">
        <f t="shared" si="185"/>
        <v>0</v>
      </c>
      <c r="BG993" s="101">
        <f t="shared" si="185"/>
        <v>0</v>
      </c>
      <c r="BH993" s="101">
        <f t="shared" si="185"/>
        <v>0</v>
      </c>
      <c r="BI993" s="101">
        <f t="shared" si="185"/>
        <v>0</v>
      </c>
      <c r="BJ993" s="101">
        <f t="shared" si="185"/>
        <v>0</v>
      </c>
      <c r="BK993" s="101">
        <f t="shared" si="185"/>
        <v>0</v>
      </c>
      <c r="BL993" s="101">
        <f t="shared" si="185"/>
        <v>0</v>
      </c>
      <c r="BM993" s="101">
        <f t="shared" si="185"/>
        <v>0</v>
      </c>
      <c r="BN993" s="101">
        <f t="shared" si="185"/>
        <v>0</v>
      </c>
      <c r="BO993" s="101">
        <f t="shared" si="185"/>
        <v>0</v>
      </c>
      <c r="BP993" s="101">
        <f t="shared" ref="BP993:CP993" si="186">Opening_year_dementia_cost_mask+Forecast_year_dementia_cost_mask+Interpolation_dementia_cost_mask+Extrapolation_dementia_cost_mask</f>
        <v>0</v>
      </c>
      <c r="BQ993" s="101">
        <f t="shared" si="186"/>
        <v>0</v>
      </c>
      <c r="BR993" s="101">
        <f t="shared" si="186"/>
        <v>0</v>
      </c>
      <c r="BS993" s="101">
        <f t="shared" si="186"/>
        <v>0</v>
      </c>
      <c r="BT993" s="101">
        <f t="shared" si="186"/>
        <v>0</v>
      </c>
      <c r="BU993" s="101">
        <f t="shared" si="186"/>
        <v>0</v>
      </c>
      <c r="BV993" s="101">
        <f t="shared" si="186"/>
        <v>0</v>
      </c>
      <c r="BW993" s="101">
        <f t="shared" si="186"/>
        <v>0</v>
      </c>
      <c r="BX993" s="101">
        <f t="shared" si="186"/>
        <v>0</v>
      </c>
      <c r="BY993" s="101">
        <f t="shared" si="186"/>
        <v>0</v>
      </c>
      <c r="BZ993" s="101">
        <f t="shared" si="186"/>
        <v>0</v>
      </c>
      <c r="CA993" s="101">
        <f t="shared" si="186"/>
        <v>0</v>
      </c>
      <c r="CB993" s="101">
        <f t="shared" si="186"/>
        <v>0</v>
      </c>
      <c r="CC993" s="101">
        <f t="shared" si="186"/>
        <v>0</v>
      </c>
      <c r="CD993" s="101">
        <f t="shared" si="186"/>
        <v>0</v>
      </c>
      <c r="CE993" s="101">
        <f t="shared" si="186"/>
        <v>0</v>
      </c>
      <c r="CF993" s="101">
        <f t="shared" si="186"/>
        <v>0</v>
      </c>
      <c r="CG993" s="101">
        <f t="shared" si="186"/>
        <v>0</v>
      </c>
      <c r="CH993" s="101">
        <f t="shared" si="186"/>
        <v>0</v>
      </c>
      <c r="CI993" s="101">
        <f t="shared" si="186"/>
        <v>0</v>
      </c>
      <c r="CJ993" s="101">
        <f t="shared" si="186"/>
        <v>0</v>
      </c>
      <c r="CK993" s="101">
        <f t="shared" si="186"/>
        <v>0</v>
      </c>
      <c r="CL993" s="101">
        <f t="shared" si="186"/>
        <v>0</v>
      </c>
      <c r="CM993" s="101">
        <f t="shared" si="186"/>
        <v>0</v>
      </c>
      <c r="CN993" s="101">
        <f t="shared" si="186"/>
        <v>0</v>
      </c>
      <c r="CO993" s="101">
        <f t="shared" si="186"/>
        <v>0</v>
      </c>
      <c r="CP993" s="101">
        <f t="shared" si="186"/>
        <v>0</v>
      </c>
      <c r="CQ993" s="3" t="s">
        <v>304</v>
      </c>
    </row>
    <row r="994" spans="1:95" ht="14.5" x14ac:dyDescent="0.35">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5" x14ac:dyDescent="0.35">
      <c r="B995" s="5" t="s">
        <v>305</v>
      </c>
    </row>
    <row r="996" spans="1:95" ht="14.5" x14ac:dyDescent="0.3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5" x14ac:dyDescent="0.3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5" x14ac:dyDescent="0.35">
      <c r="A998" s="102"/>
      <c r="B998" s="102" t="s">
        <v>306</v>
      </c>
      <c r="C998" s="102"/>
      <c r="D998" s="120">
        <f t="shared" ref="D998:BO998" si="187">GDP_deflator_in</f>
        <v>72.125210139005858</v>
      </c>
      <c r="E998" s="120">
        <f t="shared" si="187"/>
        <v>73.710065801155281</v>
      </c>
      <c r="F998" s="120">
        <f t="shared" si="187"/>
        <v>74.846244183861117</v>
      </c>
      <c r="G998" s="120">
        <f t="shared" si="187"/>
        <v>76.423935131295991</v>
      </c>
      <c r="H998" s="120">
        <f t="shared" si="187"/>
        <v>77.431667831365459</v>
      </c>
      <c r="I998" s="120">
        <f t="shared" si="187"/>
        <v>77.943269996563018</v>
      </c>
      <c r="J998" s="120">
        <f t="shared" si="187"/>
        <v>79.471638632557088</v>
      </c>
      <c r="K998" s="120">
        <f t="shared" si="187"/>
        <v>80.947362190865917</v>
      </c>
      <c r="L998" s="120">
        <f t="shared" si="187"/>
        <v>82.502935975486295</v>
      </c>
      <c r="M998" s="120">
        <f t="shared" si="187"/>
        <v>84.261510010352509</v>
      </c>
      <c r="N998" s="120">
        <f t="shared" si="187"/>
        <v>88.639462210283355</v>
      </c>
      <c r="O998" s="120">
        <f t="shared" si="187"/>
        <v>88.514027784555992</v>
      </c>
      <c r="P998" s="120">
        <f t="shared" si="187"/>
        <v>93.323524250482578</v>
      </c>
      <c r="Q998" s="120">
        <f t="shared" si="187"/>
        <v>100</v>
      </c>
      <c r="R998" s="120">
        <f t="shared" si="187"/>
        <v>103.83644513853338</v>
      </c>
      <c r="S998" s="120">
        <f t="shared" si="187"/>
        <v>107.35218079199443</v>
      </c>
      <c r="T998" s="120">
        <f t="shared" si="187"/>
        <v>109.76846895421627</v>
      </c>
      <c r="U998" s="120">
        <f t="shared" si="187"/>
        <v>112.02379237117708</v>
      </c>
      <c r="V998" s="120">
        <f t="shared" si="187"/>
        <v>114.18299879546288</v>
      </c>
      <c r="W998" s="120">
        <f t="shared" si="187"/>
        <v>116.26899816682132</v>
      </c>
      <c r="X998" s="120">
        <f t="shared" si="187"/>
        <v>118.51378524529244</v>
      </c>
      <c r="Y998" s="120">
        <f t="shared" si="187"/>
        <v>121.07411999722073</v>
      </c>
      <c r="Z998" s="120">
        <f t="shared" si="187"/>
        <v>123.8588247571568</v>
      </c>
      <c r="AA998" s="120">
        <f t="shared" si="187"/>
        <v>126.7075777265714</v>
      </c>
      <c r="AB998" s="120">
        <f t="shared" si="187"/>
        <v>129.62185201428252</v>
      </c>
      <c r="AC998" s="120">
        <f t="shared" si="187"/>
        <v>132.603154610611</v>
      </c>
      <c r="AD998" s="120">
        <f t="shared" si="187"/>
        <v>135.65302716665505</v>
      </c>
      <c r="AE998" s="120">
        <f t="shared" si="187"/>
        <v>138.7730467914881</v>
      </c>
      <c r="AF998" s="120">
        <f t="shared" si="187"/>
        <v>141.96482686769235</v>
      </c>
      <c r="AG998" s="120">
        <f t="shared" si="187"/>
        <v>145.23001788564923</v>
      </c>
      <c r="AH998" s="120">
        <f t="shared" si="187"/>
        <v>148.57030829701912</v>
      </c>
      <c r="AI998" s="120">
        <f t="shared" si="187"/>
        <v>151.98742538785055</v>
      </c>
      <c r="AJ998" s="120">
        <f t="shared" si="187"/>
        <v>155.48313617177109</v>
      </c>
      <c r="AK998" s="120">
        <f t="shared" si="187"/>
        <v>159.05924830372183</v>
      </c>
      <c r="AL998" s="120">
        <f t="shared" si="187"/>
        <v>162.71761101470739</v>
      </c>
      <c r="AM998" s="120">
        <f t="shared" si="187"/>
        <v>166.46011606804564</v>
      </c>
      <c r="AN998" s="120">
        <f t="shared" si="187"/>
        <v>170.2886987376107</v>
      </c>
      <c r="AO998" s="120">
        <f t="shared" si="187"/>
        <v>174.20533880857573</v>
      </c>
      <c r="AP998" s="120">
        <f t="shared" si="187"/>
        <v>178.21206160117296</v>
      </c>
      <c r="AQ998" s="120">
        <f t="shared" si="187"/>
        <v>182.31093901799991</v>
      </c>
      <c r="AR998" s="120">
        <f t="shared" si="187"/>
        <v>186.50409061541387</v>
      </c>
      <c r="AS998" s="120">
        <f t="shared" si="187"/>
        <v>190.79368469956839</v>
      </c>
      <c r="AT998" s="120">
        <f t="shared" si="187"/>
        <v>195.18193944765844</v>
      </c>
      <c r="AU998" s="120">
        <f t="shared" si="187"/>
        <v>199.67112405495456</v>
      </c>
      <c r="AV998" s="120">
        <f t="shared" si="187"/>
        <v>204.2635599082185</v>
      </c>
      <c r="AW998" s="120">
        <f t="shared" si="187"/>
        <v>208.96162178610754</v>
      </c>
      <c r="AX998" s="120">
        <f t="shared" si="187"/>
        <v>213.76773908718798</v>
      </c>
      <c r="AY998" s="120">
        <f t="shared" si="187"/>
        <v>218.68439708619331</v>
      </c>
      <c r="AZ998" s="120">
        <f t="shared" si="187"/>
        <v>223.71413821917571</v>
      </c>
      <c r="BA998" s="120">
        <f t="shared" si="187"/>
        <v>228.85956339821672</v>
      </c>
      <c r="BB998" s="120">
        <f t="shared" si="187"/>
        <v>234.1233333563757</v>
      </c>
      <c r="BC998" s="120">
        <f t="shared" si="187"/>
        <v>239.50817002357229</v>
      </c>
      <c r="BD998" s="120">
        <f t="shared" si="187"/>
        <v>245.01685793411446</v>
      </c>
      <c r="BE998" s="120">
        <f t="shared" si="187"/>
        <v>250.65224566659907</v>
      </c>
      <c r="BF998" s="120">
        <f t="shared" si="187"/>
        <v>256.41724731693085</v>
      </c>
      <c r="BG998" s="120">
        <f t="shared" si="187"/>
        <v>262.31484400522021</v>
      </c>
      <c r="BH998" s="120">
        <f t="shared" si="187"/>
        <v>268.34808541734026</v>
      </c>
      <c r="BI998" s="120">
        <f t="shared" si="187"/>
        <v>274.52009138193904</v>
      </c>
      <c r="BJ998" s="120">
        <f t="shared" si="187"/>
        <v>280.83405348372361</v>
      </c>
      <c r="BK998" s="120">
        <f t="shared" si="187"/>
        <v>287.29323671384918</v>
      </c>
      <c r="BL998" s="120">
        <f t="shared" si="187"/>
        <v>293.90098115826771</v>
      </c>
      <c r="BM998" s="120">
        <f t="shared" si="187"/>
        <v>300.66070372490782</v>
      </c>
      <c r="BN998" s="120">
        <f t="shared" si="187"/>
        <v>307.57589991058069</v>
      </c>
      <c r="BO998" s="120">
        <f t="shared" si="187"/>
        <v>314.65014560852399</v>
      </c>
      <c r="BP998" s="120">
        <f t="shared" ref="BP998:CP998" si="188">GDP_deflator_in</f>
        <v>321.88709895752004</v>
      </c>
      <c r="BQ998" s="120">
        <f t="shared" si="188"/>
        <v>329.29050223354295</v>
      </c>
      <c r="BR998" s="120">
        <f t="shared" si="188"/>
        <v>336.86418378491442</v>
      </c>
      <c r="BS998" s="120">
        <f t="shared" si="188"/>
        <v>344.61206001196734</v>
      </c>
      <c r="BT998" s="120">
        <f t="shared" si="188"/>
        <v>352.53813739224262</v>
      </c>
      <c r="BU998" s="120">
        <f t="shared" si="188"/>
        <v>360.64651455226414</v>
      </c>
      <c r="BV998" s="120">
        <f t="shared" si="188"/>
        <v>368.94138438696615</v>
      </c>
      <c r="BW998" s="120">
        <f t="shared" si="188"/>
        <v>377.42703622786632</v>
      </c>
      <c r="BX998" s="120">
        <f t="shared" si="188"/>
        <v>386.10785806110727</v>
      </c>
      <c r="BY998" s="120">
        <f t="shared" si="188"/>
        <v>394.98833879651272</v>
      </c>
      <c r="BZ998" s="120">
        <f t="shared" si="188"/>
        <v>404.07307058883248</v>
      </c>
      <c r="CA998" s="120">
        <f t="shared" si="188"/>
        <v>413.36675121237556</v>
      </c>
      <c r="CB998" s="120">
        <f t="shared" si="188"/>
        <v>422.87418649026023</v>
      </c>
      <c r="CC998" s="120">
        <f t="shared" si="188"/>
        <v>432.60029277953612</v>
      </c>
      <c r="CD998" s="120">
        <f t="shared" si="188"/>
        <v>442.5500995134654</v>
      </c>
      <c r="CE998" s="120">
        <f t="shared" si="188"/>
        <v>452.72875180227504</v>
      </c>
      <c r="CF998" s="120">
        <f t="shared" si="188"/>
        <v>463.14151309372738</v>
      </c>
      <c r="CG998" s="120">
        <f t="shared" si="188"/>
        <v>473.7937678948831</v>
      </c>
      <c r="CH998" s="120">
        <f t="shared" si="188"/>
        <v>484.69102455646532</v>
      </c>
      <c r="CI998" s="120">
        <f t="shared" si="188"/>
        <v>495.83891812126399</v>
      </c>
      <c r="CJ998" s="120">
        <f t="shared" si="188"/>
        <v>507.24321323805299</v>
      </c>
      <c r="CK998" s="120">
        <f t="shared" si="188"/>
        <v>518.90980714252817</v>
      </c>
      <c r="CL998" s="120">
        <f t="shared" si="188"/>
        <v>530.84473270680621</v>
      </c>
      <c r="CM998" s="120">
        <f t="shared" si="188"/>
        <v>543.05416155906278</v>
      </c>
      <c r="CN998" s="120">
        <f t="shared" si="188"/>
        <v>555.54440727492101</v>
      </c>
      <c r="CO998" s="120">
        <f t="shared" si="188"/>
        <v>568.3219286422443</v>
      </c>
      <c r="CP998" s="120">
        <f t="shared" si="188"/>
        <v>581.39333300101578</v>
      </c>
      <c r="CQ998" s="3" t="s">
        <v>307</v>
      </c>
    </row>
    <row r="999" spans="1:95" ht="14.5" x14ac:dyDescent="0.35">
      <c r="A999" s="102"/>
      <c r="B999" s="102" t="s">
        <v>185</v>
      </c>
      <c r="C999" s="102"/>
      <c r="D999" s="120">
        <f t="shared" ref="D999:BO999" si="189">GDP_capita_in</f>
        <v>135.32541538721591</v>
      </c>
      <c r="E999" s="120">
        <f t="shared" si="189"/>
        <v>135.72920035087168</v>
      </c>
      <c r="F999" s="120">
        <f t="shared" si="189"/>
        <v>136.85675715976171</v>
      </c>
      <c r="G999" s="120">
        <f t="shared" si="189"/>
        <v>138.39060036894045</v>
      </c>
      <c r="H999" s="120">
        <f t="shared" si="189"/>
        <v>141.7490909252611</v>
      </c>
      <c r="I999" s="120">
        <f t="shared" si="189"/>
        <v>143.85681138377072</v>
      </c>
      <c r="J999" s="120">
        <f t="shared" si="189"/>
        <v>145.46144065339672</v>
      </c>
      <c r="K999" s="120">
        <f t="shared" si="189"/>
        <v>148.51319769973136</v>
      </c>
      <c r="L999" s="120">
        <f t="shared" si="189"/>
        <v>149.86650227928774</v>
      </c>
      <c r="M999" s="120">
        <f t="shared" si="189"/>
        <v>151.51977746837758</v>
      </c>
      <c r="N999" s="120">
        <f t="shared" si="189"/>
        <v>135.68698078846879</v>
      </c>
      <c r="O999" s="120">
        <f t="shared" si="189"/>
        <v>146.79689353630164</v>
      </c>
      <c r="P999" s="120">
        <f t="shared" si="189"/>
        <v>152.49065861785786</v>
      </c>
      <c r="Q999" s="120">
        <f t="shared" si="189"/>
        <v>151.58851308145597</v>
      </c>
      <c r="R999" s="120">
        <f t="shared" si="189"/>
        <v>151.5071076748473</v>
      </c>
      <c r="S999" s="120">
        <f t="shared" si="189"/>
        <v>153.03863007076464</v>
      </c>
      <c r="T999" s="120">
        <f t="shared" si="189"/>
        <v>154.54647838309143</v>
      </c>
      <c r="U999" s="120">
        <f t="shared" si="189"/>
        <v>156.34589247977652</v>
      </c>
      <c r="V999" s="120">
        <f t="shared" si="189"/>
        <v>157.99935866883249</v>
      </c>
      <c r="W999" s="120">
        <f t="shared" si="189"/>
        <v>159.70578174140101</v>
      </c>
      <c r="X999" s="120">
        <f t="shared" si="189"/>
        <v>161.46540021848608</v>
      </c>
      <c r="Y999" s="120">
        <f t="shared" si="189"/>
        <v>163.95728129882326</v>
      </c>
      <c r="Z999" s="120">
        <f t="shared" si="189"/>
        <v>166.55839339107308</v>
      </c>
      <c r="AA999" s="120">
        <f t="shared" si="189"/>
        <v>169.28233071955196</v>
      </c>
      <c r="AB999" s="120">
        <f t="shared" si="189"/>
        <v>172.10853766475108</v>
      </c>
      <c r="AC999" s="120">
        <f t="shared" si="189"/>
        <v>175.01020233659401</v>
      </c>
      <c r="AD999" s="120">
        <f t="shared" si="189"/>
        <v>178.00867044247028</v>
      </c>
      <c r="AE999" s="120">
        <f t="shared" si="189"/>
        <v>181.18786789535559</v>
      </c>
      <c r="AF999" s="120">
        <f t="shared" si="189"/>
        <v>184.3179905096535</v>
      </c>
      <c r="AG999" s="120">
        <f t="shared" si="189"/>
        <v>187.41021237427449</v>
      </c>
      <c r="AH999" s="120">
        <f t="shared" si="189"/>
        <v>190.43720910551002</v>
      </c>
      <c r="AI999" s="120">
        <f t="shared" si="189"/>
        <v>193.42894820650599</v>
      </c>
      <c r="AJ999" s="120">
        <f t="shared" si="189"/>
        <v>196.385013703195</v>
      </c>
      <c r="AK999" s="120">
        <f t="shared" si="189"/>
        <v>199.33493519397788</v>
      </c>
      <c r="AL999" s="120">
        <f t="shared" si="189"/>
        <v>202.29684792106897</v>
      </c>
      <c r="AM999" s="120">
        <f t="shared" si="189"/>
        <v>205.25283384280362</v>
      </c>
      <c r="AN999" s="120">
        <f t="shared" si="189"/>
        <v>208.24056898035127</v>
      </c>
      <c r="AO999" s="120">
        <f t="shared" si="189"/>
        <v>211.25362282775808</v>
      </c>
      <c r="AP999" s="120">
        <f t="shared" si="189"/>
        <v>214.2985246353085</v>
      </c>
      <c r="AQ999" s="120">
        <f t="shared" si="189"/>
        <v>217.37343523897255</v>
      </c>
      <c r="AR999" s="120">
        <f t="shared" si="189"/>
        <v>220.4908588741545</v>
      </c>
      <c r="AS999" s="120">
        <f t="shared" si="189"/>
        <v>223.66618561340059</v>
      </c>
      <c r="AT999" s="120">
        <f t="shared" si="189"/>
        <v>226.89459878603935</v>
      </c>
      <c r="AU999" s="120">
        <f t="shared" si="189"/>
        <v>230.15923812437669</v>
      </c>
      <c r="AV999" s="120">
        <f t="shared" si="189"/>
        <v>233.46044554318789</v>
      </c>
      <c r="AW999" s="120">
        <f t="shared" si="189"/>
        <v>236.79369094201473</v>
      </c>
      <c r="AX999" s="120">
        <f t="shared" si="189"/>
        <v>240.14277669205759</v>
      </c>
      <c r="AY999" s="120">
        <f t="shared" si="189"/>
        <v>243.51148765492297</v>
      </c>
      <c r="AZ999" s="120">
        <f t="shared" si="189"/>
        <v>246.89878692324032</v>
      </c>
      <c r="BA999" s="120">
        <f t="shared" si="189"/>
        <v>250.32318344236074</v>
      </c>
      <c r="BB999" s="120">
        <f t="shared" si="189"/>
        <v>253.75626203580504</v>
      </c>
      <c r="BC999" s="120">
        <f t="shared" si="189"/>
        <v>257.26689545862678</v>
      </c>
      <c r="BD999" s="120">
        <f t="shared" si="189"/>
        <v>260.76953874569028</v>
      </c>
      <c r="BE999" s="120">
        <f t="shared" si="189"/>
        <v>264.27935276274167</v>
      </c>
      <c r="BF999" s="120">
        <f t="shared" si="189"/>
        <v>267.80445860093369</v>
      </c>
      <c r="BG999" s="120">
        <f t="shared" si="189"/>
        <v>271.38172519038551</v>
      </c>
      <c r="BH999" s="120">
        <f t="shared" si="189"/>
        <v>274.99949545244317</v>
      </c>
      <c r="BI999" s="120">
        <f t="shared" si="189"/>
        <v>278.65989610950714</v>
      </c>
      <c r="BJ999" s="120">
        <f t="shared" si="189"/>
        <v>282.42684908777915</v>
      </c>
      <c r="BK999" s="120">
        <f t="shared" si="189"/>
        <v>286.39659176901557</v>
      </c>
      <c r="BL999" s="120">
        <f t="shared" si="189"/>
        <v>290.52965236267926</v>
      </c>
      <c r="BM999" s="120">
        <f t="shared" si="189"/>
        <v>294.74372951684848</v>
      </c>
      <c r="BN999" s="120">
        <f t="shared" si="189"/>
        <v>299.01427853106128</v>
      </c>
      <c r="BO999" s="120">
        <f t="shared" si="189"/>
        <v>303.36186392728496</v>
      </c>
      <c r="BP999" s="120">
        <f t="shared" ref="BP999:CP999" si="190">GDP_capita_in</f>
        <v>307.0682903879873</v>
      </c>
      <c r="BQ999" s="120">
        <f t="shared" si="190"/>
        <v>310.73354209812715</v>
      </c>
      <c r="BR999" s="120">
        <f t="shared" si="190"/>
        <v>314.24901468553088</v>
      </c>
      <c r="BS999" s="120">
        <f t="shared" si="190"/>
        <v>317.84600352687073</v>
      </c>
      <c r="BT999" s="120">
        <f t="shared" si="190"/>
        <v>321.45675270693988</v>
      </c>
      <c r="BU999" s="120">
        <f t="shared" si="190"/>
        <v>325.05895294663202</v>
      </c>
      <c r="BV999" s="120">
        <f t="shared" si="190"/>
        <v>328.7240765249764</v>
      </c>
      <c r="BW999" s="120">
        <f t="shared" si="190"/>
        <v>332.58092530922613</v>
      </c>
      <c r="BX999" s="120">
        <f t="shared" si="190"/>
        <v>336.62625488691054</v>
      </c>
      <c r="BY999" s="120">
        <f t="shared" si="190"/>
        <v>340.76696400601492</v>
      </c>
      <c r="BZ999" s="120">
        <f t="shared" si="190"/>
        <v>344.93794604766299</v>
      </c>
      <c r="CA999" s="120">
        <f t="shared" si="190"/>
        <v>349.32961570984503</v>
      </c>
      <c r="CB999" s="120">
        <f t="shared" si="190"/>
        <v>353.9153927709246</v>
      </c>
      <c r="CC999" s="120">
        <f t="shared" si="190"/>
        <v>358.63971957709015</v>
      </c>
      <c r="CD999" s="120">
        <f t="shared" si="190"/>
        <v>363.54063210018955</v>
      </c>
      <c r="CE999" s="120">
        <f t="shared" si="190"/>
        <v>368.67631032538367</v>
      </c>
      <c r="CF999" s="120">
        <f t="shared" si="190"/>
        <v>373.85719960817835</v>
      </c>
      <c r="CG999" s="120">
        <f t="shared" si="190"/>
        <v>379.38639175100724</v>
      </c>
      <c r="CH999" s="120">
        <f t="shared" si="190"/>
        <v>385.01849789794193</v>
      </c>
      <c r="CI999" s="120">
        <f t="shared" si="190"/>
        <v>390.72375789961546</v>
      </c>
      <c r="CJ999" s="120">
        <f t="shared" si="190"/>
        <v>396.52664561714562</v>
      </c>
      <c r="CK999" s="120">
        <f t="shared" si="190"/>
        <v>402.43448335492462</v>
      </c>
      <c r="CL999" s="120">
        <f t="shared" si="190"/>
        <v>408.44209769551907</v>
      </c>
      <c r="CM999" s="120">
        <f t="shared" si="190"/>
        <v>414.53885691710786</v>
      </c>
      <c r="CN999" s="120">
        <f t="shared" si="190"/>
        <v>420.71998034555924</v>
      </c>
      <c r="CO999" s="120">
        <f t="shared" si="190"/>
        <v>426.98196476983327</v>
      </c>
      <c r="CP999" s="120">
        <f t="shared" si="190"/>
        <v>433.32285006737499</v>
      </c>
      <c r="CQ999" s="3" t="s">
        <v>308</v>
      </c>
    </row>
    <row r="1000" spans="1:95" ht="14.5" x14ac:dyDescent="0.35">
      <c r="A1000" s="102"/>
      <c r="B1000" s="102" t="s">
        <v>309</v>
      </c>
      <c r="C1000" s="102"/>
      <c r="D1000" s="120">
        <f t="shared" ref="D1000:AI1000" si="191">IF(D997&lt;=Current_year_in,1,0)</f>
        <v>1</v>
      </c>
      <c r="E1000" s="120">
        <f t="shared" si="191"/>
        <v>1</v>
      </c>
      <c r="F1000" s="120">
        <f t="shared" si="191"/>
        <v>1</v>
      </c>
      <c r="G1000" s="120">
        <f t="shared" si="191"/>
        <v>1</v>
      </c>
      <c r="H1000" s="120">
        <f t="shared" si="191"/>
        <v>1</v>
      </c>
      <c r="I1000" s="120">
        <f t="shared" si="191"/>
        <v>1</v>
      </c>
      <c r="J1000" s="120">
        <f t="shared" si="191"/>
        <v>1</v>
      </c>
      <c r="K1000" s="120">
        <f t="shared" si="191"/>
        <v>1</v>
      </c>
      <c r="L1000" s="120">
        <f t="shared" si="191"/>
        <v>1</v>
      </c>
      <c r="M1000" s="120">
        <f t="shared" si="191"/>
        <v>1</v>
      </c>
      <c r="N1000" s="120">
        <f t="shared" si="191"/>
        <v>1</v>
      </c>
      <c r="O1000" s="120">
        <f t="shared" si="191"/>
        <v>1</v>
      </c>
      <c r="P1000" s="120">
        <f t="shared" si="191"/>
        <v>1</v>
      </c>
      <c r="Q1000" s="120">
        <f t="shared" si="191"/>
        <v>1</v>
      </c>
      <c r="R1000" s="120">
        <f t="shared" si="191"/>
        <v>1</v>
      </c>
      <c r="S1000" s="120">
        <f t="shared" si="191"/>
        <v>1</v>
      </c>
      <c r="T1000" s="120">
        <f t="shared" si="191"/>
        <v>0</v>
      </c>
      <c r="U1000" s="120">
        <f t="shared" si="191"/>
        <v>0</v>
      </c>
      <c r="V1000" s="120">
        <f t="shared" si="191"/>
        <v>0</v>
      </c>
      <c r="W1000" s="120">
        <f t="shared" si="191"/>
        <v>0</v>
      </c>
      <c r="X1000" s="120">
        <f t="shared" si="191"/>
        <v>0</v>
      </c>
      <c r="Y1000" s="120">
        <f t="shared" si="191"/>
        <v>0</v>
      </c>
      <c r="Z1000" s="120">
        <f t="shared" si="191"/>
        <v>0</v>
      </c>
      <c r="AA1000" s="120">
        <f t="shared" si="191"/>
        <v>0</v>
      </c>
      <c r="AB1000" s="120">
        <f t="shared" si="191"/>
        <v>0</v>
      </c>
      <c r="AC1000" s="120">
        <f t="shared" si="191"/>
        <v>0</v>
      </c>
      <c r="AD1000" s="120">
        <f t="shared" si="191"/>
        <v>0</v>
      </c>
      <c r="AE1000" s="120">
        <f t="shared" si="191"/>
        <v>0</v>
      </c>
      <c r="AF1000" s="120">
        <f t="shared" si="191"/>
        <v>0</v>
      </c>
      <c r="AG1000" s="120">
        <f t="shared" si="191"/>
        <v>0</v>
      </c>
      <c r="AH1000" s="120">
        <f t="shared" si="191"/>
        <v>0</v>
      </c>
      <c r="AI1000" s="120">
        <f t="shared" si="191"/>
        <v>0</v>
      </c>
      <c r="AJ1000" s="120">
        <f t="shared" ref="AJ1000:BO1000" si="192">IF(AJ997&lt;=Current_year_in,1,0)</f>
        <v>0</v>
      </c>
      <c r="AK1000" s="120">
        <f t="shared" si="192"/>
        <v>0</v>
      </c>
      <c r="AL1000" s="120">
        <f t="shared" si="192"/>
        <v>0</v>
      </c>
      <c r="AM1000" s="120">
        <f t="shared" si="192"/>
        <v>0</v>
      </c>
      <c r="AN1000" s="120">
        <f t="shared" si="192"/>
        <v>0</v>
      </c>
      <c r="AO1000" s="120">
        <f t="shared" si="192"/>
        <v>0</v>
      </c>
      <c r="AP1000" s="120">
        <f t="shared" si="192"/>
        <v>0</v>
      </c>
      <c r="AQ1000" s="120">
        <f t="shared" si="192"/>
        <v>0</v>
      </c>
      <c r="AR1000" s="120">
        <f t="shared" si="192"/>
        <v>0</v>
      </c>
      <c r="AS1000" s="120">
        <f t="shared" si="192"/>
        <v>0</v>
      </c>
      <c r="AT1000" s="120">
        <f t="shared" si="192"/>
        <v>0</v>
      </c>
      <c r="AU1000" s="120">
        <f t="shared" si="192"/>
        <v>0</v>
      </c>
      <c r="AV1000" s="120">
        <f t="shared" si="192"/>
        <v>0</v>
      </c>
      <c r="AW1000" s="120">
        <f t="shared" si="192"/>
        <v>0</v>
      </c>
      <c r="AX1000" s="120">
        <f t="shared" si="192"/>
        <v>0</v>
      </c>
      <c r="AY1000" s="120">
        <f t="shared" si="192"/>
        <v>0</v>
      </c>
      <c r="AZ1000" s="120">
        <f t="shared" si="192"/>
        <v>0</v>
      </c>
      <c r="BA1000" s="120">
        <f t="shared" si="192"/>
        <v>0</v>
      </c>
      <c r="BB1000" s="120">
        <f t="shared" si="192"/>
        <v>0</v>
      </c>
      <c r="BC1000" s="120">
        <f t="shared" si="192"/>
        <v>0</v>
      </c>
      <c r="BD1000" s="120">
        <f t="shared" si="192"/>
        <v>0</v>
      </c>
      <c r="BE1000" s="120">
        <f t="shared" si="192"/>
        <v>0</v>
      </c>
      <c r="BF1000" s="120">
        <f t="shared" si="192"/>
        <v>0</v>
      </c>
      <c r="BG1000" s="120">
        <f t="shared" si="192"/>
        <v>0</v>
      </c>
      <c r="BH1000" s="120">
        <f t="shared" si="192"/>
        <v>0</v>
      </c>
      <c r="BI1000" s="120">
        <f t="shared" si="192"/>
        <v>0</v>
      </c>
      <c r="BJ1000" s="120">
        <f t="shared" si="192"/>
        <v>0</v>
      </c>
      <c r="BK1000" s="120">
        <f t="shared" si="192"/>
        <v>0</v>
      </c>
      <c r="BL1000" s="120">
        <f t="shared" si="192"/>
        <v>0</v>
      </c>
      <c r="BM1000" s="120">
        <f t="shared" si="192"/>
        <v>0</v>
      </c>
      <c r="BN1000" s="120">
        <f t="shared" si="192"/>
        <v>0</v>
      </c>
      <c r="BO1000" s="120">
        <f t="shared" si="192"/>
        <v>0</v>
      </c>
      <c r="BP1000" s="120">
        <f t="shared" ref="BP1000:CP1000" si="193">IF(BP997&lt;=Current_year_in,1,0)</f>
        <v>0</v>
      </c>
      <c r="BQ1000" s="120">
        <f t="shared" si="193"/>
        <v>0</v>
      </c>
      <c r="BR1000" s="120">
        <f t="shared" si="193"/>
        <v>0</v>
      </c>
      <c r="BS1000" s="120">
        <f t="shared" si="193"/>
        <v>0</v>
      </c>
      <c r="BT1000" s="120">
        <f t="shared" si="193"/>
        <v>0</v>
      </c>
      <c r="BU1000" s="120">
        <f t="shared" si="193"/>
        <v>0</v>
      </c>
      <c r="BV1000" s="120">
        <f t="shared" si="193"/>
        <v>0</v>
      </c>
      <c r="BW1000" s="120">
        <f t="shared" si="193"/>
        <v>0</v>
      </c>
      <c r="BX1000" s="120">
        <f t="shared" si="193"/>
        <v>0</v>
      </c>
      <c r="BY1000" s="120">
        <f t="shared" si="193"/>
        <v>0</v>
      </c>
      <c r="BZ1000" s="120">
        <f t="shared" si="193"/>
        <v>0</v>
      </c>
      <c r="CA1000" s="120">
        <f t="shared" si="193"/>
        <v>0</v>
      </c>
      <c r="CB1000" s="120">
        <f t="shared" si="193"/>
        <v>0</v>
      </c>
      <c r="CC1000" s="120">
        <f t="shared" si="193"/>
        <v>0</v>
      </c>
      <c r="CD1000" s="120">
        <f t="shared" si="193"/>
        <v>0</v>
      </c>
      <c r="CE1000" s="120">
        <f t="shared" si="193"/>
        <v>0</v>
      </c>
      <c r="CF1000" s="120">
        <f t="shared" si="193"/>
        <v>0</v>
      </c>
      <c r="CG1000" s="120">
        <f t="shared" si="193"/>
        <v>0</v>
      </c>
      <c r="CH1000" s="120">
        <f t="shared" si="193"/>
        <v>0</v>
      </c>
      <c r="CI1000" s="120">
        <f t="shared" si="193"/>
        <v>0</v>
      </c>
      <c r="CJ1000" s="120">
        <f t="shared" si="193"/>
        <v>0</v>
      </c>
      <c r="CK1000" s="120">
        <f t="shared" si="193"/>
        <v>0</v>
      </c>
      <c r="CL1000" s="120">
        <f t="shared" si="193"/>
        <v>0</v>
      </c>
      <c r="CM1000" s="120">
        <f t="shared" si="193"/>
        <v>0</v>
      </c>
      <c r="CN1000" s="120">
        <f t="shared" si="193"/>
        <v>0</v>
      </c>
      <c r="CO1000" s="120">
        <f t="shared" si="193"/>
        <v>0</v>
      </c>
      <c r="CP1000" s="120">
        <f t="shared" si="193"/>
        <v>0</v>
      </c>
      <c r="CQ1000" s="3"/>
    </row>
    <row r="1001" spans="1:95" ht="14.5" x14ac:dyDescent="0.35">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5" x14ac:dyDescent="0.35">
      <c r="A1002" s="102"/>
      <c r="B1002" s="115" t="s">
        <v>310</v>
      </c>
      <c r="C1002" s="102">
        <f>Price_base_values_in</f>
        <v>2023</v>
      </c>
      <c r="D1002" s="3" t="s">
        <v>311</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5" x14ac:dyDescent="0.35">
      <c r="A1003" s="102"/>
      <c r="B1003" s="102" t="s">
        <v>312</v>
      </c>
      <c r="C1003" s="120">
        <f>HLOOKUP(Noise_values_price_base,Uprating_table,2,0)</f>
        <v>100</v>
      </c>
      <c r="D1003" s="3" t="s">
        <v>313</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5" x14ac:dyDescent="0.35">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5">
      <c r="A1005" s="102"/>
      <c r="B1005" s="102" t="s">
        <v>314</v>
      </c>
      <c r="C1005" s="102">
        <f>Price_base_outputs_in</f>
        <v>2023</v>
      </c>
      <c r="D1005" s="3" t="s">
        <v>315</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5" x14ac:dyDescent="0.35">
      <c r="A1006" s="102"/>
      <c r="B1006" s="102" t="s">
        <v>316</v>
      </c>
      <c r="C1006" s="102">
        <f>HLOOKUP(Outputs_price_base,Uprating_table,2,0)</f>
        <v>100</v>
      </c>
      <c r="D1006" s="3" t="s">
        <v>317</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5" x14ac:dyDescent="0.3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5" x14ac:dyDescent="0.35">
      <c r="A1008" s="102"/>
      <c r="B1008" s="102" t="s">
        <v>318</v>
      </c>
      <c r="C1008" s="120">
        <f>GDP_deflator_outputs/GDP_deflator_base</f>
        <v>1</v>
      </c>
      <c r="D1008" s="19" t="s">
        <v>319</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5" x14ac:dyDescent="0.35">
      <c r="A1009" s="102"/>
      <c r="B1009" s="102" t="s">
        <v>320</v>
      </c>
      <c r="C1009" s="102">
        <f>Income_elasticity_in</f>
        <v>1.3</v>
      </c>
      <c r="D1009" s="3" t="s">
        <v>188</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5" x14ac:dyDescent="0.35">
      <c r="A1010" s="102"/>
      <c r="B1010" s="115" t="s">
        <v>321</v>
      </c>
      <c r="C1010" s="102">
        <f>Income_base_values_in</f>
        <v>2023</v>
      </c>
      <c r="D1010" s="3" t="s">
        <v>322</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5" x14ac:dyDescent="0.35">
      <c r="A1011" s="102"/>
      <c r="B1011" s="102" t="s">
        <v>323</v>
      </c>
      <c r="C1011" s="120">
        <f>HLOOKUP(Noise_values_income_base,Uprating_table,3,0)</f>
        <v>151.58851308145597</v>
      </c>
      <c r="D1011" s="3" t="s">
        <v>324</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5" x14ac:dyDescent="0.35">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5" x14ac:dyDescent="0.35">
      <c r="B1013" s="5" t="s">
        <v>325</v>
      </c>
    </row>
    <row r="1014" spans="1:95" ht="14.5" x14ac:dyDescent="0.3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5" x14ac:dyDescent="0.3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5" x14ac:dyDescent="0.35">
      <c r="A1016" s="102"/>
      <c r="B1016" s="102" t="s">
        <v>143</v>
      </c>
      <c r="C1016" s="102"/>
      <c r="D1016" s="101">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1">
        <f t="shared" si="194"/>
        <v>0</v>
      </c>
      <c r="F1016" s="101">
        <f t="shared" si="194"/>
        <v>0</v>
      </c>
      <c r="G1016" s="101">
        <f t="shared" si="194"/>
        <v>0</v>
      </c>
      <c r="H1016" s="101">
        <f t="shared" si="194"/>
        <v>0</v>
      </c>
      <c r="I1016" s="101">
        <f t="shared" si="194"/>
        <v>0</v>
      </c>
      <c r="J1016" s="101">
        <f t="shared" si="194"/>
        <v>0</v>
      </c>
      <c r="K1016" s="101">
        <f t="shared" si="194"/>
        <v>0</v>
      </c>
      <c r="L1016" s="101">
        <f t="shared" si="194"/>
        <v>0</v>
      </c>
      <c r="M1016" s="101">
        <f t="shared" si="194"/>
        <v>0</v>
      </c>
      <c r="N1016" s="101">
        <f t="shared" si="194"/>
        <v>0</v>
      </c>
      <c r="O1016" s="101">
        <f t="shared" si="194"/>
        <v>0</v>
      </c>
      <c r="P1016" s="101">
        <f t="shared" si="194"/>
        <v>0</v>
      </c>
      <c r="Q1016" s="101">
        <f t="shared" si="194"/>
        <v>0</v>
      </c>
      <c r="R1016" s="101">
        <f t="shared" si="194"/>
        <v>0</v>
      </c>
      <c r="S1016" s="101">
        <f t="shared" si="194"/>
        <v>0</v>
      </c>
      <c r="T1016" s="101">
        <f t="shared" si="194"/>
        <v>0</v>
      </c>
      <c r="U1016" s="101">
        <f t="shared" si="194"/>
        <v>0</v>
      </c>
      <c r="V1016" s="101">
        <f t="shared" si="194"/>
        <v>0</v>
      </c>
      <c r="W1016" s="101">
        <f t="shared" si="194"/>
        <v>0</v>
      </c>
      <c r="X1016" s="101">
        <f t="shared" si="194"/>
        <v>0</v>
      </c>
      <c r="Y1016" s="101">
        <f t="shared" si="194"/>
        <v>0</v>
      </c>
      <c r="Z1016" s="101">
        <f t="shared" si="194"/>
        <v>0</v>
      </c>
      <c r="AA1016" s="101">
        <f t="shared" si="194"/>
        <v>0</v>
      </c>
      <c r="AB1016" s="101">
        <f t="shared" si="194"/>
        <v>0</v>
      </c>
      <c r="AC1016" s="101">
        <f t="shared" si="194"/>
        <v>0</v>
      </c>
      <c r="AD1016" s="101">
        <f t="shared" si="194"/>
        <v>0</v>
      </c>
      <c r="AE1016" s="101">
        <f t="shared" si="194"/>
        <v>0</v>
      </c>
      <c r="AF1016" s="101">
        <f t="shared" si="194"/>
        <v>0</v>
      </c>
      <c r="AG1016" s="101">
        <f t="shared" si="194"/>
        <v>0</v>
      </c>
      <c r="AH1016" s="101">
        <f t="shared" si="194"/>
        <v>0</v>
      </c>
      <c r="AI1016" s="101">
        <f t="shared" si="194"/>
        <v>0</v>
      </c>
      <c r="AJ1016" s="101">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195"/>
        <v>0</v>
      </c>
      <c r="AL1016" s="101">
        <f t="shared" si="195"/>
        <v>0</v>
      </c>
      <c r="AM1016" s="101">
        <f t="shared" si="195"/>
        <v>0</v>
      </c>
      <c r="AN1016" s="101">
        <f t="shared" si="195"/>
        <v>0</v>
      </c>
      <c r="AO1016" s="101">
        <f t="shared" si="195"/>
        <v>0</v>
      </c>
      <c r="AP1016" s="101">
        <f t="shared" si="195"/>
        <v>0</v>
      </c>
      <c r="AQ1016" s="101">
        <f t="shared" si="195"/>
        <v>0</v>
      </c>
      <c r="AR1016" s="101">
        <f t="shared" si="195"/>
        <v>0</v>
      </c>
      <c r="AS1016" s="101">
        <f t="shared" si="195"/>
        <v>0</v>
      </c>
      <c r="AT1016" s="101">
        <f t="shared" si="195"/>
        <v>0</v>
      </c>
      <c r="AU1016" s="101">
        <f t="shared" si="195"/>
        <v>0</v>
      </c>
      <c r="AV1016" s="101">
        <f t="shared" si="195"/>
        <v>0</v>
      </c>
      <c r="AW1016" s="101">
        <f t="shared" si="195"/>
        <v>0</v>
      </c>
      <c r="AX1016" s="101">
        <f t="shared" si="195"/>
        <v>0</v>
      </c>
      <c r="AY1016" s="101">
        <f t="shared" si="195"/>
        <v>0</v>
      </c>
      <c r="AZ1016" s="101">
        <f t="shared" si="195"/>
        <v>0</v>
      </c>
      <c r="BA1016" s="101">
        <f t="shared" si="195"/>
        <v>0</v>
      </c>
      <c r="BB1016" s="101">
        <f t="shared" si="195"/>
        <v>0</v>
      </c>
      <c r="BC1016" s="101">
        <f t="shared" si="195"/>
        <v>0</v>
      </c>
      <c r="BD1016" s="101">
        <f t="shared" si="195"/>
        <v>0</v>
      </c>
      <c r="BE1016" s="101">
        <f t="shared" si="195"/>
        <v>0</v>
      </c>
      <c r="BF1016" s="101">
        <f t="shared" si="195"/>
        <v>0</v>
      </c>
      <c r="BG1016" s="101">
        <f t="shared" si="195"/>
        <v>0</v>
      </c>
      <c r="BH1016" s="101">
        <f t="shared" si="195"/>
        <v>0</v>
      </c>
      <c r="BI1016" s="101">
        <f t="shared" si="195"/>
        <v>0</v>
      </c>
      <c r="BJ1016" s="101">
        <f t="shared" si="195"/>
        <v>0</v>
      </c>
      <c r="BK1016" s="101">
        <f t="shared" si="195"/>
        <v>0</v>
      </c>
      <c r="BL1016" s="101">
        <f t="shared" si="195"/>
        <v>0</v>
      </c>
      <c r="BM1016" s="101">
        <f t="shared" si="195"/>
        <v>0</v>
      </c>
      <c r="BN1016" s="101">
        <f t="shared" si="195"/>
        <v>0</v>
      </c>
      <c r="BO1016" s="101">
        <f t="shared" si="195"/>
        <v>0</v>
      </c>
      <c r="BP1016" s="101">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196"/>
        <v>0</v>
      </c>
      <c r="BR1016" s="101">
        <f t="shared" si="196"/>
        <v>0</v>
      </c>
      <c r="BS1016" s="101">
        <f t="shared" si="196"/>
        <v>0</v>
      </c>
      <c r="BT1016" s="101">
        <f t="shared" si="196"/>
        <v>0</v>
      </c>
      <c r="BU1016" s="101">
        <f t="shared" si="196"/>
        <v>0</v>
      </c>
      <c r="BV1016" s="101">
        <f t="shared" si="196"/>
        <v>0</v>
      </c>
      <c r="BW1016" s="101">
        <f t="shared" si="196"/>
        <v>0</v>
      </c>
      <c r="BX1016" s="101">
        <f t="shared" si="196"/>
        <v>0</v>
      </c>
      <c r="BY1016" s="101">
        <f t="shared" si="196"/>
        <v>0</v>
      </c>
      <c r="BZ1016" s="101">
        <f t="shared" si="196"/>
        <v>0</v>
      </c>
      <c r="CA1016" s="101">
        <f t="shared" si="196"/>
        <v>0</v>
      </c>
      <c r="CB1016" s="101">
        <f t="shared" si="196"/>
        <v>0</v>
      </c>
      <c r="CC1016" s="101">
        <f t="shared" si="196"/>
        <v>0</v>
      </c>
      <c r="CD1016" s="101">
        <f t="shared" si="196"/>
        <v>0</v>
      </c>
      <c r="CE1016" s="101">
        <f t="shared" si="196"/>
        <v>0</v>
      </c>
      <c r="CF1016" s="101">
        <f t="shared" si="196"/>
        <v>0</v>
      </c>
      <c r="CG1016" s="101">
        <f t="shared" si="196"/>
        <v>0</v>
      </c>
      <c r="CH1016" s="101">
        <f t="shared" si="196"/>
        <v>0</v>
      </c>
      <c r="CI1016" s="101">
        <f t="shared" si="196"/>
        <v>0</v>
      </c>
      <c r="CJ1016" s="101">
        <f t="shared" si="196"/>
        <v>0</v>
      </c>
      <c r="CK1016" s="101">
        <f t="shared" si="196"/>
        <v>0</v>
      </c>
      <c r="CL1016" s="101">
        <f t="shared" si="196"/>
        <v>0</v>
      </c>
      <c r="CM1016" s="101">
        <f t="shared" si="196"/>
        <v>0</v>
      </c>
      <c r="CN1016" s="101">
        <f t="shared" si="196"/>
        <v>0</v>
      </c>
      <c r="CO1016" s="101">
        <f t="shared" si="196"/>
        <v>0</v>
      </c>
      <c r="CP1016" s="101">
        <f t="shared" si="196"/>
        <v>0</v>
      </c>
      <c r="CQ1016" s="3" t="s">
        <v>326</v>
      </c>
    </row>
    <row r="1017" spans="1:95" ht="14.5" x14ac:dyDescent="0.35">
      <c r="A1017" s="102"/>
      <c r="B1017" s="102" t="s">
        <v>145</v>
      </c>
      <c r="C1017" s="102"/>
      <c r="D1017" s="101">
        <f t="shared" ref="D1017:AI1017" si="197">IF(D$946=1,IF(D$1000=1,Total_annual_amenity_cost*Price_adjustment*((GDP_capita/GDP_capita_base)^Income_elasticity_in),Total_annual_amenity_cost*Price_adjustment*((INDEX(GDP_capita,1,MATCH(Current_year_in,$D$997:$CP$997,0))/GDP_capita_base)^Income_elasticity_in)),0)</f>
        <v>0</v>
      </c>
      <c r="E1017" s="101">
        <f t="shared" si="197"/>
        <v>0</v>
      </c>
      <c r="F1017" s="101">
        <f t="shared" si="197"/>
        <v>0</v>
      </c>
      <c r="G1017" s="101">
        <f t="shared" si="197"/>
        <v>0</v>
      </c>
      <c r="H1017" s="101">
        <f t="shared" si="197"/>
        <v>0</v>
      </c>
      <c r="I1017" s="101">
        <f t="shared" si="197"/>
        <v>0</v>
      </c>
      <c r="J1017" s="101">
        <f t="shared" si="197"/>
        <v>0</v>
      </c>
      <c r="K1017" s="101">
        <f t="shared" si="197"/>
        <v>0</v>
      </c>
      <c r="L1017" s="101">
        <f t="shared" si="197"/>
        <v>0</v>
      </c>
      <c r="M1017" s="101">
        <f t="shared" si="197"/>
        <v>0</v>
      </c>
      <c r="N1017" s="101">
        <f t="shared" si="197"/>
        <v>0</v>
      </c>
      <c r="O1017" s="101">
        <f t="shared" si="197"/>
        <v>0</v>
      </c>
      <c r="P1017" s="101">
        <f t="shared" si="197"/>
        <v>0</v>
      </c>
      <c r="Q1017" s="101">
        <f t="shared" si="197"/>
        <v>0</v>
      </c>
      <c r="R1017" s="101">
        <f t="shared" si="197"/>
        <v>0</v>
      </c>
      <c r="S1017" s="101">
        <f t="shared" si="197"/>
        <v>0</v>
      </c>
      <c r="T1017" s="101">
        <f t="shared" si="197"/>
        <v>0</v>
      </c>
      <c r="U1017" s="101">
        <f t="shared" si="197"/>
        <v>0</v>
      </c>
      <c r="V1017" s="101">
        <f t="shared" si="197"/>
        <v>0</v>
      </c>
      <c r="W1017" s="101">
        <f t="shared" si="197"/>
        <v>0</v>
      </c>
      <c r="X1017" s="101">
        <f t="shared" si="197"/>
        <v>0</v>
      </c>
      <c r="Y1017" s="101">
        <f t="shared" si="197"/>
        <v>0</v>
      </c>
      <c r="Z1017" s="101">
        <f t="shared" si="197"/>
        <v>0</v>
      </c>
      <c r="AA1017" s="101">
        <f t="shared" si="197"/>
        <v>0</v>
      </c>
      <c r="AB1017" s="101">
        <f t="shared" si="197"/>
        <v>0</v>
      </c>
      <c r="AC1017" s="101">
        <f t="shared" si="197"/>
        <v>0</v>
      </c>
      <c r="AD1017" s="101">
        <f t="shared" si="197"/>
        <v>0</v>
      </c>
      <c r="AE1017" s="101">
        <f t="shared" si="197"/>
        <v>0</v>
      </c>
      <c r="AF1017" s="101">
        <f t="shared" si="197"/>
        <v>0</v>
      </c>
      <c r="AG1017" s="101">
        <f t="shared" si="197"/>
        <v>0</v>
      </c>
      <c r="AH1017" s="101">
        <f t="shared" si="197"/>
        <v>0</v>
      </c>
      <c r="AI1017" s="101">
        <f t="shared" si="197"/>
        <v>0</v>
      </c>
      <c r="AJ1017" s="101">
        <f t="shared" ref="AJ1017:BO1017" si="198">IF(AJ$946=1,IF(AJ$1000=1,Total_annual_amenity_cost*Price_adjustment*((GDP_capita/GDP_capita_base)^Income_elasticity_in),Total_annual_amenity_cost*Price_adjustment*((INDEX(GDP_capita,1,MATCH(Current_year_in,$D$997:$CP$997,0))/GDP_capita_base)^Income_elasticity_in)),0)</f>
        <v>0</v>
      </c>
      <c r="AK1017" s="101">
        <f t="shared" si="198"/>
        <v>0</v>
      </c>
      <c r="AL1017" s="101">
        <f t="shared" si="198"/>
        <v>0</v>
      </c>
      <c r="AM1017" s="101">
        <f t="shared" si="198"/>
        <v>0</v>
      </c>
      <c r="AN1017" s="101">
        <f t="shared" si="198"/>
        <v>0</v>
      </c>
      <c r="AO1017" s="101">
        <f t="shared" si="198"/>
        <v>0</v>
      </c>
      <c r="AP1017" s="101">
        <f t="shared" si="198"/>
        <v>0</v>
      </c>
      <c r="AQ1017" s="101">
        <f t="shared" si="198"/>
        <v>0</v>
      </c>
      <c r="AR1017" s="101">
        <f t="shared" si="198"/>
        <v>0</v>
      </c>
      <c r="AS1017" s="101">
        <f t="shared" si="198"/>
        <v>0</v>
      </c>
      <c r="AT1017" s="101">
        <f t="shared" si="198"/>
        <v>0</v>
      </c>
      <c r="AU1017" s="101">
        <f t="shared" si="198"/>
        <v>0</v>
      </c>
      <c r="AV1017" s="101">
        <f t="shared" si="198"/>
        <v>0</v>
      </c>
      <c r="AW1017" s="101">
        <f t="shared" si="198"/>
        <v>0</v>
      </c>
      <c r="AX1017" s="101">
        <f t="shared" si="198"/>
        <v>0</v>
      </c>
      <c r="AY1017" s="101">
        <f t="shared" si="198"/>
        <v>0</v>
      </c>
      <c r="AZ1017" s="101">
        <f t="shared" si="198"/>
        <v>0</v>
      </c>
      <c r="BA1017" s="101">
        <f t="shared" si="198"/>
        <v>0</v>
      </c>
      <c r="BB1017" s="101">
        <f t="shared" si="198"/>
        <v>0</v>
      </c>
      <c r="BC1017" s="101">
        <f t="shared" si="198"/>
        <v>0</v>
      </c>
      <c r="BD1017" s="101">
        <f t="shared" si="198"/>
        <v>0</v>
      </c>
      <c r="BE1017" s="101">
        <f t="shared" si="198"/>
        <v>0</v>
      </c>
      <c r="BF1017" s="101">
        <f t="shared" si="198"/>
        <v>0</v>
      </c>
      <c r="BG1017" s="101">
        <f t="shared" si="198"/>
        <v>0</v>
      </c>
      <c r="BH1017" s="101">
        <f t="shared" si="198"/>
        <v>0</v>
      </c>
      <c r="BI1017" s="101">
        <f t="shared" si="198"/>
        <v>0</v>
      </c>
      <c r="BJ1017" s="101">
        <f t="shared" si="198"/>
        <v>0</v>
      </c>
      <c r="BK1017" s="101">
        <f t="shared" si="198"/>
        <v>0</v>
      </c>
      <c r="BL1017" s="101">
        <f t="shared" si="198"/>
        <v>0</v>
      </c>
      <c r="BM1017" s="101">
        <f t="shared" si="198"/>
        <v>0</v>
      </c>
      <c r="BN1017" s="101">
        <f t="shared" si="198"/>
        <v>0</v>
      </c>
      <c r="BO1017" s="101">
        <f t="shared" si="198"/>
        <v>0</v>
      </c>
      <c r="BP1017" s="101">
        <f t="shared" ref="BP1017:CP1017" si="199">IF(BP$946=1,IF(BP$1000=1,Total_annual_amenity_cost*Price_adjustment*((GDP_capita/GDP_capita_base)^Income_elasticity_in),Total_annual_amenity_cost*Price_adjustment*((INDEX(GDP_capita,1,MATCH(Current_year_in,$D$997:$CP$997,0))/GDP_capita_base)^Income_elasticity_in)),0)</f>
        <v>0</v>
      </c>
      <c r="BQ1017" s="101">
        <f t="shared" si="199"/>
        <v>0</v>
      </c>
      <c r="BR1017" s="101">
        <f t="shared" si="199"/>
        <v>0</v>
      </c>
      <c r="BS1017" s="101">
        <f t="shared" si="199"/>
        <v>0</v>
      </c>
      <c r="BT1017" s="101">
        <f t="shared" si="199"/>
        <v>0</v>
      </c>
      <c r="BU1017" s="101">
        <f t="shared" si="199"/>
        <v>0</v>
      </c>
      <c r="BV1017" s="101">
        <f t="shared" si="199"/>
        <v>0</v>
      </c>
      <c r="BW1017" s="101">
        <f t="shared" si="199"/>
        <v>0</v>
      </c>
      <c r="BX1017" s="101">
        <f t="shared" si="199"/>
        <v>0</v>
      </c>
      <c r="BY1017" s="101">
        <f t="shared" si="199"/>
        <v>0</v>
      </c>
      <c r="BZ1017" s="101">
        <f t="shared" si="199"/>
        <v>0</v>
      </c>
      <c r="CA1017" s="101">
        <f t="shared" si="199"/>
        <v>0</v>
      </c>
      <c r="CB1017" s="101">
        <f t="shared" si="199"/>
        <v>0</v>
      </c>
      <c r="CC1017" s="101">
        <f t="shared" si="199"/>
        <v>0</v>
      </c>
      <c r="CD1017" s="101">
        <f t="shared" si="199"/>
        <v>0</v>
      </c>
      <c r="CE1017" s="101">
        <f t="shared" si="199"/>
        <v>0</v>
      </c>
      <c r="CF1017" s="101">
        <f t="shared" si="199"/>
        <v>0</v>
      </c>
      <c r="CG1017" s="101">
        <f t="shared" si="199"/>
        <v>0</v>
      </c>
      <c r="CH1017" s="101">
        <f t="shared" si="199"/>
        <v>0</v>
      </c>
      <c r="CI1017" s="101">
        <f t="shared" si="199"/>
        <v>0</v>
      </c>
      <c r="CJ1017" s="101">
        <f t="shared" si="199"/>
        <v>0</v>
      </c>
      <c r="CK1017" s="101">
        <f t="shared" si="199"/>
        <v>0</v>
      </c>
      <c r="CL1017" s="101">
        <f t="shared" si="199"/>
        <v>0</v>
      </c>
      <c r="CM1017" s="101">
        <f t="shared" si="199"/>
        <v>0</v>
      </c>
      <c r="CN1017" s="101">
        <f t="shared" si="199"/>
        <v>0</v>
      </c>
      <c r="CO1017" s="101">
        <f t="shared" si="199"/>
        <v>0</v>
      </c>
      <c r="CP1017" s="101">
        <f t="shared" si="199"/>
        <v>0</v>
      </c>
      <c r="CQ1017" s="3" t="s">
        <v>327</v>
      </c>
    </row>
    <row r="1018" spans="1:95" ht="14.5" x14ac:dyDescent="0.35">
      <c r="A1018" s="102"/>
      <c r="B1018" s="102" t="s">
        <v>147</v>
      </c>
      <c r="C1018" s="102"/>
      <c r="D1018" s="101">
        <f t="shared" ref="D1018:AI1018" si="200">IF(D$946=1,IF(D$1000=1,Total_annual_AMI_cost*Price_adjustment*((GDP_capita/GDP_capita_base)^Income_elasticity_in),Total_annual_AMI_cost*Price_adjustment*((INDEX(GDP_capita,1,MATCH(Current_year_in,$D$997:$CP$997,0))/GDP_capita_base)^Income_elasticity_in)),0)</f>
        <v>0</v>
      </c>
      <c r="E1018" s="101">
        <f t="shared" si="200"/>
        <v>0</v>
      </c>
      <c r="F1018" s="101">
        <f t="shared" si="200"/>
        <v>0</v>
      </c>
      <c r="G1018" s="101">
        <f t="shared" si="200"/>
        <v>0</v>
      </c>
      <c r="H1018" s="101">
        <f t="shared" si="200"/>
        <v>0</v>
      </c>
      <c r="I1018" s="101">
        <f t="shared" si="200"/>
        <v>0</v>
      </c>
      <c r="J1018" s="101">
        <f t="shared" si="200"/>
        <v>0</v>
      </c>
      <c r="K1018" s="101">
        <f t="shared" si="200"/>
        <v>0</v>
      </c>
      <c r="L1018" s="101">
        <f t="shared" si="200"/>
        <v>0</v>
      </c>
      <c r="M1018" s="101">
        <f t="shared" si="200"/>
        <v>0</v>
      </c>
      <c r="N1018" s="101">
        <f t="shared" si="200"/>
        <v>0</v>
      </c>
      <c r="O1018" s="101">
        <f t="shared" si="200"/>
        <v>0</v>
      </c>
      <c r="P1018" s="101">
        <f t="shared" si="200"/>
        <v>0</v>
      </c>
      <c r="Q1018" s="101">
        <f t="shared" si="200"/>
        <v>0</v>
      </c>
      <c r="R1018" s="101">
        <f t="shared" si="200"/>
        <v>0</v>
      </c>
      <c r="S1018" s="101">
        <f t="shared" si="200"/>
        <v>0</v>
      </c>
      <c r="T1018" s="101">
        <f t="shared" si="200"/>
        <v>0</v>
      </c>
      <c r="U1018" s="101">
        <f t="shared" si="200"/>
        <v>0</v>
      </c>
      <c r="V1018" s="101">
        <f t="shared" si="200"/>
        <v>0</v>
      </c>
      <c r="W1018" s="101">
        <f t="shared" si="200"/>
        <v>0</v>
      </c>
      <c r="X1018" s="101">
        <f t="shared" si="200"/>
        <v>0</v>
      </c>
      <c r="Y1018" s="101">
        <f t="shared" si="200"/>
        <v>0</v>
      </c>
      <c r="Z1018" s="101">
        <f t="shared" si="200"/>
        <v>0</v>
      </c>
      <c r="AA1018" s="101">
        <f t="shared" si="200"/>
        <v>0</v>
      </c>
      <c r="AB1018" s="101">
        <f t="shared" si="200"/>
        <v>0</v>
      </c>
      <c r="AC1018" s="101">
        <f t="shared" si="200"/>
        <v>0</v>
      </c>
      <c r="AD1018" s="101">
        <f t="shared" si="200"/>
        <v>0</v>
      </c>
      <c r="AE1018" s="101">
        <f t="shared" si="200"/>
        <v>0</v>
      </c>
      <c r="AF1018" s="101">
        <f t="shared" si="200"/>
        <v>0</v>
      </c>
      <c r="AG1018" s="101">
        <f t="shared" si="200"/>
        <v>0</v>
      </c>
      <c r="AH1018" s="101">
        <f t="shared" si="200"/>
        <v>0</v>
      </c>
      <c r="AI1018" s="101">
        <f t="shared" si="200"/>
        <v>0</v>
      </c>
      <c r="AJ1018" s="101">
        <f t="shared" ref="AJ1018:BO1018" si="201">IF(AJ$946=1,IF(AJ$1000=1,Total_annual_AMI_cost*Price_adjustment*((GDP_capita/GDP_capita_base)^Income_elasticity_in),Total_annual_AMI_cost*Price_adjustment*((INDEX(GDP_capita,1,MATCH(Current_year_in,$D$997:$CP$997,0))/GDP_capita_base)^Income_elasticity_in)),0)</f>
        <v>0</v>
      </c>
      <c r="AK1018" s="101">
        <f t="shared" si="201"/>
        <v>0</v>
      </c>
      <c r="AL1018" s="101">
        <f t="shared" si="201"/>
        <v>0</v>
      </c>
      <c r="AM1018" s="101">
        <f t="shared" si="201"/>
        <v>0</v>
      </c>
      <c r="AN1018" s="101">
        <f t="shared" si="201"/>
        <v>0</v>
      </c>
      <c r="AO1018" s="101">
        <f t="shared" si="201"/>
        <v>0</v>
      </c>
      <c r="AP1018" s="101">
        <f t="shared" si="201"/>
        <v>0</v>
      </c>
      <c r="AQ1018" s="101">
        <f t="shared" si="201"/>
        <v>0</v>
      </c>
      <c r="AR1018" s="101">
        <f t="shared" si="201"/>
        <v>0</v>
      </c>
      <c r="AS1018" s="101">
        <f t="shared" si="201"/>
        <v>0</v>
      </c>
      <c r="AT1018" s="101">
        <f t="shared" si="201"/>
        <v>0</v>
      </c>
      <c r="AU1018" s="101">
        <f t="shared" si="201"/>
        <v>0</v>
      </c>
      <c r="AV1018" s="101">
        <f t="shared" si="201"/>
        <v>0</v>
      </c>
      <c r="AW1018" s="101">
        <f t="shared" si="201"/>
        <v>0</v>
      </c>
      <c r="AX1018" s="101">
        <f t="shared" si="201"/>
        <v>0</v>
      </c>
      <c r="AY1018" s="101">
        <f t="shared" si="201"/>
        <v>0</v>
      </c>
      <c r="AZ1018" s="101">
        <f t="shared" si="201"/>
        <v>0</v>
      </c>
      <c r="BA1018" s="101">
        <f t="shared" si="201"/>
        <v>0</v>
      </c>
      <c r="BB1018" s="101">
        <f t="shared" si="201"/>
        <v>0</v>
      </c>
      <c r="BC1018" s="101">
        <f t="shared" si="201"/>
        <v>0</v>
      </c>
      <c r="BD1018" s="101">
        <f t="shared" si="201"/>
        <v>0</v>
      </c>
      <c r="BE1018" s="101">
        <f t="shared" si="201"/>
        <v>0</v>
      </c>
      <c r="BF1018" s="101">
        <f t="shared" si="201"/>
        <v>0</v>
      </c>
      <c r="BG1018" s="101">
        <f t="shared" si="201"/>
        <v>0</v>
      </c>
      <c r="BH1018" s="101">
        <f t="shared" si="201"/>
        <v>0</v>
      </c>
      <c r="BI1018" s="101">
        <f t="shared" si="201"/>
        <v>0</v>
      </c>
      <c r="BJ1018" s="101">
        <f t="shared" si="201"/>
        <v>0</v>
      </c>
      <c r="BK1018" s="101">
        <f t="shared" si="201"/>
        <v>0</v>
      </c>
      <c r="BL1018" s="101">
        <f t="shared" si="201"/>
        <v>0</v>
      </c>
      <c r="BM1018" s="101">
        <f t="shared" si="201"/>
        <v>0</v>
      </c>
      <c r="BN1018" s="101">
        <f t="shared" si="201"/>
        <v>0</v>
      </c>
      <c r="BO1018" s="101">
        <f t="shared" si="201"/>
        <v>0</v>
      </c>
      <c r="BP1018" s="101">
        <f t="shared" ref="BP1018:CP1018" si="202">IF(BP$946=1,IF(BP$1000=1,Total_annual_AMI_cost*Price_adjustment*((GDP_capita/GDP_capita_base)^Income_elasticity_in),Total_annual_AMI_cost*Price_adjustment*((INDEX(GDP_capita,1,MATCH(Current_year_in,$D$997:$CP$997,0))/GDP_capita_base)^Income_elasticity_in)),0)</f>
        <v>0</v>
      </c>
      <c r="BQ1018" s="101">
        <f t="shared" si="202"/>
        <v>0</v>
      </c>
      <c r="BR1018" s="101">
        <f t="shared" si="202"/>
        <v>0</v>
      </c>
      <c r="BS1018" s="101">
        <f t="shared" si="202"/>
        <v>0</v>
      </c>
      <c r="BT1018" s="101">
        <f t="shared" si="202"/>
        <v>0</v>
      </c>
      <c r="BU1018" s="101">
        <f t="shared" si="202"/>
        <v>0</v>
      </c>
      <c r="BV1018" s="101">
        <f t="shared" si="202"/>
        <v>0</v>
      </c>
      <c r="BW1018" s="101">
        <f t="shared" si="202"/>
        <v>0</v>
      </c>
      <c r="BX1018" s="101">
        <f t="shared" si="202"/>
        <v>0</v>
      </c>
      <c r="BY1018" s="101">
        <f t="shared" si="202"/>
        <v>0</v>
      </c>
      <c r="BZ1018" s="101">
        <f t="shared" si="202"/>
        <v>0</v>
      </c>
      <c r="CA1018" s="101">
        <f t="shared" si="202"/>
        <v>0</v>
      </c>
      <c r="CB1018" s="101">
        <f t="shared" si="202"/>
        <v>0</v>
      </c>
      <c r="CC1018" s="101">
        <f t="shared" si="202"/>
        <v>0</v>
      </c>
      <c r="CD1018" s="101">
        <f t="shared" si="202"/>
        <v>0</v>
      </c>
      <c r="CE1018" s="101">
        <f t="shared" si="202"/>
        <v>0</v>
      </c>
      <c r="CF1018" s="101">
        <f t="shared" si="202"/>
        <v>0</v>
      </c>
      <c r="CG1018" s="101">
        <f t="shared" si="202"/>
        <v>0</v>
      </c>
      <c r="CH1018" s="101">
        <f t="shared" si="202"/>
        <v>0</v>
      </c>
      <c r="CI1018" s="101">
        <f t="shared" si="202"/>
        <v>0</v>
      </c>
      <c r="CJ1018" s="101">
        <f t="shared" si="202"/>
        <v>0</v>
      </c>
      <c r="CK1018" s="101">
        <f t="shared" si="202"/>
        <v>0</v>
      </c>
      <c r="CL1018" s="101">
        <f t="shared" si="202"/>
        <v>0</v>
      </c>
      <c r="CM1018" s="101">
        <f t="shared" si="202"/>
        <v>0</v>
      </c>
      <c r="CN1018" s="101">
        <f t="shared" si="202"/>
        <v>0</v>
      </c>
      <c r="CO1018" s="101">
        <f t="shared" si="202"/>
        <v>0</v>
      </c>
      <c r="CP1018" s="101">
        <f t="shared" si="202"/>
        <v>0</v>
      </c>
      <c r="CQ1018" s="3" t="s">
        <v>328</v>
      </c>
    </row>
    <row r="1019" spans="1:95" ht="14.5" x14ac:dyDescent="0.35">
      <c r="A1019" s="102"/>
      <c r="B1019" s="102" t="s">
        <v>149</v>
      </c>
      <c r="C1019" s="102"/>
      <c r="D1019" s="101">
        <f t="shared" ref="D1019:AI1019" si="203">IF(D$946=1,IF(D$1000=1,Total_annual_stroke_cost*Price_adjustment*((GDP_capita/GDP_capita_base)^Income_elasticity_in),Total_annual_stroke_cost*Price_adjustment*((INDEX(GDP_capita,1,MATCH(Current_year_in,$D$997:$CP$997,0))/GDP_capita_base)^Income_elasticity_in)),0)</f>
        <v>0</v>
      </c>
      <c r="E1019" s="101">
        <f t="shared" si="203"/>
        <v>0</v>
      </c>
      <c r="F1019" s="101">
        <f t="shared" si="203"/>
        <v>0</v>
      </c>
      <c r="G1019" s="101">
        <f t="shared" si="203"/>
        <v>0</v>
      </c>
      <c r="H1019" s="101">
        <f t="shared" si="203"/>
        <v>0</v>
      </c>
      <c r="I1019" s="101">
        <f t="shared" si="203"/>
        <v>0</v>
      </c>
      <c r="J1019" s="101">
        <f t="shared" si="203"/>
        <v>0</v>
      </c>
      <c r="K1019" s="101">
        <f t="shared" si="203"/>
        <v>0</v>
      </c>
      <c r="L1019" s="101">
        <f t="shared" si="203"/>
        <v>0</v>
      </c>
      <c r="M1019" s="101">
        <f t="shared" si="203"/>
        <v>0</v>
      </c>
      <c r="N1019" s="101">
        <f t="shared" si="203"/>
        <v>0</v>
      </c>
      <c r="O1019" s="101">
        <f t="shared" si="203"/>
        <v>0</v>
      </c>
      <c r="P1019" s="101">
        <f t="shared" si="203"/>
        <v>0</v>
      </c>
      <c r="Q1019" s="101">
        <f t="shared" si="203"/>
        <v>0</v>
      </c>
      <c r="R1019" s="101">
        <f t="shared" si="203"/>
        <v>0</v>
      </c>
      <c r="S1019" s="101">
        <f t="shared" si="203"/>
        <v>0</v>
      </c>
      <c r="T1019" s="101">
        <f t="shared" si="203"/>
        <v>0</v>
      </c>
      <c r="U1019" s="101">
        <f t="shared" si="203"/>
        <v>0</v>
      </c>
      <c r="V1019" s="101">
        <f t="shared" si="203"/>
        <v>0</v>
      </c>
      <c r="W1019" s="101">
        <f t="shared" si="203"/>
        <v>0</v>
      </c>
      <c r="X1019" s="101">
        <f t="shared" si="203"/>
        <v>0</v>
      </c>
      <c r="Y1019" s="101">
        <f t="shared" si="203"/>
        <v>0</v>
      </c>
      <c r="Z1019" s="101">
        <f t="shared" si="203"/>
        <v>0</v>
      </c>
      <c r="AA1019" s="101">
        <f t="shared" si="203"/>
        <v>0</v>
      </c>
      <c r="AB1019" s="101">
        <f t="shared" si="203"/>
        <v>0</v>
      </c>
      <c r="AC1019" s="101">
        <f t="shared" si="203"/>
        <v>0</v>
      </c>
      <c r="AD1019" s="101">
        <f t="shared" si="203"/>
        <v>0</v>
      </c>
      <c r="AE1019" s="101">
        <f t="shared" si="203"/>
        <v>0</v>
      </c>
      <c r="AF1019" s="101">
        <f t="shared" si="203"/>
        <v>0</v>
      </c>
      <c r="AG1019" s="101">
        <f t="shared" si="203"/>
        <v>0</v>
      </c>
      <c r="AH1019" s="101">
        <f t="shared" si="203"/>
        <v>0</v>
      </c>
      <c r="AI1019" s="101">
        <f t="shared" si="203"/>
        <v>0</v>
      </c>
      <c r="AJ1019" s="101">
        <f t="shared" ref="AJ1019:BO1019" si="204">IF(AJ$946=1,IF(AJ$1000=1,Total_annual_stroke_cost*Price_adjustment*((GDP_capita/GDP_capita_base)^Income_elasticity_in),Total_annual_stroke_cost*Price_adjustment*((INDEX(GDP_capita,1,MATCH(Current_year_in,$D$997:$CP$997,0))/GDP_capita_base)^Income_elasticity_in)),0)</f>
        <v>0</v>
      </c>
      <c r="AK1019" s="101">
        <f t="shared" si="204"/>
        <v>0</v>
      </c>
      <c r="AL1019" s="101">
        <f t="shared" si="204"/>
        <v>0</v>
      </c>
      <c r="AM1019" s="101">
        <f t="shared" si="204"/>
        <v>0</v>
      </c>
      <c r="AN1019" s="101">
        <f t="shared" si="204"/>
        <v>0</v>
      </c>
      <c r="AO1019" s="101">
        <f t="shared" si="204"/>
        <v>0</v>
      </c>
      <c r="AP1019" s="101">
        <f t="shared" si="204"/>
        <v>0</v>
      </c>
      <c r="AQ1019" s="101">
        <f t="shared" si="204"/>
        <v>0</v>
      </c>
      <c r="AR1019" s="101">
        <f t="shared" si="204"/>
        <v>0</v>
      </c>
      <c r="AS1019" s="101">
        <f t="shared" si="204"/>
        <v>0</v>
      </c>
      <c r="AT1019" s="101">
        <f t="shared" si="204"/>
        <v>0</v>
      </c>
      <c r="AU1019" s="101">
        <f t="shared" si="204"/>
        <v>0</v>
      </c>
      <c r="AV1019" s="101">
        <f t="shared" si="204"/>
        <v>0</v>
      </c>
      <c r="AW1019" s="101">
        <f t="shared" si="204"/>
        <v>0</v>
      </c>
      <c r="AX1019" s="101">
        <f t="shared" si="204"/>
        <v>0</v>
      </c>
      <c r="AY1019" s="101">
        <f t="shared" si="204"/>
        <v>0</v>
      </c>
      <c r="AZ1019" s="101">
        <f t="shared" si="204"/>
        <v>0</v>
      </c>
      <c r="BA1019" s="101">
        <f t="shared" si="204"/>
        <v>0</v>
      </c>
      <c r="BB1019" s="101">
        <f t="shared" si="204"/>
        <v>0</v>
      </c>
      <c r="BC1019" s="101">
        <f t="shared" si="204"/>
        <v>0</v>
      </c>
      <c r="BD1019" s="101">
        <f t="shared" si="204"/>
        <v>0</v>
      </c>
      <c r="BE1019" s="101">
        <f t="shared" si="204"/>
        <v>0</v>
      </c>
      <c r="BF1019" s="101">
        <f t="shared" si="204"/>
        <v>0</v>
      </c>
      <c r="BG1019" s="101">
        <f t="shared" si="204"/>
        <v>0</v>
      </c>
      <c r="BH1019" s="101">
        <f t="shared" si="204"/>
        <v>0</v>
      </c>
      <c r="BI1019" s="101">
        <f t="shared" si="204"/>
        <v>0</v>
      </c>
      <c r="BJ1019" s="101">
        <f t="shared" si="204"/>
        <v>0</v>
      </c>
      <c r="BK1019" s="101">
        <f t="shared" si="204"/>
        <v>0</v>
      </c>
      <c r="BL1019" s="101">
        <f t="shared" si="204"/>
        <v>0</v>
      </c>
      <c r="BM1019" s="101">
        <f t="shared" si="204"/>
        <v>0</v>
      </c>
      <c r="BN1019" s="101">
        <f t="shared" si="204"/>
        <v>0</v>
      </c>
      <c r="BO1019" s="101">
        <f t="shared" si="204"/>
        <v>0</v>
      </c>
      <c r="BP1019" s="101">
        <f t="shared" ref="BP1019:CP1019" si="205">IF(BP$946=1,IF(BP$1000=1,Total_annual_stroke_cost*Price_adjustment*((GDP_capita/GDP_capita_base)^Income_elasticity_in),Total_annual_stroke_cost*Price_adjustment*((INDEX(GDP_capita,1,MATCH(Current_year_in,$D$997:$CP$997,0))/GDP_capita_base)^Income_elasticity_in)),0)</f>
        <v>0</v>
      </c>
      <c r="BQ1019" s="101">
        <f t="shared" si="205"/>
        <v>0</v>
      </c>
      <c r="BR1019" s="101">
        <f t="shared" si="205"/>
        <v>0</v>
      </c>
      <c r="BS1019" s="101">
        <f t="shared" si="205"/>
        <v>0</v>
      </c>
      <c r="BT1019" s="101">
        <f t="shared" si="205"/>
        <v>0</v>
      </c>
      <c r="BU1019" s="101">
        <f t="shared" si="205"/>
        <v>0</v>
      </c>
      <c r="BV1019" s="101">
        <f t="shared" si="205"/>
        <v>0</v>
      </c>
      <c r="BW1019" s="101">
        <f t="shared" si="205"/>
        <v>0</v>
      </c>
      <c r="BX1019" s="101">
        <f t="shared" si="205"/>
        <v>0</v>
      </c>
      <c r="BY1019" s="101">
        <f t="shared" si="205"/>
        <v>0</v>
      </c>
      <c r="BZ1019" s="101">
        <f t="shared" si="205"/>
        <v>0</v>
      </c>
      <c r="CA1019" s="101">
        <f t="shared" si="205"/>
        <v>0</v>
      </c>
      <c r="CB1019" s="101">
        <f t="shared" si="205"/>
        <v>0</v>
      </c>
      <c r="CC1019" s="101">
        <f t="shared" si="205"/>
        <v>0</v>
      </c>
      <c r="CD1019" s="101">
        <f t="shared" si="205"/>
        <v>0</v>
      </c>
      <c r="CE1019" s="101">
        <f t="shared" si="205"/>
        <v>0</v>
      </c>
      <c r="CF1019" s="101">
        <f t="shared" si="205"/>
        <v>0</v>
      </c>
      <c r="CG1019" s="101">
        <f t="shared" si="205"/>
        <v>0</v>
      </c>
      <c r="CH1019" s="101">
        <f t="shared" si="205"/>
        <v>0</v>
      </c>
      <c r="CI1019" s="101">
        <f t="shared" si="205"/>
        <v>0</v>
      </c>
      <c r="CJ1019" s="101">
        <f t="shared" si="205"/>
        <v>0</v>
      </c>
      <c r="CK1019" s="101">
        <f t="shared" si="205"/>
        <v>0</v>
      </c>
      <c r="CL1019" s="101">
        <f t="shared" si="205"/>
        <v>0</v>
      </c>
      <c r="CM1019" s="101">
        <f t="shared" si="205"/>
        <v>0</v>
      </c>
      <c r="CN1019" s="101">
        <f t="shared" si="205"/>
        <v>0</v>
      </c>
      <c r="CO1019" s="101">
        <f t="shared" si="205"/>
        <v>0</v>
      </c>
      <c r="CP1019" s="101">
        <f t="shared" si="205"/>
        <v>0</v>
      </c>
      <c r="CQ1019" s="3" t="s">
        <v>329</v>
      </c>
    </row>
    <row r="1020" spans="1:95" ht="14.5" x14ac:dyDescent="0.35">
      <c r="A1020" s="102"/>
      <c r="B1020" s="102" t="s">
        <v>151</v>
      </c>
      <c r="C1020" s="102"/>
      <c r="D1020" s="101">
        <f t="shared" ref="D1020:AI1020" si="206">IF(D$946=1,IF(D$1000=1,Total_annual_dementia_cost*Price_adjustment*((GDP_capita/GDP_capita_base)^Income_elasticity_in),Total_annual_dementia_cost*Price_adjustment*((INDEX(GDP_capita,1,MATCH(Current_year_in,$D$997:$CP$997,0))/GDP_capita_base)^Income_elasticity_in)),0)</f>
        <v>0</v>
      </c>
      <c r="E1020" s="101">
        <f t="shared" si="206"/>
        <v>0</v>
      </c>
      <c r="F1020" s="101">
        <f t="shared" si="206"/>
        <v>0</v>
      </c>
      <c r="G1020" s="101">
        <f t="shared" si="206"/>
        <v>0</v>
      </c>
      <c r="H1020" s="101">
        <f t="shared" si="206"/>
        <v>0</v>
      </c>
      <c r="I1020" s="101">
        <f t="shared" si="206"/>
        <v>0</v>
      </c>
      <c r="J1020" s="101">
        <f t="shared" si="206"/>
        <v>0</v>
      </c>
      <c r="K1020" s="101">
        <f t="shared" si="206"/>
        <v>0</v>
      </c>
      <c r="L1020" s="101">
        <f t="shared" si="206"/>
        <v>0</v>
      </c>
      <c r="M1020" s="101">
        <f t="shared" si="206"/>
        <v>0</v>
      </c>
      <c r="N1020" s="101">
        <f t="shared" si="206"/>
        <v>0</v>
      </c>
      <c r="O1020" s="101">
        <f t="shared" si="206"/>
        <v>0</v>
      </c>
      <c r="P1020" s="101">
        <f t="shared" si="206"/>
        <v>0</v>
      </c>
      <c r="Q1020" s="101">
        <f t="shared" si="206"/>
        <v>0</v>
      </c>
      <c r="R1020" s="101">
        <f t="shared" si="206"/>
        <v>0</v>
      </c>
      <c r="S1020" s="101">
        <f t="shared" si="206"/>
        <v>0</v>
      </c>
      <c r="T1020" s="101">
        <f t="shared" si="206"/>
        <v>0</v>
      </c>
      <c r="U1020" s="101">
        <f t="shared" si="206"/>
        <v>0</v>
      </c>
      <c r="V1020" s="101">
        <f t="shared" si="206"/>
        <v>0</v>
      </c>
      <c r="W1020" s="101">
        <f t="shared" si="206"/>
        <v>0</v>
      </c>
      <c r="X1020" s="101">
        <f t="shared" si="206"/>
        <v>0</v>
      </c>
      <c r="Y1020" s="101">
        <f t="shared" si="206"/>
        <v>0</v>
      </c>
      <c r="Z1020" s="101">
        <f t="shared" si="206"/>
        <v>0</v>
      </c>
      <c r="AA1020" s="101">
        <f t="shared" si="206"/>
        <v>0</v>
      </c>
      <c r="AB1020" s="101">
        <f t="shared" si="206"/>
        <v>0</v>
      </c>
      <c r="AC1020" s="101">
        <f t="shared" si="206"/>
        <v>0</v>
      </c>
      <c r="AD1020" s="101">
        <f t="shared" si="206"/>
        <v>0</v>
      </c>
      <c r="AE1020" s="101">
        <f t="shared" si="206"/>
        <v>0</v>
      </c>
      <c r="AF1020" s="101">
        <f t="shared" si="206"/>
        <v>0</v>
      </c>
      <c r="AG1020" s="101">
        <f t="shared" si="206"/>
        <v>0</v>
      </c>
      <c r="AH1020" s="101">
        <f t="shared" si="206"/>
        <v>0</v>
      </c>
      <c r="AI1020" s="101">
        <f t="shared" si="206"/>
        <v>0</v>
      </c>
      <c r="AJ1020" s="101">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1">
        <f t="shared" si="207"/>
        <v>0</v>
      </c>
      <c r="AL1020" s="101">
        <f t="shared" si="207"/>
        <v>0</v>
      </c>
      <c r="AM1020" s="101">
        <f t="shared" si="207"/>
        <v>0</v>
      </c>
      <c r="AN1020" s="101">
        <f t="shared" si="207"/>
        <v>0</v>
      </c>
      <c r="AO1020" s="101">
        <f t="shared" si="207"/>
        <v>0</v>
      </c>
      <c r="AP1020" s="101">
        <f t="shared" si="207"/>
        <v>0</v>
      </c>
      <c r="AQ1020" s="101">
        <f t="shared" si="207"/>
        <v>0</v>
      </c>
      <c r="AR1020" s="101">
        <f t="shared" si="207"/>
        <v>0</v>
      </c>
      <c r="AS1020" s="101">
        <f t="shared" si="207"/>
        <v>0</v>
      </c>
      <c r="AT1020" s="101">
        <f t="shared" si="207"/>
        <v>0</v>
      </c>
      <c r="AU1020" s="101">
        <f t="shared" si="207"/>
        <v>0</v>
      </c>
      <c r="AV1020" s="101">
        <f t="shared" si="207"/>
        <v>0</v>
      </c>
      <c r="AW1020" s="101">
        <f t="shared" si="207"/>
        <v>0</v>
      </c>
      <c r="AX1020" s="101">
        <f t="shared" si="207"/>
        <v>0</v>
      </c>
      <c r="AY1020" s="101">
        <f t="shared" si="207"/>
        <v>0</v>
      </c>
      <c r="AZ1020" s="101">
        <f t="shared" si="207"/>
        <v>0</v>
      </c>
      <c r="BA1020" s="101">
        <f t="shared" si="207"/>
        <v>0</v>
      </c>
      <c r="BB1020" s="101">
        <f t="shared" si="207"/>
        <v>0</v>
      </c>
      <c r="BC1020" s="101">
        <f t="shared" si="207"/>
        <v>0</v>
      </c>
      <c r="BD1020" s="101">
        <f t="shared" si="207"/>
        <v>0</v>
      </c>
      <c r="BE1020" s="101">
        <f t="shared" si="207"/>
        <v>0</v>
      </c>
      <c r="BF1020" s="101">
        <f t="shared" si="207"/>
        <v>0</v>
      </c>
      <c r="BG1020" s="101">
        <f t="shared" si="207"/>
        <v>0</v>
      </c>
      <c r="BH1020" s="101">
        <f t="shared" si="207"/>
        <v>0</v>
      </c>
      <c r="BI1020" s="101">
        <f t="shared" si="207"/>
        <v>0</v>
      </c>
      <c r="BJ1020" s="101">
        <f t="shared" si="207"/>
        <v>0</v>
      </c>
      <c r="BK1020" s="101">
        <f t="shared" si="207"/>
        <v>0</v>
      </c>
      <c r="BL1020" s="101">
        <f t="shared" si="207"/>
        <v>0</v>
      </c>
      <c r="BM1020" s="101">
        <f t="shared" si="207"/>
        <v>0</v>
      </c>
      <c r="BN1020" s="101">
        <f t="shared" si="207"/>
        <v>0</v>
      </c>
      <c r="BO1020" s="101">
        <f t="shared" si="207"/>
        <v>0</v>
      </c>
      <c r="BP1020" s="101">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1">
        <f t="shared" si="208"/>
        <v>0</v>
      </c>
      <c r="BR1020" s="101">
        <f t="shared" si="208"/>
        <v>0</v>
      </c>
      <c r="BS1020" s="101">
        <f t="shared" si="208"/>
        <v>0</v>
      </c>
      <c r="BT1020" s="101">
        <f t="shared" si="208"/>
        <v>0</v>
      </c>
      <c r="BU1020" s="101">
        <f t="shared" si="208"/>
        <v>0</v>
      </c>
      <c r="BV1020" s="101">
        <f t="shared" si="208"/>
        <v>0</v>
      </c>
      <c r="BW1020" s="101">
        <f t="shared" si="208"/>
        <v>0</v>
      </c>
      <c r="BX1020" s="101">
        <f t="shared" si="208"/>
        <v>0</v>
      </c>
      <c r="BY1020" s="101">
        <f t="shared" si="208"/>
        <v>0</v>
      </c>
      <c r="BZ1020" s="101">
        <f t="shared" si="208"/>
        <v>0</v>
      </c>
      <c r="CA1020" s="101">
        <f t="shared" si="208"/>
        <v>0</v>
      </c>
      <c r="CB1020" s="101">
        <f t="shared" si="208"/>
        <v>0</v>
      </c>
      <c r="CC1020" s="101">
        <f t="shared" si="208"/>
        <v>0</v>
      </c>
      <c r="CD1020" s="101">
        <f t="shared" si="208"/>
        <v>0</v>
      </c>
      <c r="CE1020" s="101">
        <f t="shared" si="208"/>
        <v>0</v>
      </c>
      <c r="CF1020" s="101">
        <f t="shared" si="208"/>
        <v>0</v>
      </c>
      <c r="CG1020" s="101">
        <f t="shared" si="208"/>
        <v>0</v>
      </c>
      <c r="CH1020" s="101">
        <f t="shared" si="208"/>
        <v>0</v>
      </c>
      <c r="CI1020" s="101">
        <f t="shared" si="208"/>
        <v>0</v>
      </c>
      <c r="CJ1020" s="101">
        <f t="shared" si="208"/>
        <v>0</v>
      </c>
      <c r="CK1020" s="101">
        <f t="shared" si="208"/>
        <v>0</v>
      </c>
      <c r="CL1020" s="101">
        <f t="shared" si="208"/>
        <v>0</v>
      </c>
      <c r="CM1020" s="101">
        <f t="shared" si="208"/>
        <v>0</v>
      </c>
      <c r="CN1020" s="101">
        <f t="shared" si="208"/>
        <v>0</v>
      </c>
      <c r="CO1020" s="101">
        <f t="shared" si="208"/>
        <v>0</v>
      </c>
      <c r="CP1020" s="101">
        <f t="shared" si="208"/>
        <v>0</v>
      </c>
      <c r="CQ1020" s="3" t="s">
        <v>330</v>
      </c>
    </row>
    <row r="1021" spans="1:95" ht="14.5" x14ac:dyDescent="0.35">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5" x14ac:dyDescent="0.35">
      <c r="B1022" s="5" t="s">
        <v>331</v>
      </c>
    </row>
    <row r="1023" spans="1:95" ht="14.5" x14ac:dyDescent="0.35">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5" x14ac:dyDescent="0.35">
      <c r="A1024" s="102"/>
      <c r="B1024" s="102" t="s">
        <v>332</v>
      </c>
      <c r="C1024" s="11">
        <f>Default_HH_size_in</f>
        <v>2.2999999999999998</v>
      </c>
      <c r="D1024" s="3" t="s">
        <v>333</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5" x14ac:dyDescent="0.3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2"/>
      <c r="B1026" s="102" t="s">
        <v>189</v>
      </c>
      <c r="C1026" s="102"/>
      <c r="D1026" s="120">
        <f t="shared" ref="D1026:BO1026" si="209">Household_size_user_input_in</f>
        <v>2.2999999999999998</v>
      </c>
      <c r="E1026" s="120">
        <f t="shared" si="209"/>
        <v>2.2999999999999998</v>
      </c>
      <c r="F1026" s="120">
        <f t="shared" si="209"/>
        <v>2.2999999999999998</v>
      </c>
      <c r="G1026" s="120">
        <f t="shared" si="209"/>
        <v>2.2999999999999998</v>
      </c>
      <c r="H1026" s="120">
        <f t="shared" si="209"/>
        <v>2.2999999999999998</v>
      </c>
      <c r="I1026" s="120">
        <f t="shared" si="209"/>
        <v>2.2999999999999998</v>
      </c>
      <c r="J1026" s="120">
        <f t="shared" si="209"/>
        <v>2.2999999999999998</v>
      </c>
      <c r="K1026" s="120">
        <f t="shared" si="209"/>
        <v>2.2999999999999998</v>
      </c>
      <c r="L1026" s="120">
        <f t="shared" si="209"/>
        <v>2.2999999999999998</v>
      </c>
      <c r="M1026" s="120">
        <f t="shared" si="209"/>
        <v>2.2999999999999998</v>
      </c>
      <c r="N1026" s="120">
        <f t="shared" si="209"/>
        <v>2.2999999999999998</v>
      </c>
      <c r="O1026" s="120">
        <f t="shared" si="209"/>
        <v>2.2999999999999998</v>
      </c>
      <c r="P1026" s="120">
        <f t="shared" si="209"/>
        <v>2.2999999999999998</v>
      </c>
      <c r="Q1026" s="120">
        <f t="shared" si="209"/>
        <v>2.2999999999999998</v>
      </c>
      <c r="R1026" s="120">
        <f t="shared" si="209"/>
        <v>2.2999999999999998</v>
      </c>
      <c r="S1026" s="120">
        <f t="shared" si="209"/>
        <v>2.2999999999999998</v>
      </c>
      <c r="T1026" s="120">
        <f t="shared" si="209"/>
        <v>2.2999999999999998</v>
      </c>
      <c r="U1026" s="120">
        <f t="shared" si="209"/>
        <v>2.2999999999999998</v>
      </c>
      <c r="V1026" s="120">
        <f t="shared" si="209"/>
        <v>2.2999999999999998</v>
      </c>
      <c r="W1026" s="120">
        <f t="shared" si="209"/>
        <v>2.2999999999999998</v>
      </c>
      <c r="X1026" s="120">
        <f t="shared" si="209"/>
        <v>2.2999999999999998</v>
      </c>
      <c r="Y1026" s="120">
        <f t="shared" si="209"/>
        <v>2.2999999999999998</v>
      </c>
      <c r="Z1026" s="120">
        <f t="shared" si="209"/>
        <v>2.2999999999999998</v>
      </c>
      <c r="AA1026" s="120">
        <f t="shared" si="209"/>
        <v>2.2999999999999998</v>
      </c>
      <c r="AB1026" s="120">
        <f t="shared" si="209"/>
        <v>2.2999999999999998</v>
      </c>
      <c r="AC1026" s="120">
        <f t="shared" si="209"/>
        <v>2.2999999999999998</v>
      </c>
      <c r="AD1026" s="120">
        <f t="shared" si="209"/>
        <v>2.2999999999999998</v>
      </c>
      <c r="AE1026" s="120">
        <f t="shared" si="209"/>
        <v>2.2999999999999998</v>
      </c>
      <c r="AF1026" s="120">
        <f t="shared" si="209"/>
        <v>2.2999999999999998</v>
      </c>
      <c r="AG1026" s="120">
        <f t="shared" si="209"/>
        <v>2.2999999999999998</v>
      </c>
      <c r="AH1026" s="120">
        <f t="shared" si="209"/>
        <v>2.2999999999999998</v>
      </c>
      <c r="AI1026" s="120">
        <f t="shared" si="209"/>
        <v>2.2999999999999998</v>
      </c>
      <c r="AJ1026" s="120">
        <f t="shared" si="209"/>
        <v>2.2999999999999998</v>
      </c>
      <c r="AK1026" s="120">
        <f t="shared" si="209"/>
        <v>2.2999999999999998</v>
      </c>
      <c r="AL1026" s="120">
        <f t="shared" si="209"/>
        <v>2.2999999999999998</v>
      </c>
      <c r="AM1026" s="120">
        <f t="shared" si="209"/>
        <v>2.2999999999999998</v>
      </c>
      <c r="AN1026" s="120">
        <f t="shared" si="209"/>
        <v>2.2999999999999998</v>
      </c>
      <c r="AO1026" s="120">
        <f t="shared" si="209"/>
        <v>2.2999999999999998</v>
      </c>
      <c r="AP1026" s="120">
        <f t="shared" si="209"/>
        <v>2.2999999999999998</v>
      </c>
      <c r="AQ1026" s="120">
        <f t="shared" si="209"/>
        <v>2.2999999999999998</v>
      </c>
      <c r="AR1026" s="120">
        <f t="shared" si="209"/>
        <v>2.2999999999999998</v>
      </c>
      <c r="AS1026" s="120">
        <f t="shared" si="209"/>
        <v>2.2999999999999998</v>
      </c>
      <c r="AT1026" s="120">
        <f t="shared" si="209"/>
        <v>2.2999999999999998</v>
      </c>
      <c r="AU1026" s="120">
        <f t="shared" si="209"/>
        <v>2.2999999999999998</v>
      </c>
      <c r="AV1026" s="120">
        <f t="shared" si="209"/>
        <v>2.2999999999999998</v>
      </c>
      <c r="AW1026" s="120">
        <f t="shared" si="209"/>
        <v>2.2999999999999998</v>
      </c>
      <c r="AX1026" s="120">
        <f t="shared" si="209"/>
        <v>2.2999999999999998</v>
      </c>
      <c r="AY1026" s="120">
        <f t="shared" si="209"/>
        <v>2.2999999999999998</v>
      </c>
      <c r="AZ1026" s="120">
        <f t="shared" si="209"/>
        <v>2.2999999999999998</v>
      </c>
      <c r="BA1026" s="120">
        <f t="shared" si="209"/>
        <v>2.2999999999999998</v>
      </c>
      <c r="BB1026" s="120">
        <f t="shared" si="209"/>
        <v>2.2999999999999998</v>
      </c>
      <c r="BC1026" s="120">
        <f t="shared" si="209"/>
        <v>2.2999999999999998</v>
      </c>
      <c r="BD1026" s="120">
        <f t="shared" si="209"/>
        <v>2.2999999999999998</v>
      </c>
      <c r="BE1026" s="120">
        <f t="shared" si="209"/>
        <v>2.2999999999999998</v>
      </c>
      <c r="BF1026" s="120">
        <f t="shared" si="209"/>
        <v>2.2999999999999998</v>
      </c>
      <c r="BG1026" s="120">
        <f t="shared" si="209"/>
        <v>2.2999999999999998</v>
      </c>
      <c r="BH1026" s="120">
        <f t="shared" si="209"/>
        <v>2.2999999999999998</v>
      </c>
      <c r="BI1026" s="120">
        <f t="shared" si="209"/>
        <v>2.2999999999999998</v>
      </c>
      <c r="BJ1026" s="120">
        <f t="shared" si="209"/>
        <v>2.2999999999999998</v>
      </c>
      <c r="BK1026" s="120">
        <f t="shared" si="209"/>
        <v>2.2999999999999998</v>
      </c>
      <c r="BL1026" s="120">
        <f t="shared" si="209"/>
        <v>2.2999999999999998</v>
      </c>
      <c r="BM1026" s="120">
        <f t="shared" si="209"/>
        <v>2.2999999999999998</v>
      </c>
      <c r="BN1026" s="120">
        <f t="shared" si="209"/>
        <v>2.2999999999999998</v>
      </c>
      <c r="BO1026" s="120">
        <f t="shared" si="209"/>
        <v>2.2999999999999998</v>
      </c>
      <c r="BP1026" s="120">
        <f t="shared" ref="BP1026:CP1026" si="210">Household_size_user_input_in</f>
        <v>2.2999999999999998</v>
      </c>
      <c r="BQ1026" s="120">
        <f t="shared" si="210"/>
        <v>2.2999999999999998</v>
      </c>
      <c r="BR1026" s="120">
        <f t="shared" si="210"/>
        <v>2.2999999999999998</v>
      </c>
      <c r="BS1026" s="120">
        <f t="shared" si="210"/>
        <v>2.2999999999999998</v>
      </c>
      <c r="BT1026" s="120">
        <f t="shared" si="210"/>
        <v>2.2999999999999998</v>
      </c>
      <c r="BU1026" s="120">
        <f t="shared" si="210"/>
        <v>2.2999999999999998</v>
      </c>
      <c r="BV1026" s="120">
        <f t="shared" si="210"/>
        <v>2.2999999999999998</v>
      </c>
      <c r="BW1026" s="120">
        <f t="shared" si="210"/>
        <v>2.2999999999999998</v>
      </c>
      <c r="BX1026" s="120">
        <f t="shared" si="210"/>
        <v>2.2999999999999998</v>
      </c>
      <c r="BY1026" s="120">
        <f t="shared" si="210"/>
        <v>2.2999999999999998</v>
      </c>
      <c r="BZ1026" s="120">
        <f t="shared" si="210"/>
        <v>2.2999999999999998</v>
      </c>
      <c r="CA1026" s="120">
        <f t="shared" si="210"/>
        <v>2.2999999999999998</v>
      </c>
      <c r="CB1026" s="120">
        <f t="shared" si="210"/>
        <v>2.2999999999999998</v>
      </c>
      <c r="CC1026" s="120">
        <f t="shared" si="210"/>
        <v>2.2999999999999998</v>
      </c>
      <c r="CD1026" s="120">
        <f t="shared" si="210"/>
        <v>2.2999999999999998</v>
      </c>
      <c r="CE1026" s="120">
        <f t="shared" si="210"/>
        <v>2.2999999999999998</v>
      </c>
      <c r="CF1026" s="120">
        <f t="shared" si="210"/>
        <v>2.2999999999999998</v>
      </c>
      <c r="CG1026" s="120">
        <f t="shared" si="210"/>
        <v>2.2999999999999998</v>
      </c>
      <c r="CH1026" s="120">
        <f t="shared" si="210"/>
        <v>2.2999999999999998</v>
      </c>
      <c r="CI1026" s="120">
        <f t="shared" si="210"/>
        <v>2.2999999999999998</v>
      </c>
      <c r="CJ1026" s="120">
        <f t="shared" si="210"/>
        <v>2.2999999999999998</v>
      </c>
      <c r="CK1026" s="120">
        <f t="shared" si="210"/>
        <v>2.2999999999999998</v>
      </c>
      <c r="CL1026" s="120">
        <f t="shared" si="210"/>
        <v>2.2999999999999998</v>
      </c>
      <c r="CM1026" s="120">
        <f t="shared" si="210"/>
        <v>2.2999999999999998</v>
      </c>
      <c r="CN1026" s="120">
        <f t="shared" si="210"/>
        <v>2.2999999999999998</v>
      </c>
      <c r="CO1026" s="120">
        <f t="shared" si="210"/>
        <v>2.2999999999999998</v>
      </c>
      <c r="CP1026" s="120">
        <f t="shared" si="210"/>
        <v>2.2999999999999998</v>
      </c>
      <c r="CQ1026" s="20" t="s">
        <v>334</v>
      </c>
    </row>
    <row r="1027" spans="1:95" ht="14.5" x14ac:dyDescent="0.35">
      <c r="A1027" s="102"/>
      <c r="B1027" s="102" t="s">
        <v>335</v>
      </c>
      <c r="C1027" s="102"/>
      <c r="D1027" s="120">
        <f t="shared" ref="D1027:AI1027" si="211">Household_size_user_input/Default_HH_size</f>
        <v>1</v>
      </c>
      <c r="E1027" s="120">
        <f t="shared" si="211"/>
        <v>1</v>
      </c>
      <c r="F1027" s="120">
        <f t="shared" si="211"/>
        <v>1</v>
      </c>
      <c r="G1027" s="120">
        <f t="shared" si="211"/>
        <v>1</v>
      </c>
      <c r="H1027" s="120">
        <f t="shared" si="211"/>
        <v>1</v>
      </c>
      <c r="I1027" s="120">
        <f t="shared" si="211"/>
        <v>1</v>
      </c>
      <c r="J1027" s="120">
        <f t="shared" si="211"/>
        <v>1</v>
      </c>
      <c r="K1027" s="120">
        <f t="shared" si="211"/>
        <v>1</v>
      </c>
      <c r="L1027" s="120">
        <f t="shared" si="211"/>
        <v>1</v>
      </c>
      <c r="M1027" s="120">
        <f t="shared" si="211"/>
        <v>1</v>
      </c>
      <c r="N1027" s="120">
        <f t="shared" si="211"/>
        <v>1</v>
      </c>
      <c r="O1027" s="120">
        <f t="shared" si="211"/>
        <v>1</v>
      </c>
      <c r="P1027" s="120">
        <f t="shared" si="211"/>
        <v>1</v>
      </c>
      <c r="Q1027" s="120">
        <f t="shared" si="211"/>
        <v>1</v>
      </c>
      <c r="R1027" s="120">
        <f t="shared" si="211"/>
        <v>1</v>
      </c>
      <c r="S1027" s="120">
        <f t="shared" si="211"/>
        <v>1</v>
      </c>
      <c r="T1027" s="120">
        <f t="shared" si="211"/>
        <v>1</v>
      </c>
      <c r="U1027" s="120">
        <f t="shared" si="211"/>
        <v>1</v>
      </c>
      <c r="V1027" s="120">
        <f t="shared" si="211"/>
        <v>1</v>
      </c>
      <c r="W1027" s="120">
        <f t="shared" si="211"/>
        <v>1</v>
      </c>
      <c r="X1027" s="120">
        <f t="shared" si="211"/>
        <v>1</v>
      </c>
      <c r="Y1027" s="120">
        <f t="shared" si="211"/>
        <v>1</v>
      </c>
      <c r="Z1027" s="120">
        <f t="shared" si="211"/>
        <v>1</v>
      </c>
      <c r="AA1027" s="120">
        <f t="shared" si="211"/>
        <v>1</v>
      </c>
      <c r="AB1027" s="120">
        <f t="shared" si="211"/>
        <v>1</v>
      </c>
      <c r="AC1027" s="120">
        <f t="shared" si="211"/>
        <v>1</v>
      </c>
      <c r="AD1027" s="120">
        <f t="shared" si="211"/>
        <v>1</v>
      </c>
      <c r="AE1027" s="120">
        <f t="shared" si="211"/>
        <v>1</v>
      </c>
      <c r="AF1027" s="120">
        <f t="shared" si="211"/>
        <v>1</v>
      </c>
      <c r="AG1027" s="120">
        <f t="shared" si="211"/>
        <v>1</v>
      </c>
      <c r="AH1027" s="120">
        <f t="shared" si="211"/>
        <v>1</v>
      </c>
      <c r="AI1027" s="120">
        <f t="shared" si="211"/>
        <v>1</v>
      </c>
      <c r="AJ1027" s="120">
        <f t="shared" ref="AJ1027:BO1027" si="212">Household_size_user_input/Default_HH_size</f>
        <v>1</v>
      </c>
      <c r="AK1027" s="120">
        <f t="shared" si="212"/>
        <v>1</v>
      </c>
      <c r="AL1027" s="120">
        <f t="shared" si="212"/>
        <v>1</v>
      </c>
      <c r="AM1027" s="120">
        <f t="shared" si="212"/>
        <v>1</v>
      </c>
      <c r="AN1027" s="120">
        <f t="shared" si="212"/>
        <v>1</v>
      </c>
      <c r="AO1027" s="120">
        <f t="shared" si="212"/>
        <v>1</v>
      </c>
      <c r="AP1027" s="120">
        <f t="shared" si="212"/>
        <v>1</v>
      </c>
      <c r="AQ1027" s="120">
        <f t="shared" si="212"/>
        <v>1</v>
      </c>
      <c r="AR1027" s="120">
        <f t="shared" si="212"/>
        <v>1</v>
      </c>
      <c r="AS1027" s="120">
        <f t="shared" si="212"/>
        <v>1</v>
      </c>
      <c r="AT1027" s="120">
        <f t="shared" si="212"/>
        <v>1</v>
      </c>
      <c r="AU1027" s="120">
        <f t="shared" si="212"/>
        <v>1</v>
      </c>
      <c r="AV1027" s="120">
        <f t="shared" si="212"/>
        <v>1</v>
      </c>
      <c r="AW1027" s="120">
        <f t="shared" si="212"/>
        <v>1</v>
      </c>
      <c r="AX1027" s="120">
        <f t="shared" si="212"/>
        <v>1</v>
      </c>
      <c r="AY1027" s="120">
        <f t="shared" si="212"/>
        <v>1</v>
      </c>
      <c r="AZ1027" s="120">
        <f t="shared" si="212"/>
        <v>1</v>
      </c>
      <c r="BA1027" s="120">
        <f t="shared" si="212"/>
        <v>1</v>
      </c>
      <c r="BB1027" s="120">
        <f t="shared" si="212"/>
        <v>1</v>
      </c>
      <c r="BC1027" s="120">
        <f t="shared" si="212"/>
        <v>1</v>
      </c>
      <c r="BD1027" s="120">
        <f t="shared" si="212"/>
        <v>1</v>
      </c>
      <c r="BE1027" s="120">
        <f t="shared" si="212"/>
        <v>1</v>
      </c>
      <c r="BF1027" s="120">
        <f t="shared" si="212"/>
        <v>1</v>
      </c>
      <c r="BG1027" s="120">
        <f t="shared" si="212"/>
        <v>1</v>
      </c>
      <c r="BH1027" s="120">
        <f t="shared" si="212"/>
        <v>1</v>
      </c>
      <c r="BI1027" s="120">
        <f t="shared" si="212"/>
        <v>1</v>
      </c>
      <c r="BJ1027" s="120">
        <f t="shared" si="212"/>
        <v>1</v>
      </c>
      <c r="BK1027" s="120">
        <f t="shared" si="212"/>
        <v>1</v>
      </c>
      <c r="BL1027" s="120">
        <f t="shared" si="212"/>
        <v>1</v>
      </c>
      <c r="BM1027" s="120">
        <f t="shared" si="212"/>
        <v>1</v>
      </c>
      <c r="BN1027" s="120">
        <f t="shared" si="212"/>
        <v>1</v>
      </c>
      <c r="BO1027" s="120">
        <f t="shared" si="212"/>
        <v>1</v>
      </c>
      <c r="BP1027" s="120">
        <f t="shared" ref="BP1027:CP1027" si="213">Household_size_user_input/Default_HH_size</f>
        <v>1</v>
      </c>
      <c r="BQ1027" s="120">
        <f t="shared" si="213"/>
        <v>1</v>
      </c>
      <c r="BR1027" s="120">
        <f t="shared" si="213"/>
        <v>1</v>
      </c>
      <c r="BS1027" s="120">
        <f t="shared" si="213"/>
        <v>1</v>
      </c>
      <c r="BT1027" s="120">
        <f t="shared" si="213"/>
        <v>1</v>
      </c>
      <c r="BU1027" s="120">
        <f t="shared" si="213"/>
        <v>1</v>
      </c>
      <c r="BV1027" s="120">
        <f t="shared" si="213"/>
        <v>1</v>
      </c>
      <c r="BW1027" s="120">
        <f t="shared" si="213"/>
        <v>1</v>
      </c>
      <c r="BX1027" s="120">
        <f t="shared" si="213"/>
        <v>1</v>
      </c>
      <c r="BY1027" s="120">
        <f t="shared" si="213"/>
        <v>1</v>
      </c>
      <c r="BZ1027" s="120">
        <f t="shared" si="213"/>
        <v>1</v>
      </c>
      <c r="CA1027" s="120">
        <f t="shared" si="213"/>
        <v>1</v>
      </c>
      <c r="CB1027" s="120">
        <f t="shared" si="213"/>
        <v>1</v>
      </c>
      <c r="CC1027" s="120">
        <f t="shared" si="213"/>
        <v>1</v>
      </c>
      <c r="CD1027" s="120">
        <f t="shared" si="213"/>
        <v>1</v>
      </c>
      <c r="CE1027" s="120">
        <f t="shared" si="213"/>
        <v>1</v>
      </c>
      <c r="CF1027" s="120">
        <f t="shared" si="213"/>
        <v>1</v>
      </c>
      <c r="CG1027" s="120">
        <f t="shared" si="213"/>
        <v>1</v>
      </c>
      <c r="CH1027" s="120">
        <f t="shared" si="213"/>
        <v>1</v>
      </c>
      <c r="CI1027" s="120">
        <f t="shared" si="213"/>
        <v>1</v>
      </c>
      <c r="CJ1027" s="120">
        <f t="shared" si="213"/>
        <v>1</v>
      </c>
      <c r="CK1027" s="120">
        <f t="shared" si="213"/>
        <v>1</v>
      </c>
      <c r="CL1027" s="120">
        <f t="shared" si="213"/>
        <v>1</v>
      </c>
      <c r="CM1027" s="120">
        <f t="shared" si="213"/>
        <v>1</v>
      </c>
      <c r="CN1027" s="120">
        <f t="shared" si="213"/>
        <v>1</v>
      </c>
      <c r="CO1027" s="120">
        <f t="shared" si="213"/>
        <v>1</v>
      </c>
      <c r="CP1027" s="120">
        <f t="shared" si="213"/>
        <v>1</v>
      </c>
      <c r="CQ1027" s="3" t="s">
        <v>336</v>
      </c>
    </row>
    <row r="1028" spans="1:95" ht="14.5" x14ac:dyDescent="0.35">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5" x14ac:dyDescent="0.3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5" x14ac:dyDescent="0.35">
      <c r="A1030" s="102"/>
      <c r="B1030" s="102" t="s">
        <v>143</v>
      </c>
      <c r="C1030" s="102"/>
      <c r="D1030" s="101">
        <f>Annual_sleep_disturbance_valuation*Household_size_multiplier</f>
        <v>0</v>
      </c>
      <c r="E1030" s="101">
        <f t="shared" ref="E1030:AI1030" si="214">Annual_sleep_disturbance_valuation*Household_size_multiplier</f>
        <v>0</v>
      </c>
      <c r="F1030" s="101">
        <f t="shared" si="214"/>
        <v>0</v>
      </c>
      <c r="G1030" s="101">
        <f t="shared" si="214"/>
        <v>0</v>
      </c>
      <c r="H1030" s="101">
        <f t="shared" si="214"/>
        <v>0</v>
      </c>
      <c r="I1030" s="101">
        <f>Annual_sleep_disturbance_valuation*Household_size_multiplier</f>
        <v>0</v>
      </c>
      <c r="J1030" s="101">
        <f t="shared" si="214"/>
        <v>0</v>
      </c>
      <c r="K1030" s="101">
        <f t="shared" si="214"/>
        <v>0</v>
      </c>
      <c r="L1030" s="101">
        <f t="shared" si="214"/>
        <v>0</v>
      </c>
      <c r="M1030" s="101">
        <f t="shared" si="214"/>
        <v>0</v>
      </c>
      <c r="N1030" s="101">
        <f t="shared" si="214"/>
        <v>0</v>
      </c>
      <c r="O1030" s="101">
        <f t="shared" si="214"/>
        <v>0</v>
      </c>
      <c r="P1030" s="101">
        <f>Annual_sleep_disturbance_valuation*Household_size_multiplier</f>
        <v>0</v>
      </c>
      <c r="Q1030" s="101">
        <f t="shared" si="214"/>
        <v>0</v>
      </c>
      <c r="R1030" s="101">
        <f t="shared" si="214"/>
        <v>0</v>
      </c>
      <c r="S1030" s="101">
        <f t="shared" si="214"/>
        <v>0</v>
      </c>
      <c r="T1030" s="101">
        <f t="shared" si="214"/>
        <v>0</v>
      </c>
      <c r="U1030" s="101">
        <f t="shared" si="214"/>
        <v>0</v>
      </c>
      <c r="V1030" s="101">
        <f t="shared" si="214"/>
        <v>0</v>
      </c>
      <c r="W1030" s="101">
        <f t="shared" si="214"/>
        <v>0</v>
      </c>
      <c r="X1030" s="101">
        <f t="shared" si="214"/>
        <v>0</v>
      </c>
      <c r="Y1030" s="101">
        <f t="shared" si="214"/>
        <v>0</v>
      </c>
      <c r="Z1030" s="101">
        <f t="shared" si="214"/>
        <v>0</v>
      </c>
      <c r="AA1030" s="101">
        <f t="shared" si="214"/>
        <v>0</v>
      </c>
      <c r="AB1030" s="101">
        <f t="shared" si="214"/>
        <v>0</v>
      </c>
      <c r="AC1030" s="101">
        <f t="shared" si="214"/>
        <v>0</v>
      </c>
      <c r="AD1030" s="101">
        <f t="shared" si="214"/>
        <v>0</v>
      </c>
      <c r="AE1030" s="101">
        <f t="shared" si="214"/>
        <v>0</v>
      </c>
      <c r="AF1030" s="101">
        <f t="shared" si="214"/>
        <v>0</v>
      </c>
      <c r="AG1030" s="101">
        <f t="shared" si="214"/>
        <v>0</v>
      </c>
      <c r="AH1030" s="101">
        <f t="shared" si="214"/>
        <v>0</v>
      </c>
      <c r="AI1030" s="101">
        <f t="shared" si="214"/>
        <v>0</v>
      </c>
      <c r="AJ1030" s="101">
        <f t="shared" ref="AJ1030:BO1030" si="215">Annual_sleep_disturbance_valuation*Household_size_multiplier</f>
        <v>0</v>
      </c>
      <c r="AK1030" s="101">
        <f t="shared" si="215"/>
        <v>0</v>
      </c>
      <c r="AL1030" s="101">
        <f t="shared" si="215"/>
        <v>0</v>
      </c>
      <c r="AM1030" s="101">
        <f t="shared" si="215"/>
        <v>0</v>
      </c>
      <c r="AN1030" s="101">
        <f t="shared" si="215"/>
        <v>0</v>
      </c>
      <c r="AO1030" s="101">
        <f t="shared" si="215"/>
        <v>0</v>
      </c>
      <c r="AP1030" s="101">
        <f t="shared" si="215"/>
        <v>0</v>
      </c>
      <c r="AQ1030" s="101">
        <f t="shared" si="215"/>
        <v>0</v>
      </c>
      <c r="AR1030" s="101">
        <f t="shared" si="215"/>
        <v>0</v>
      </c>
      <c r="AS1030" s="101">
        <f t="shared" si="215"/>
        <v>0</v>
      </c>
      <c r="AT1030" s="101">
        <f t="shared" si="215"/>
        <v>0</v>
      </c>
      <c r="AU1030" s="101">
        <f t="shared" si="215"/>
        <v>0</v>
      </c>
      <c r="AV1030" s="101">
        <f t="shared" si="215"/>
        <v>0</v>
      </c>
      <c r="AW1030" s="101">
        <f t="shared" si="215"/>
        <v>0</v>
      </c>
      <c r="AX1030" s="101">
        <f t="shared" si="215"/>
        <v>0</v>
      </c>
      <c r="AY1030" s="101">
        <f t="shared" si="215"/>
        <v>0</v>
      </c>
      <c r="AZ1030" s="101">
        <f t="shared" si="215"/>
        <v>0</v>
      </c>
      <c r="BA1030" s="101">
        <f t="shared" si="215"/>
        <v>0</v>
      </c>
      <c r="BB1030" s="101">
        <f t="shared" si="215"/>
        <v>0</v>
      </c>
      <c r="BC1030" s="101">
        <f t="shared" si="215"/>
        <v>0</v>
      </c>
      <c r="BD1030" s="101">
        <f t="shared" si="215"/>
        <v>0</v>
      </c>
      <c r="BE1030" s="101">
        <f t="shared" si="215"/>
        <v>0</v>
      </c>
      <c r="BF1030" s="101">
        <f t="shared" si="215"/>
        <v>0</v>
      </c>
      <c r="BG1030" s="101">
        <f t="shared" si="215"/>
        <v>0</v>
      </c>
      <c r="BH1030" s="101">
        <f t="shared" si="215"/>
        <v>0</v>
      </c>
      <c r="BI1030" s="101">
        <f t="shared" si="215"/>
        <v>0</v>
      </c>
      <c r="BJ1030" s="101">
        <f t="shared" si="215"/>
        <v>0</v>
      </c>
      <c r="BK1030" s="101">
        <f t="shared" si="215"/>
        <v>0</v>
      </c>
      <c r="BL1030" s="101">
        <f t="shared" si="215"/>
        <v>0</v>
      </c>
      <c r="BM1030" s="101">
        <f t="shared" si="215"/>
        <v>0</v>
      </c>
      <c r="BN1030" s="101">
        <f t="shared" si="215"/>
        <v>0</v>
      </c>
      <c r="BO1030" s="101">
        <f t="shared" si="215"/>
        <v>0</v>
      </c>
      <c r="BP1030" s="101">
        <f t="shared" ref="BP1030:CP1030" si="216">Annual_sleep_disturbance_valuation*Household_size_multiplier</f>
        <v>0</v>
      </c>
      <c r="BQ1030" s="101">
        <f t="shared" si="216"/>
        <v>0</v>
      </c>
      <c r="BR1030" s="101">
        <f t="shared" si="216"/>
        <v>0</v>
      </c>
      <c r="BS1030" s="101">
        <f t="shared" si="216"/>
        <v>0</v>
      </c>
      <c r="BT1030" s="101">
        <f t="shared" si="216"/>
        <v>0</v>
      </c>
      <c r="BU1030" s="101">
        <f t="shared" si="216"/>
        <v>0</v>
      </c>
      <c r="BV1030" s="101">
        <f t="shared" si="216"/>
        <v>0</v>
      </c>
      <c r="BW1030" s="101">
        <f t="shared" si="216"/>
        <v>0</v>
      </c>
      <c r="BX1030" s="101">
        <f t="shared" si="216"/>
        <v>0</v>
      </c>
      <c r="BY1030" s="101">
        <f t="shared" si="216"/>
        <v>0</v>
      </c>
      <c r="BZ1030" s="101">
        <f t="shared" si="216"/>
        <v>0</v>
      </c>
      <c r="CA1030" s="101">
        <f t="shared" si="216"/>
        <v>0</v>
      </c>
      <c r="CB1030" s="101">
        <f t="shared" si="216"/>
        <v>0</v>
      </c>
      <c r="CC1030" s="101">
        <f t="shared" si="216"/>
        <v>0</v>
      </c>
      <c r="CD1030" s="101">
        <f t="shared" si="216"/>
        <v>0</v>
      </c>
      <c r="CE1030" s="101">
        <f t="shared" si="216"/>
        <v>0</v>
      </c>
      <c r="CF1030" s="101">
        <f t="shared" si="216"/>
        <v>0</v>
      </c>
      <c r="CG1030" s="101">
        <f t="shared" si="216"/>
        <v>0</v>
      </c>
      <c r="CH1030" s="101">
        <f t="shared" si="216"/>
        <v>0</v>
      </c>
      <c r="CI1030" s="101">
        <f t="shared" si="216"/>
        <v>0</v>
      </c>
      <c r="CJ1030" s="101">
        <f t="shared" si="216"/>
        <v>0</v>
      </c>
      <c r="CK1030" s="101">
        <f t="shared" si="216"/>
        <v>0</v>
      </c>
      <c r="CL1030" s="101">
        <f t="shared" si="216"/>
        <v>0</v>
      </c>
      <c r="CM1030" s="101">
        <f t="shared" si="216"/>
        <v>0</v>
      </c>
      <c r="CN1030" s="101">
        <f t="shared" si="216"/>
        <v>0</v>
      </c>
      <c r="CO1030" s="101">
        <f t="shared" si="216"/>
        <v>0</v>
      </c>
      <c r="CP1030" s="101">
        <f t="shared" si="216"/>
        <v>0</v>
      </c>
      <c r="CQ1030" s="3" t="s">
        <v>337</v>
      </c>
    </row>
    <row r="1031" spans="1:95" ht="14.5" x14ac:dyDescent="0.35">
      <c r="A1031" s="102"/>
      <c r="B1031" s="102" t="s">
        <v>145</v>
      </c>
      <c r="C1031" s="102"/>
      <c r="D1031" s="101">
        <f t="shared" ref="D1031:AI1031" si="217">Annual_amenity_valuation*Household_size_multiplier</f>
        <v>0</v>
      </c>
      <c r="E1031" s="101">
        <f t="shared" si="217"/>
        <v>0</v>
      </c>
      <c r="F1031" s="101">
        <f t="shared" si="217"/>
        <v>0</v>
      </c>
      <c r="G1031" s="101">
        <f t="shared" si="217"/>
        <v>0</v>
      </c>
      <c r="H1031" s="101">
        <f t="shared" si="217"/>
        <v>0</v>
      </c>
      <c r="I1031" s="101">
        <f>Annual_amenity_valuation*Household_size_multiplier</f>
        <v>0</v>
      </c>
      <c r="J1031" s="101">
        <f t="shared" si="217"/>
        <v>0</v>
      </c>
      <c r="K1031" s="101">
        <f t="shared" si="217"/>
        <v>0</v>
      </c>
      <c r="L1031" s="101">
        <f t="shared" si="217"/>
        <v>0</v>
      </c>
      <c r="M1031" s="101">
        <f t="shared" si="217"/>
        <v>0</v>
      </c>
      <c r="N1031" s="101">
        <f t="shared" si="217"/>
        <v>0</v>
      </c>
      <c r="O1031" s="101">
        <f t="shared" si="217"/>
        <v>0</v>
      </c>
      <c r="P1031" s="101">
        <f t="shared" si="217"/>
        <v>0</v>
      </c>
      <c r="Q1031" s="101">
        <f t="shared" si="217"/>
        <v>0</v>
      </c>
      <c r="R1031" s="101">
        <f t="shared" si="217"/>
        <v>0</v>
      </c>
      <c r="S1031" s="101">
        <f t="shared" si="217"/>
        <v>0</v>
      </c>
      <c r="T1031" s="101">
        <f t="shared" si="217"/>
        <v>0</v>
      </c>
      <c r="U1031" s="101">
        <f t="shared" si="217"/>
        <v>0</v>
      </c>
      <c r="V1031" s="101">
        <f t="shared" si="217"/>
        <v>0</v>
      </c>
      <c r="W1031" s="101">
        <f t="shared" si="217"/>
        <v>0</v>
      </c>
      <c r="X1031" s="101">
        <f t="shared" si="217"/>
        <v>0</v>
      </c>
      <c r="Y1031" s="101">
        <f t="shared" si="217"/>
        <v>0</v>
      </c>
      <c r="Z1031" s="101">
        <f t="shared" si="217"/>
        <v>0</v>
      </c>
      <c r="AA1031" s="101">
        <f t="shared" si="217"/>
        <v>0</v>
      </c>
      <c r="AB1031" s="101">
        <f t="shared" si="217"/>
        <v>0</v>
      </c>
      <c r="AC1031" s="101">
        <f>Annual_amenity_valuation*Household_size_multiplier</f>
        <v>0</v>
      </c>
      <c r="AD1031" s="101">
        <f t="shared" si="217"/>
        <v>0</v>
      </c>
      <c r="AE1031" s="101">
        <f t="shared" si="217"/>
        <v>0</v>
      </c>
      <c r="AF1031" s="101">
        <f t="shared" si="217"/>
        <v>0</v>
      </c>
      <c r="AG1031" s="101">
        <f t="shared" si="217"/>
        <v>0</v>
      </c>
      <c r="AH1031" s="101">
        <f t="shared" si="217"/>
        <v>0</v>
      </c>
      <c r="AI1031" s="101">
        <f t="shared" si="217"/>
        <v>0</v>
      </c>
      <c r="AJ1031" s="101">
        <f t="shared" ref="AJ1031:BO1031" si="218">Annual_amenity_valuation*Household_size_multiplier</f>
        <v>0</v>
      </c>
      <c r="AK1031" s="101">
        <f t="shared" si="218"/>
        <v>0</v>
      </c>
      <c r="AL1031" s="101">
        <f t="shared" si="218"/>
        <v>0</v>
      </c>
      <c r="AM1031" s="101">
        <f t="shared" si="218"/>
        <v>0</v>
      </c>
      <c r="AN1031" s="101">
        <f t="shared" si="218"/>
        <v>0</v>
      </c>
      <c r="AO1031" s="101">
        <f t="shared" si="218"/>
        <v>0</v>
      </c>
      <c r="AP1031" s="101">
        <f t="shared" si="218"/>
        <v>0</v>
      </c>
      <c r="AQ1031" s="101">
        <f t="shared" si="218"/>
        <v>0</v>
      </c>
      <c r="AR1031" s="101">
        <f t="shared" si="218"/>
        <v>0</v>
      </c>
      <c r="AS1031" s="101">
        <f t="shared" si="218"/>
        <v>0</v>
      </c>
      <c r="AT1031" s="101">
        <f t="shared" si="218"/>
        <v>0</v>
      </c>
      <c r="AU1031" s="101">
        <f t="shared" si="218"/>
        <v>0</v>
      </c>
      <c r="AV1031" s="101">
        <f t="shared" si="218"/>
        <v>0</v>
      </c>
      <c r="AW1031" s="101">
        <f t="shared" si="218"/>
        <v>0</v>
      </c>
      <c r="AX1031" s="101">
        <f t="shared" si="218"/>
        <v>0</v>
      </c>
      <c r="AY1031" s="101">
        <f t="shared" si="218"/>
        <v>0</v>
      </c>
      <c r="AZ1031" s="101">
        <f t="shared" si="218"/>
        <v>0</v>
      </c>
      <c r="BA1031" s="101">
        <f t="shared" si="218"/>
        <v>0</v>
      </c>
      <c r="BB1031" s="101">
        <f t="shared" si="218"/>
        <v>0</v>
      </c>
      <c r="BC1031" s="101">
        <f t="shared" si="218"/>
        <v>0</v>
      </c>
      <c r="BD1031" s="101">
        <f t="shared" si="218"/>
        <v>0</v>
      </c>
      <c r="BE1031" s="101">
        <f t="shared" si="218"/>
        <v>0</v>
      </c>
      <c r="BF1031" s="101">
        <f t="shared" si="218"/>
        <v>0</v>
      </c>
      <c r="BG1031" s="101">
        <f t="shared" si="218"/>
        <v>0</v>
      </c>
      <c r="BH1031" s="101">
        <f t="shared" si="218"/>
        <v>0</v>
      </c>
      <c r="BI1031" s="101">
        <f t="shared" si="218"/>
        <v>0</v>
      </c>
      <c r="BJ1031" s="101">
        <f t="shared" si="218"/>
        <v>0</v>
      </c>
      <c r="BK1031" s="101">
        <f t="shared" si="218"/>
        <v>0</v>
      </c>
      <c r="BL1031" s="101">
        <f t="shared" si="218"/>
        <v>0</v>
      </c>
      <c r="BM1031" s="101">
        <f t="shared" si="218"/>
        <v>0</v>
      </c>
      <c r="BN1031" s="101">
        <f t="shared" si="218"/>
        <v>0</v>
      </c>
      <c r="BO1031" s="101">
        <f t="shared" si="218"/>
        <v>0</v>
      </c>
      <c r="BP1031" s="101">
        <f t="shared" ref="BP1031:CP1031" si="219">Annual_amenity_valuation*Household_size_multiplier</f>
        <v>0</v>
      </c>
      <c r="BQ1031" s="101">
        <f t="shared" si="219"/>
        <v>0</v>
      </c>
      <c r="BR1031" s="101">
        <f t="shared" si="219"/>
        <v>0</v>
      </c>
      <c r="BS1031" s="101">
        <f t="shared" si="219"/>
        <v>0</v>
      </c>
      <c r="BT1031" s="101">
        <f t="shared" si="219"/>
        <v>0</v>
      </c>
      <c r="BU1031" s="101">
        <f t="shared" si="219"/>
        <v>0</v>
      </c>
      <c r="BV1031" s="101">
        <f t="shared" si="219"/>
        <v>0</v>
      </c>
      <c r="BW1031" s="101">
        <f t="shared" si="219"/>
        <v>0</v>
      </c>
      <c r="BX1031" s="101">
        <f t="shared" si="219"/>
        <v>0</v>
      </c>
      <c r="BY1031" s="101">
        <f t="shared" si="219"/>
        <v>0</v>
      </c>
      <c r="BZ1031" s="101">
        <f t="shared" si="219"/>
        <v>0</v>
      </c>
      <c r="CA1031" s="101">
        <f t="shared" si="219"/>
        <v>0</v>
      </c>
      <c r="CB1031" s="101">
        <f t="shared" si="219"/>
        <v>0</v>
      </c>
      <c r="CC1031" s="101">
        <f t="shared" si="219"/>
        <v>0</v>
      </c>
      <c r="CD1031" s="101">
        <f t="shared" si="219"/>
        <v>0</v>
      </c>
      <c r="CE1031" s="101">
        <f t="shared" si="219"/>
        <v>0</v>
      </c>
      <c r="CF1031" s="101">
        <f t="shared" si="219"/>
        <v>0</v>
      </c>
      <c r="CG1031" s="101">
        <f t="shared" si="219"/>
        <v>0</v>
      </c>
      <c r="CH1031" s="101">
        <f t="shared" si="219"/>
        <v>0</v>
      </c>
      <c r="CI1031" s="101">
        <f t="shared" si="219"/>
        <v>0</v>
      </c>
      <c r="CJ1031" s="101">
        <f t="shared" si="219"/>
        <v>0</v>
      </c>
      <c r="CK1031" s="101">
        <f t="shared" si="219"/>
        <v>0</v>
      </c>
      <c r="CL1031" s="101">
        <f t="shared" si="219"/>
        <v>0</v>
      </c>
      <c r="CM1031" s="101">
        <f t="shared" si="219"/>
        <v>0</v>
      </c>
      <c r="CN1031" s="101">
        <f t="shared" si="219"/>
        <v>0</v>
      </c>
      <c r="CO1031" s="101">
        <f t="shared" si="219"/>
        <v>0</v>
      </c>
      <c r="CP1031" s="101">
        <f t="shared" si="219"/>
        <v>0</v>
      </c>
      <c r="CQ1031" s="3" t="s">
        <v>338</v>
      </c>
    </row>
    <row r="1032" spans="1:95" ht="14.5" x14ac:dyDescent="0.35">
      <c r="A1032" s="102"/>
      <c r="B1032" s="102" t="s">
        <v>147</v>
      </c>
      <c r="C1032" s="102"/>
      <c r="D1032" s="101">
        <f t="shared" ref="D1032:AI1032" si="220">Annual_AMI_valuation*Household_size_multiplier</f>
        <v>0</v>
      </c>
      <c r="E1032" s="101">
        <f t="shared" si="220"/>
        <v>0</v>
      </c>
      <c r="F1032" s="101">
        <f t="shared" si="220"/>
        <v>0</v>
      </c>
      <c r="G1032" s="101">
        <f t="shared" si="220"/>
        <v>0</v>
      </c>
      <c r="H1032" s="101">
        <f t="shared" si="220"/>
        <v>0</v>
      </c>
      <c r="I1032" s="101">
        <f>Annual_AMI_valuation*Household_size_multiplier</f>
        <v>0</v>
      </c>
      <c r="J1032" s="101">
        <f t="shared" si="220"/>
        <v>0</v>
      </c>
      <c r="K1032" s="101">
        <f t="shared" si="220"/>
        <v>0</v>
      </c>
      <c r="L1032" s="101">
        <f t="shared" si="220"/>
        <v>0</v>
      </c>
      <c r="M1032" s="101">
        <f t="shared" si="220"/>
        <v>0</v>
      </c>
      <c r="N1032" s="101">
        <f t="shared" si="220"/>
        <v>0</v>
      </c>
      <c r="O1032" s="101">
        <f t="shared" si="220"/>
        <v>0</v>
      </c>
      <c r="P1032" s="101">
        <f t="shared" si="220"/>
        <v>0</v>
      </c>
      <c r="Q1032" s="101">
        <f t="shared" si="220"/>
        <v>0</v>
      </c>
      <c r="R1032" s="101">
        <f t="shared" si="220"/>
        <v>0</v>
      </c>
      <c r="S1032" s="101">
        <f t="shared" si="220"/>
        <v>0</v>
      </c>
      <c r="T1032" s="101">
        <f t="shared" si="220"/>
        <v>0</v>
      </c>
      <c r="U1032" s="101">
        <f t="shared" si="220"/>
        <v>0</v>
      </c>
      <c r="V1032" s="101">
        <f t="shared" si="220"/>
        <v>0</v>
      </c>
      <c r="W1032" s="101">
        <f t="shared" si="220"/>
        <v>0</v>
      </c>
      <c r="X1032" s="101">
        <f t="shared" si="220"/>
        <v>0</v>
      </c>
      <c r="Y1032" s="101">
        <f t="shared" si="220"/>
        <v>0</v>
      </c>
      <c r="Z1032" s="101">
        <f t="shared" si="220"/>
        <v>0</v>
      </c>
      <c r="AA1032" s="101">
        <f t="shared" si="220"/>
        <v>0</v>
      </c>
      <c r="AB1032" s="101">
        <f t="shared" si="220"/>
        <v>0</v>
      </c>
      <c r="AC1032" s="101">
        <f t="shared" si="220"/>
        <v>0</v>
      </c>
      <c r="AD1032" s="101">
        <f t="shared" si="220"/>
        <v>0</v>
      </c>
      <c r="AE1032" s="101">
        <f t="shared" si="220"/>
        <v>0</v>
      </c>
      <c r="AF1032" s="101">
        <f t="shared" si="220"/>
        <v>0</v>
      </c>
      <c r="AG1032" s="101">
        <f t="shared" si="220"/>
        <v>0</v>
      </c>
      <c r="AH1032" s="101">
        <f t="shared" si="220"/>
        <v>0</v>
      </c>
      <c r="AI1032" s="101">
        <f t="shared" si="220"/>
        <v>0</v>
      </c>
      <c r="AJ1032" s="101">
        <f t="shared" ref="AJ1032:BO1032" si="221">Annual_AMI_valuation*Household_size_multiplier</f>
        <v>0</v>
      </c>
      <c r="AK1032" s="101">
        <f t="shared" si="221"/>
        <v>0</v>
      </c>
      <c r="AL1032" s="101">
        <f t="shared" si="221"/>
        <v>0</v>
      </c>
      <c r="AM1032" s="101">
        <f t="shared" si="221"/>
        <v>0</v>
      </c>
      <c r="AN1032" s="101">
        <f t="shared" si="221"/>
        <v>0</v>
      </c>
      <c r="AO1032" s="101">
        <f t="shared" si="221"/>
        <v>0</v>
      </c>
      <c r="AP1032" s="101">
        <f t="shared" si="221"/>
        <v>0</v>
      </c>
      <c r="AQ1032" s="101">
        <f t="shared" si="221"/>
        <v>0</v>
      </c>
      <c r="AR1032" s="101">
        <f t="shared" si="221"/>
        <v>0</v>
      </c>
      <c r="AS1032" s="101">
        <f t="shared" si="221"/>
        <v>0</v>
      </c>
      <c r="AT1032" s="101">
        <f t="shared" si="221"/>
        <v>0</v>
      </c>
      <c r="AU1032" s="101">
        <f t="shared" si="221"/>
        <v>0</v>
      </c>
      <c r="AV1032" s="101">
        <f t="shared" si="221"/>
        <v>0</v>
      </c>
      <c r="AW1032" s="101">
        <f t="shared" si="221"/>
        <v>0</v>
      </c>
      <c r="AX1032" s="101">
        <f t="shared" si="221"/>
        <v>0</v>
      </c>
      <c r="AY1032" s="101">
        <f t="shared" si="221"/>
        <v>0</v>
      </c>
      <c r="AZ1032" s="101">
        <f t="shared" si="221"/>
        <v>0</v>
      </c>
      <c r="BA1032" s="101">
        <f t="shared" si="221"/>
        <v>0</v>
      </c>
      <c r="BB1032" s="101">
        <f t="shared" si="221"/>
        <v>0</v>
      </c>
      <c r="BC1032" s="101">
        <f t="shared" si="221"/>
        <v>0</v>
      </c>
      <c r="BD1032" s="101">
        <f t="shared" si="221"/>
        <v>0</v>
      </c>
      <c r="BE1032" s="101">
        <f t="shared" si="221"/>
        <v>0</v>
      </c>
      <c r="BF1032" s="101">
        <f t="shared" si="221"/>
        <v>0</v>
      </c>
      <c r="BG1032" s="101">
        <f t="shared" si="221"/>
        <v>0</v>
      </c>
      <c r="BH1032" s="101">
        <f t="shared" si="221"/>
        <v>0</v>
      </c>
      <c r="BI1032" s="101">
        <f t="shared" si="221"/>
        <v>0</v>
      </c>
      <c r="BJ1032" s="101">
        <f t="shared" si="221"/>
        <v>0</v>
      </c>
      <c r="BK1032" s="101">
        <f t="shared" si="221"/>
        <v>0</v>
      </c>
      <c r="BL1032" s="101">
        <f t="shared" si="221"/>
        <v>0</v>
      </c>
      <c r="BM1032" s="101">
        <f t="shared" si="221"/>
        <v>0</v>
      </c>
      <c r="BN1032" s="101">
        <f t="shared" si="221"/>
        <v>0</v>
      </c>
      <c r="BO1032" s="101">
        <f t="shared" si="221"/>
        <v>0</v>
      </c>
      <c r="BP1032" s="101">
        <f t="shared" ref="BP1032:CP1032" si="222">Annual_AMI_valuation*Household_size_multiplier</f>
        <v>0</v>
      </c>
      <c r="BQ1032" s="101">
        <f t="shared" si="222"/>
        <v>0</v>
      </c>
      <c r="BR1032" s="101">
        <f t="shared" si="222"/>
        <v>0</v>
      </c>
      <c r="BS1032" s="101">
        <f t="shared" si="222"/>
        <v>0</v>
      </c>
      <c r="BT1032" s="101">
        <f t="shared" si="222"/>
        <v>0</v>
      </c>
      <c r="BU1032" s="101">
        <f t="shared" si="222"/>
        <v>0</v>
      </c>
      <c r="BV1032" s="101">
        <f t="shared" si="222"/>
        <v>0</v>
      </c>
      <c r="BW1032" s="101">
        <f t="shared" si="222"/>
        <v>0</v>
      </c>
      <c r="BX1032" s="101">
        <f t="shared" si="222"/>
        <v>0</v>
      </c>
      <c r="BY1032" s="101">
        <f t="shared" si="222"/>
        <v>0</v>
      </c>
      <c r="BZ1032" s="101">
        <f t="shared" si="222"/>
        <v>0</v>
      </c>
      <c r="CA1032" s="101">
        <f t="shared" si="222"/>
        <v>0</v>
      </c>
      <c r="CB1032" s="101">
        <f t="shared" si="222"/>
        <v>0</v>
      </c>
      <c r="CC1032" s="101">
        <f t="shared" si="222"/>
        <v>0</v>
      </c>
      <c r="CD1032" s="101">
        <f t="shared" si="222"/>
        <v>0</v>
      </c>
      <c r="CE1032" s="101">
        <f t="shared" si="222"/>
        <v>0</v>
      </c>
      <c r="CF1032" s="101">
        <f t="shared" si="222"/>
        <v>0</v>
      </c>
      <c r="CG1032" s="101">
        <f t="shared" si="222"/>
        <v>0</v>
      </c>
      <c r="CH1032" s="101">
        <f t="shared" si="222"/>
        <v>0</v>
      </c>
      <c r="CI1032" s="101">
        <f t="shared" si="222"/>
        <v>0</v>
      </c>
      <c r="CJ1032" s="101">
        <f t="shared" si="222"/>
        <v>0</v>
      </c>
      <c r="CK1032" s="101">
        <f t="shared" si="222"/>
        <v>0</v>
      </c>
      <c r="CL1032" s="101">
        <f t="shared" si="222"/>
        <v>0</v>
      </c>
      <c r="CM1032" s="101">
        <f t="shared" si="222"/>
        <v>0</v>
      </c>
      <c r="CN1032" s="101">
        <f t="shared" si="222"/>
        <v>0</v>
      </c>
      <c r="CO1032" s="101">
        <f t="shared" si="222"/>
        <v>0</v>
      </c>
      <c r="CP1032" s="101">
        <f t="shared" si="222"/>
        <v>0</v>
      </c>
      <c r="CQ1032" s="3" t="s">
        <v>339</v>
      </c>
    </row>
    <row r="1033" spans="1:95" ht="14.5" x14ac:dyDescent="0.35">
      <c r="A1033" s="102"/>
      <c r="B1033" s="102" t="s">
        <v>149</v>
      </c>
      <c r="C1033" s="102"/>
      <c r="D1033" s="101">
        <f t="shared" ref="D1033:AI1033" si="223">Annual_stroke_valuation*Household_size_multiplier</f>
        <v>0</v>
      </c>
      <c r="E1033" s="101">
        <f t="shared" si="223"/>
        <v>0</v>
      </c>
      <c r="F1033" s="101">
        <f t="shared" si="223"/>
        <v>0</v>
      </c>
      <c r="G1033" s="101">
        <f t="shared" si="223"/>
        <v>0</v>
      </c>
      <c r="H1033" s="101">
        <f t="shared" si="223"/>
        <v>0</v>
      </c>
      <c r="I1033" s="101">
        <f>Annual_stroke_valuation*Household_size_multiplier</f>
        <v>0</v>
      </c>
      <c r="J1033" s="101">
        <f t="shared" si="223"/>
        <v>0</v>
      </c>
      <c r="K1033" s="101">
        <f t="shared" si="223"/>
        <v>0</v>
      </c>
      <c r="L1033" s="101">
        <f t="shared" si="223"/>
        <v>0</v>
      </c>
      <c r="M1033" s="101">
        <f t="shared" si="223"/>
        <v>0</v>
      </c>
      <c r="N1033" s="101">
        <f t="shared" si="223"/>
        <v>0</v>
      </c>
      <c r="O1033" s="101">
        <f t="shared" si="223"/>
        <v>0</v>
      </c>
      <c r="P1033" s="101">
        <f t="shared" si="223"/>
        <v>0</v>
      </c>
      <c r="Q1033" s="101">
        <f t="shared" si="223"/>
        <v>0</v>
      </c>
      <c r="R1033" s="101">
        <f t="shared" si="223"/>
        <v>0</v>
      </c>
      <c r="S1033" s="101">
        <f t="shared" si="223"/>
        <v>0</v>
      </c>
      <c r="T1033" s="101">
        <f t="shared" si="223"/>
        <v>0</v>
      </c>
      <c r="U1033" s="101">
        <f t="shared" si="223"/>
        <v>0</v>
      </c>
      <c r="V1033" s="101">
        <f t="shared" si="223"/>
        <v>0</v>
      </c>
      <c r="W1033" s="101">
        <f t="shared" si="223"/>
        <v>0</v>
      </c>
      <c r="X1033" s="101">
        <f t="shared" si="223"/>
        <v>0</v>
      </c>
      <c r="Y1033" s="101">
        <f t="shared" si="223"/>
        <v>0</v>
      </c>
      <c r="Z1033" s="101">
        <f t="shared" si="223"/>
        <v>0</v>
      </c>
      <c r="AA1033" s="101">
        <f t="shared" si="223"/>
        <v>0</v>
      </c>
      <c r="AB1033" s="101">
        <f t="shared" si="223"/>
        <v>0</v>
      </c>
      <c r="AC1033" s="101">
        <f t="shared" si="223"/>
        <v>0</v>
      </c>
      <c r="AD1033" s="101">
        <f t="shared" si="223"/>
        <v>0</v>
      </c>
      <c r="AE1033" s="101">
        <f t="shared" si="223"/>
        <v>0</v>
      </c>
      <c r="AF1033" s="101">
        <f t="shared" si="223"/>
        <v>0</v>
      </c>
      <c r="AG1033" s="101">
        <f t="shared" si="223"/>
        <v>0</v>
      </c>
      <c r="AH1033" s="101">
        <f t="shared" si="223"/>
        <v>0</v>
      </c>
      <c r="AI1033" s="101">
        <f t="shared" si="223"/>
        <v>0</v>
      </c>
      <c r="AJ1033" s="101">
        <f t="shared" ref="AJ1033:BO1033" si="224">Annual_stroke_valuation*Household_size_multiplier</f>
        <v>0</v>
      </c>
      <c r="AK1033" s="101">
        <f t="shared" si="224"/>
        <v>0</v>
      </c>
      <c r="AL1033" s="101">
        <f t="shared" si="224"/>
        <v>0</v>
      </c>
      <c r="AM1033" s="101">
        <f t="shared" si="224"/>
        <v>0</v>
      </c>
      <c r="AN1033" s="101">
        <f t="shared" si="224"/>
        <v>0</v>
      </c>
      <c r="AO1033" s="101">
        <f t="shared" si="224"/>
        <v>0</v>
      </c>
      <c r="AP1033" s="101">
        <f t="shared" si="224"/>
        <v>0</v>
      </c>
      <c r="AQ1033" s="101">
        <f t="shared" si="224"/>
        <v>0</v>
      </c>
      <c r="AR1033" s="101">
        <f t="shared" si="224"/>
        <v>0</v>
      </c>
      <c r="AS1033" s="101">
        <f t="shared" si="224"/>
        <v>0</v>
      </c>
      <c r="AT1033" s="101">
        <f t="shared" si="224"/>
        <v>0</v>
      </c>
      <c r="AU1033" s="101">
        <f t="shared" si="224"/>
        <v>0</v>
      </c>
      <c r="AV1033" s="101">
        <f t="shared" si="224"/>
        <v>0</v>
      </c>
      <c r="AW1033" s="101">
        <f t="shared" si="224"/>
        <v>0</v>
      </c>
      <c r="AX1033" s="101">
        <f t="shared" si="224"/>
        <v>0</v>
      </c>
      <c r="AY1033" s="101">
        <f t="shared" si="224"/>
        <v>0</v>
      </c>
      <c r="AZ1033" s="101">
        <f t="shared" si="224"/>
        <v>0</v>
      </c>
      <c r="BA1033" s="101">
        <f t="shared" si="224"/>
        <v>0</v>
      </c>
      <c r="BB1033" s="101">
        <f t="shared" si="224"/>
        <v>0</v>
      </c>
      <c r="BC1033" s="101">
        <f t="shared" si="224"/>
        <v>0</v>
      </c>
      <c r="BD1033" s="101">
        <f t="shared" si="224"/>
        <v>0</v>
      </c>
      <c r="BE1033" s="101">
        <f t="shared" si="224"/>
        <v>0</v>
      </c>
      <c r="BF1033" s="101">
        <f t="shared" si="224"/>
        <v>0</v>
      </c>
      <c r="BG1033" s="101">
        <f t="shared" si="224"/>
        <v>0</v>
      </c>
      <c r="BH1033" s="101">
        <f t="shared" si="224"/>
        <v>0</v>
      </c>
      <c r="BI1033" s="101">
        <f t="shared" si="224"/>
        <v>0</v>
      </c>
      <c r="BJ1033" s="101">
        <f t="shared" si="224"/>
        <v>0</v>
      </c>
      <c r="BK1033" s="101">
        <f t="shared" si="224"/>
        <v>0</v>
      </c>
      <c r="BL1033" s="101">
        <f t="shared" si="224"/>
        <v>0</v>
      </c>
      <c r="BM1033" s="101">
        <f t="shared" si="224"/>
        <v>0</v>
      </c>
      <c r="BN1033" s="101">
        <f t="shared" si="224"/>
        <v>0</v>
      </c>
      <c r="BO1033" s="101">
        <f t="shared" si="224"/>
        <v>0</v>
      </c>
      <c r="BP1033" s="101">
        <f t="shared" ref="BP1033:CP1033" si="225">Annual_stroke_valuation*Household_size_multiplier</f>
        <v>0</v>
      </c>
      <c r="BQ1033" s="101">
        <f t="shared" si="225"/>
        <v>0</v>
      </c>
      <c r="BR1033" s="101">
        <f t="shared" si="225"/>
        <v>0</v>
      </c>
      <c r="BS1033" s="101">
        <f t="shared" si="225"/>
        <v>0</v>
      </c>
      <c r="BT1033" s="101">
        <f t="shared" si="225"/>
        <v>0</v>
      </c>
      <c r="BU1033" s="101">
        <f t="shared" si="225"/>
        <v>0</v>
      </c>
      <c r="BV1033" s="101">
        <f t="shared" si="225"/>
        <v>0</v>
      </c>
      <c r="BW1033" s="101">
        <f t="shared" si="225"/>
        <v>0</v>
      </c>
      <c r="BX1033" s="101">
        <f t="shared" si="225"/>
        <v>0</v>
      </c>
      <c r="BY1033" s="101">
        <f t="shared" si="225"/>
        <v>0</v>
      </c>
      <c r="BZ1033" s="101">
        <f t="shared" si="225"/>
        <v>0</v>
      </c>
      <c r="CA1033" s="101">
        <f t="shared" si="225"/>
        <v>0</v>
      </c>
      <c r="CB1033" s="101">
        <f t="shared" si="225"/>
        <v>0</v>
      </c>
      <c r="CC1033" s="101">
        <f t="shared" si="225"/>
        <v>0</v>
      </c>
      <c r="CD1033" s="101">
        <f t="shared" si="225"/>
        <v>0</v>
      </c>
      <c r="CE1033" s="101">
        <f t="shared" si="225"/>
        <v>0</v>
      </c>
      <c r="CF1033" s="101">
        <f t="shared" si="225"/>
        <v>0</v>
      </c>
      <c r="CG1033" s="101">
        <f t="shared" si="225"/>
        <v>0</v>
      </c>
      <c r="CH1033" s="101">
        <f t="shared" si="225"/>
        <v>0</v>
      </c>
      <c r="CI1033" s="101">
        <f t="shared" si="225"/>
        <v>0</v>
      </c>
      <c r="CJ1033" s="101">
        <f t="shared" si="225"/>
        <v>0</v>
      </c>
      <c r="CK1033" s="101">
        <f t="shared" si="225"/>
        <v>0</v>
      </c>
      <c r="CL1033" s="101">
        <f t="shared" si="225"/>
        <v>0</v>
      </c>
      <c r="CM1033" s="101">
        <f t="shared" si="225"/>
        <v>0</v>
      </c>
      <c r="CN1033" s="101">
        <f t="shared" si="225"/>
        <v>0</v>
      </c>
      <c r="CO1033" s="101">
        <f t="shared" si="225"/>
        <v>0</v>
      </c>
      <c r="CP1033" s="101">
        <f t="shared" si="225"/>
        <v>0</v>
      </c>
      <c r="CQ1033" s="3" t="s">
        <v>340</v>
      </c>
    </row>
    <row r="1034" spans="1:95" ht="14.5" x14ac:dyDescent="0.35">
      <c r="A1034" s="102"/>
      <c r="B1034" s="102" t="s">
        <v>151</v>
      </c>
      <c r="C1034" s="102"/>
      <c r="D1034" s="101">
        <f t="shared" ref="D1034:AI1034" si="226">Annual_dementia_valuation*Household_size_multiplier</f>
        <v>0</v>
      </c>
      <c r="E1034" s="101">
        <f t="shared" si="226"/>
        <v>0</v>
      </c>
      <c r="F1034" s="101">
        <f t="shared" si="226"/>
        <v>0</v>
      </c>
      <c r="G1034" s="101">
        <f t="shared" si="226"/>
        <v>0</v>
      </c>
      <c r="H1034" s="101">
        <f t="shared" si="226"/>
        <v>0</v>
      </c>
      <c r="I1034" s="101">
        <f t="shared" si="226"/>
        <v>0</v>
      </c>
      <c r="J1034" s="101">
        <f t="shared" si="226"/>
        <v>0</v>
      </c>
      <c r="K1034" s="101">
        <f t="shared" si="226"/>
        <v>0</v>
      </c>
      <c r="L1034" s="101">
        <f t="shared" si="226"/>
        <v>0</v>
      </c>
      <c r="M1034" s="101">
        <f t="shared" si="226"/>
        <v>0</v>
      </c>
      <c r="N1034" s="101">
        <f t="shared" si="226"/>
        <v>0</v>
      </c>
      <c r="O1034" s="101">
        <f t="shared" si="226"/>
        <v>0</v>
      </c>
      <c r="P1034" s="101">
        <f t="shared" si="226"/>
        <v>0</v>
      </c>
      <c r="Q1034" s="101">
        <f t="shared" si="226"/>
        <v>0</v>
      </c>
      <c r="R1034" s="101">
        <f t="shared" si="226"/>
        <v>0</v>
      </c>
      <c r="S1034" s="101">
        <f t="shared" si="226"/>
        <v>0</v>
      </c>
      <c r="T1034" s="101">
        <f t="shared" si="226"/>
        <v>0</v>
      </c>
      <c r="U1034" s="101">
        <f t="shared" si="226"/>
        <v>0</v>
      </c>
      <c r="V1034" s="101">
        <f t="shared" si="226"/>
        <v>0</v>
      </c>
      <c r="W1034" s="101">
        <f t="shared" si="226"/>
        <v>0</v>
      </c>
      <c r="X1034" s="101">
        <f t="shared" si="226"/>
        <v>0</v>
      </c>
      <c r="Y1034" s="101">
        <f t="shared" si="226"/>
        <v>0</v>
      </c>
      <c r="Z1034" s="101">
        <f t="shared" si="226"/>
        <v>0</v>
      </c>
      <c r="AA1034" s="101">
        <f t="shared" si="226"/>
        <v>0</v>
      </c>
      <c r="AB1034" s="101">
        <f t="shared" si="226"/>
        <v>0</v>
      </c>
      <c r="AC1034" s="101">
        <f t="shared" si="226"/>
        <v>0</v>
      </c>
      <c r="AD1034" s="101">
        <f t="shared" si="226"/>
        <v>0</v>
      </c>
      <c r="AE1034" s="101">
        <f t="shared" si="226"/>
        <v>0</v>
      </c>
      <c r="AF1034" s="101">
        <f t="shared" si="226"/>
        <v>0</v>
      </c>
      <c r="AG1034" s="101">
        <f t="shared" si="226"/>
        <v>0</v>
      </c>
      <c r="AH1034" s="101">
        <f t="shared" si="226"/>
        <v>0</v>
      </c>
      <c r="AI1034" s="101">
        <f t="shared" si="226"/>
        <v>0</v>
      </c>
      <c r="AJ1034" s="101">
        <f t="shared" ref="AJ1034:BO1034" si="227">Annual_dementia_valuation*Household_size_multiplier</f>
        <v>0</v>
      </c>
      <c r="AK1034" s="101">
        <f t="shared" si="227"/>
        <v>0</v>
      </c>
      <c r="AL1034" s="101">
        <f t="shared" si="227"/>
        <v>0</v>
      </c>
      <c r="AM1034" s="101">
        <f t="shared" si="227"/>
        <v>0</v>
      </c>
      <c r="AN1034" s="101">
        <f t="shared" si="227"/>
        <v>0</v>
      </c>
      <c r="AO1034" s="101">
        <f t="shared" si="227"/>
        <v>0</v>
      </c>
      <c r="AP1034" s="101">
        <f t="shared" si="227"/>
        <v>0</v>
      </c>
      <c r="AQ1034" s="101">
        <f t="shared" si="227"/>
        <v>0</v>
      </c>
      <c r="AR1034" s="101">
        <f t="shared" si="227"/>
        <v>0</v>
      </c>
      <c r="AS1034" s="101">
        <f t="shared" si="227"/>
        <v>0</v>
      </c>
      <c r="AT1034" s="101">
        <f t="shared" si="227"/>
        <v>0</v>
      </c>
      <c r="AU1034" s="101">
        <f t="shared" si="227"/>
        <v>0</v>
      </c>
      <c r="AV1034" s="101">
        <f t="shared" si="227"/>
        <v>0</v>
      </c>
      <c r="AW1034" s="101">
        <f t="shared" si="227"/>
        <v>0</v>
      </c>
      <c r="AX1034" s="101">
        <f t="shared" si="227"/>
        <v>0</v>
      </c>
      <c r="AY1034" s="101">
        <f t="shared" si="227"/>
        <v>0</v>
      </c>
      <c r="AZ1034" s="101">
        <f t="shared" si="227"/>
        <v>0</v>
      </c>
      <c r="BA1034" s="101">
        <f t="shared" si="227"/>
        <v>0</v>
      </c>
      <c r="BB1034" s="101">
        <f t="shared" si="227"/>
        <v>0</v>
      </c>
      <c r="BC1034" s="101">
        <f t="shared" si="227"/>
        <v>0</v>
      </c>
      <c r="BD1034" s="101">
        <f t="shared" si="227"/>
        <v>0</v>
      </c>
      <c r="BE1034" s="101">
        <f t="shared" si="227"/>
        <v>0</v>
      </c>
      <c r="BF1034" s="101">
        <f t="shared" si="227"/>
        <v>0</v>
      </c>
      <c r="BG1034" s="101">
        <f t="shared" si="227"/>
        <v>0</v>
      </c>
      <c r="BH1034" s="101">
        <f t="shared" si="227"/>
        <v>0</v>
      </c>
      <c r="BI1034" s="101">
        <f t="shared" si="227"/>
        <v>0</v>
      </c>
      <c r="BJ1034" s="101">
        <f t="shared" si="227"/>
        <v>0</v>
      </c>
      <c r="BK1034" s="101">
        <f t="shared" si="227"/>
        <v>0</v>
      </c>
      <c r="BL1034" s="101">
        <f t="shared" si="227"/>
        <v>0</v>
      </c>
      <c r="BM1034" s="101">
        <f t="shared" si="227"/>
        <v>0</v>
      </c>
      <c r="BN1034" s="101">
        <f t="shared" si="227"/>
        <v>0</v>
      </c>
      <c r="BO1034" s="101">
        <f t="shared" si="227"/>
        <v>0</v>
      </c>
      <c r="BP1034" s="101">
        <f t="shared" ref="BP1034:CP1034" si="228">Annual_dementia_valuation*Household_size_multiplier</f>
        <v>0</v>
      </c>
      <c r="BQ1034" s="101">
        <f t="shared" si="228"/>
        <v>0</v>
      </c>
      <c r="BR1034" s="101">
        <f t="shared" si="228"/>
        <v>0</v>
      </c>
      <c r="BS1034" s="101">
        <f t="shared" si="228"/>
        <v>0</v>
      </c>
      <c r="BT1034" s="101">
        <f t="shared" si="228"/>
        <v>0</v>
      </c>
      <c r="BU1034" s="101">
        <f t="shared" si="228"/>
        <v>0</v>
      </c>
      <c r="BV1034" s="101">
        <f t="shared" si="228"/>
        <v>0</v>
      </c>
      <c r="BW1034" s="101">
        <f t="shared" si="228"/>
        <v>0</v>
      </c>
      <c r="BX1034" s="101">
        <f t="shared" si="228"/>
        <v>0</v>
      </c>
      <c r="BY1034" s="101">
        <f t="shared" si="228"/>
        <v>0</v>
      </c>
      <c r="BZ1034" s="101">
        <f t="shared" si="228"/>
        <v>0</v>
      </c>
      <c r="CA1034" s="101">
        <f t="shared" si="228"/>
        <v>0</v>
      </c>
      <c r="CB1034" s="101">
        <f t="shared" si="228"/>
        <v>0</v>
      </c>
      <c r="CC1034" s="101">
        <f t="shared" si="228"/>
        <v>0</v>
      </c>
      <c r="CD1034" s="101">
        <f t="shared" si="228"/>
        <v>0</v>
      </c>
      <c r="CE1034" s="101">
        <f t="shared" si="228"/>
        <v>0</v>
      </c>
      <c r="CF1034" s="101">
        <f t="shared" si="228"/>
        <v>0</v>
      </c>
      <c r="CG1034" s="101">
        <f t="shared" si="228"/>
        <v>0</v>
      </c>
      <c r="CH1034" s="101">
        <f t="shared" si="228"/>
        <v>0</v>
      </c>
      <c r="CI1034" s="101">
        <f t="shared" si="228"/>
        <v>0</v>
      </c>
      <c r="CJ1034" s="101">
        <f t="shared" si="228"/>
        <v>0</v>
      </c>
      <c r="CK1034" s="101">
        <f t="shared" si="228"/>
        <v>0</v>
      </c>
      <c r="CL1034" s="101">
        <f t="shared" si="228"/>
        <v>0</v>
      </c>
      <c r="CM1034" s="101">
        <f t="shared" si="228"/>
        <v>0</v>
      </c>
      <c r="CN1034" s="101">
        <f t="shared" si="228"/>
        <v>0</v>
      </c>
      <c r="CO1034" s="101">
        <f t="shared" si="228"/>
        <v>0</v>
      </c>
      <c r="CP1034" s="101">
        <f t="shared" si="228"/>
        <v>0</v>
      </c>
      <c r="CQ1034" s="3" t="s">
        <v>341</v>
      </c>
    </row>
    <row r="1035" spans="1:95" ht="14.5" x14ac:dyDescent="0.35">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5" x14ac:dyDescent="0.45">
      <c r="B1036" s="2" t="s">
        <v>342</v>
      </c>
    </row>
    <row r="1037" spans="1:95" ht="14.5" x14ac:dyDescent="0.3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5" x14ac:dyDescent="0.35">
      <c r="B1038" s="5" t="s">
        <v>343</v>
      </c>
    </row>
    <row r="1039" spans="1:95" ht="14.5" x14ac:dyDescent="0.3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5" x14ac:dyDescent="0.35">
      <c r="A1040" s="102"/>
      <c r="B1040" s="102" t="s">
        <v>74</v>
      </c>
      <c r="C1040" s="104">
        <f>Current_year_in</f>
        <v>2025</v>
      </c>
      <c r="D1040" s="3" t="s">
        <v>344</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5" x14ac:dyDescent="0.35">
      <c r="A1041" s="102"/>
      <c r="B1041" s="102" t="s">
        <v>169</v>
      </c>
      <c r="C1041" s="102">
        <f>PV_base_year_in</f>
        <v>2023</v>
      </c>
      <c r="D1041" s="3" t="s">
        <v>345</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5" x14ac:dyDescent="0.35">
      <c r="A1042" s="102"/>
      <c r="B1042" s="102" t="s">
        <v>171</v>
      </c>
      <c r="C1042" s="102">
        <f>Discount_period_1_in</f>
        <v>2</v>
      </c>
      <c r="D1042" s="3" t="s">
        <v>346</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5" x14ac:dyDescent="0.35">
      <c r="A1043" s="102"/>
      <c r="B1043" s="102" t="s">
        <v>173</v>
      </c>
      <c r="C1043" s="102">
        <f>Discount_period_2_in</f>
        <v>30</v>
      </c>
      <c r="D1043" s="3" t="s">
        <v>347</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5" x14ac:dyDescent="0.35">
      <c r="A1044" s="102"/>
      <c r="B1044" s="102" t="s">
        <v>175</v>
      </c>
      <c r="C1044" s="102">
        <f>Discount_period_3_in</f>
        <v>75</v>
      </c>
      <c r="D1044" s="3" t="s">
        <v>348</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5" x14ac:dyDescent="0.3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5" x14ac:dyDescent="0.3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5" x14ac:dyDescent="0.35">
      <c r="A1047" s="102"/>
      <c r="B1047" s="3" t="s">
        <v>223</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5" x14ac:dyDescent="0.35">
      <c r="A1048" s="102"/>
      <c r="B1048" s="102" t="s">
        <v>349</v>
      </c>
      <c r="C1048" s="102"/>
      <c r="D1048" s="102">
        <f t="shared" ref="D1048" si="229">AND(year&gt;PV_base_year,year&lt;=(Current_year+Discount_period_1))*1</f>
        <v>0</v>
      </c>
      <c r="E1048" s="102">
        <f t="shared" ref="E1048:AJ1048" si="230">AND(year&gt;PV_base_year,year&lt;=(Current_year))*1</f>
        <v>0</v>
      </c>
      <c r="F1048" s="102">
        <f t="shared" si="230"/>
        <v>0</v>
      </c>
      <c r="G1048" s="102">
        <f t="shared" si="230"/>
        <v>0</v>
      </c>
      <c r="H1048" s="102">
        <f t="shared" si="230"/>
        <v>0</v>
      </c>
      <c r="I1048" s="102">
        <f t="shared" si="230"/>
        <v>0</v>
      </c>
      <c r="J1048" s="102">
        <f t="shared" si="230"/>
        <v>0</v>
      </c>
      <c r="K1048" s="102">
        <f t="shared" si="230"/>
        <v>0</v>
      </c>
      <c r="L1048" s="102">
        <f t="shared" si="230"/>
        <v>0</v>
      </c>
      <c r="M1048" s="102">
        <f t="shared" si="230"/>
        <v>0</v>
      </c>
      <c r="N1048" s="102">
        <f t="shared" si="230"/>
        <v>0</v>
      </c>
      <c r="O1048" s="102">
        <f t="shared" si="230"/>
        <v>0</v>
      </c>
      <c r="P1048" s="102">
        <f t="shared" si="230"/>
        <v>0</v>
      </c>
      <c r="Q1048" s="102">
        <f t="shared" si="230"/>
        <v>0</v>
      </c>
      <c r="R1048" s="102">
        <f t="shared" si="230"/>
        <v>1</v>
      </c>
      <c r="S1048" s="102">
        <f t="shared" si="230"/>
        <v>1</v>
      </c>
      <c r="T1048" s="102">
        <f t="shared" si="230"/>
        <v>0</v>
      </c>
      <c r="U1048" s="102">
        <f t="shared" si="230"/>
        <v>0</v>
      </c>
      <c r="V1048" s="102">
        <f t="shared" si="230"/>
        <v>0</v>
      </c>
      <c r="W1048" s="102">
        <f t="shared" si="230"/>
        <v>0</v>
      </c>
      <c r="X1048" s="102">
        <f t="shared" si="230"/>
        <v>0</v>
      </c>
      <c r="Y1048" s="102">
        <f t="shared" si="230"/>
        <v>0</v>
      </c>
      <c r="Z1048" s="102">
        <f t="shared" si="230"/>
        <v>0</v>
      </c>
      <c r="AA1048" s="102">
        <f t="shared" si="230"/>
        <v>0</v>
      </c>
      <c r="AB1048" s="102">
        <f t="shared" si="230"/>
        <v>0</v>
      </c>
      <c r="AC1048" s="102">
        <f t="shared" si="230"/>
        <v>0</v>
      </c>
      <c r="AD1048" s="102">
        <f t="shared" si="230"/>
        <v>0</v>
      </c>
      <c r="AE1048" s="102">
        <f t="shared" si="230"/>
        <v>0</v>
      </c>
      <c r="AF1048" s="102">
        <f t="shared" si="230"/>
        <v>0</v>
      </c>
      <c r="AG1048" s="102">
        <f t="shared" si="230"/>
        <v>0</v>
      </c>
      <c r="AH1048" s="102">
        <f t="shared" si="230"/>
        <v>0</v>
      </c>
      <c r="AI1048" s="102">
        <f t="shared" si="230"/>
        <v>0</v>
      </c>
      <c r="AJ1048" s="102">
        <f t="shared" si="230"/>
        <v>0</v>
      </c>
      <c r="AK1048" s="102">
        <f t="shared" ref="AK1048:BP1048" si="231">AND(year&gt;PV_base_year,year&lt;=(Current_year))*1</f>
        <v>0</v>
      </c>
      <c r="AL1048" s="102">
        <f t="shared" si="231"/>
        <v>0</v>
      </c>
      <c r="AM1048" s="102">
        <f t="shared" si="231"/>
        <v>0</v>
      </c>
      <c r="AN1048" s="102">
        <f t="shared" si="231"/>
        <v>0</v>
      </c>
      <c r="AO1048" s="102">
        <f t="shared" si="231"/>
        <v>0</v>
      </c>
      <c r="AP1048" s="102">
        <f t="shared" si="231"/>
        <v>0</v>
      </c>
      <c r="AQ1048" s="102">
        <f t="shared" si="231"/>
        <v>0</v>
      </c>
      <c r="AR1048" s="102">
        <f t="shared" si="231"/>
        <v>0</v>
      </c>
      <c r="AS1048" s="102">
        <f t="shared" si="231"/>
        <v>0</v>
      </c>
      <c r="AT1048" s="102">
        <f t="shared" si="231"/>
        <v>0</v>
      </c>
      <c r="AU1048" s="102">
        <f t="shared" si="231"/>
        <v>0</v>
      </c>
      <c r="AV1048" s="102">
        <f t="shared" si="231"/>
        <v>0</v>
      </c>
      <c r="AW1048" s="102">
        <f t="shared" si="231"/>
        <v>0</v>
      </c>
      <c r="AX1048" s="102">
        <f t="shared" si="231"/>
        <v>0</v>
      </c>
      <c r="AY1048" s="102">
        <f t="shared" si="231"/>
        <v>0</v>
      </c>
      <c r="AZ1048" s="102">
        <f t="shared" si="231"/>
        <v>0</v>
      </c>
      <c r="BA1048" s="102">
        <f t="shared" si="231"/>
        <v>0</v>
      </c>
      <c r="BB1048" s="102">
        <f t="shared" si="231"/>
        <v>0</v>
      </c>
      <c r="BC1048" s="102">
        <f t="shared" si="231"/>
        <v>0</v>
      </c>
      <c r="BD1048" s="102">
        <f t="shared" si="231"/>
        <v>0</v>
      </c>
      <c r="BE1048" s="102">
        <f t="shared" si="231"/>
        <v>0</v>
      </c>
      <c r="BF1048" s="102">
        <f t="shared" si="231"/>
        <v>0</v>
      </c>
      <c r="BG1048" s="102">
        <f t="shared" si="231"/>
        <v>0</v>
      </c>
      <c r="BH1048" s="102">
        <f t="shared" si="231"/>
        <v>0</v>
      </c>
      <c r="BI1048" s="102">
        <f t="shared" si="231"/>
        <v>0</v>
      </c>
      <c r="BJ1048" s="102">
        <f t="shared" si="231"/>
        <v>0</v>
      </c>
      <c r="BK1048" s="102">
        <f t="shared" si="231"/>
        <v>0</v>
      </c>
      <c r="BL1048" s="102">
        <f t="shared" si="231"/>
        <v>0</v>
      </c>
      <c r="BM1048" s="102">
        <f t="shared" si="231"/>
        <v>0</v>
      </c>
      <c r="BN1048" s="102">
        <f t="shared" si="231"/>
        <v>0</v>
      </c>
      <c r="BO1048" s="102">
        <f t="shared" si="231"/>
        <v>0</v>
      </c>
      <c r="BP1048" s="102">
        <f t="shared" si="231"/>
        <v>0</v>
      </c>
      <c r="BQ1048" s="102">
        <f t="shared" ref="BQ1048:CP1048" si="232">AND(year&gt;PV_base_year,year&lt;=(Current_year))*1</f>
        <v>0</v>
      </c>
      <c r="BR1048" s="102">
        <f t="shared" si="232"/>
        <v>0</v>
      </c>
      <c r="BS1048" s="102">
        <f t="shared" si="232"/>
        <v>0</v>
      </c>
      <c r="BT1048" s="102">
        <f t="shared" si="232"/>
        <v>0</v>
      </c>
      <c r="BU1048" s="102">
        <f t="shared" si="232"/>
        <v>0</v>
      </c>
      <c r="BV1048" s="102">
        <f t="shared" si="232"/>
        <v>0</v>
      </c>
      <c r="BW1048" s="102">
        <f t="shared" si="232"/>
        <v>0</v>
      </c>
      <c r="BX1048" s="102">
        <f t="shared" si="232"/>
        <v>0</v>
      </c>
      <c r="BY1048" s="102">
        <f t="shared" si="232"/>
        <v>0</v>
      </c>
      <c r="BZ1048" s="102">
        <f t="shared" si="232"/>
        <v>0</v>
      </c>
      <c r="CA1048" s="102">
        <f t="shared" si="232"/>
        <v>0</v>
      </c>
      <c r="CB1048" s="102">
        <f t="shared" si="232"/>
        <v>0</v>
      </c>
      <c r="CC1048" s="102">
        <f t="shared" si="232"/>
        <v>0</v>
      </c>
      <c r="CD1048" s="102">
        <f t="shared" si="232"/>
        <v>0</v>
      </c>
      <c r="CE1048" s="102">
        <f t="shared" si="232"/>
        <v>0</v>
      </c>
      <c r="CF1048" s="102">
        <f t="shared" si="232"/>
        <v>0</v>
      </c>
      <c r="CG1048" s="102">
        <f t="shared" si="232"/>
        <v>0</v>
      </c>
      <c r="CH1048" s="102">
        <f t="shared" si="232"/>
        <v>0</v>
      </c>
      <c r="CI1048" s="102">
        <f t="shared" si="232"/>
        <v>0</v>
      </c>
      <c r="CJ1048" s="102">
        <f t="shared" si="232"/>
        <v>0</v>
      </c>
      <c r="CK1048" s="102">
        <f t="shared" si="232"/>
        <v>0</v>
      </c>
      <c r="CL1048" s="102">
        <f t="shared" si="232"/>
        <v>0</v>
      </c>
      <c r="CM1048" s="102">
        <f t="shared" si="232"/>
        <v>0</v>
      </c>
      <c r="CN1048" s="102">
        <f t="shared" si="232"/>
        <v>0</v>
      </c>
      <c r="CO1048" s="102">
        <f t="shared" si="232"/>
        <v>0</v>
      </c>
      <c r="CP1048" s="102">
        <f t="shared" si="232"/>
        <v>0</v>
      </c>
      <c r="CQ1048" s="3" t="s">
        <v>350</v>
      </c>
    </row>
    <row r="1049" spans="1:95" ht="14.5" x14ac:dyDescent="0.35">
      <c r="A1049" s="102"/>
      <c r="B1049" s="102" t="s">
        <v>351</v>
      </c>
      <c r="C1049" s="102"/>
      <c r="D1049" s="102">
        <f t="shared" ref="D1049:AI1049" si="233">AND(year&gt;Current_year,year&lt;=Current_year+Discount_period_2)*1</f>
        <v>0</v>
      </c>
      <c r="E1049" s="102">
        <f t="shared" si="233"/>
        <v>0</v>
      </c>
      <c r="F1049" s="102">
        <f t="shared" si="233"/>
        <v>0</v>
      </c>
      <c r="G1049" s="102">
        <f t="shared" si="233"/>
        <v>0</v>
      </c>
      <c r="H1049" s="102">
        <f t="shared" si="233"/>
        <v>0</v>
      </c>
      <c r="I1049" s="102">
        <f t="shared" si="233"/>
        <v>0</v>
      </c>
      <c r="J1049" s="102">
        <f t="shared" si="233"/>
        <v>0</v>
      </c>
      <c r="K1049" s="102">
        <f t="shared" si="233"/>
        <v>0</v>
      </c>
      <c r="L1049" s="102">
        <f t="shared" si="233"/>
        <v>0</v>
      </c>
      <c r="M1049" s="102">
        <f t="shared" si="233"/>
        <v>0</v>
      </c>
      <c r="N1049" s="102">
        <f t="shared" si="233"/>
        <v>0</v>
      </c>
      <c r="O1049" s="102">
        <f t="shared" si="233"/>
        <v>0</v>
      </c>
      <c r="P1049" s="102">
        <f t="shared" si="233"/>
        <v>0</v>
      </c>
      <c r="Q1049" s="102">
        <f t="shared" si="233"/>
        <v>0</v>
      </c>
      <c r="R1049" s="102">
        <f t="shared" si="233"/>
        <v>0</v>
      </c>
      <c r="S1049" s="102">
        <f t="shared" si="233"/>
        <v>0</v>
      </c>
      <c r="T1049" s="102">
        <f t="shared" si="233"/>
        <v>1</v>
      </c>
      <c r="U1049" s="102">
        <f t="shared" si="233"/>
        <v>1</v>
      </c>
      <c r="V1049" s="102">
        <f t="shared" si="233"/>
        <v>1</v>
      </c>
      <c r="W1049" s="102">
        <f t="shared" si="233"/>
        <v>1</v>
      </c>
      <c r="X1049" s="102">
        <f t="shared" si="233"/>
        <v>1</v>
      </c>
      <c r="Y1049" s="102">
        <f t="shared" si="233"/>
        <v>1</v>
      </c>
      <c r="Z1049" s="102">
        <f t="shared" si="233"/>
        <v>1</v>
      </c>
      <c r="AA1049" s="102">
        <f t="shared" si="233"/>
        <v>1</v>
      </c>
      <c r="AB1049" s="102">
        <f t="shared" si="233"/>
        <v>1</v>
      </c>
      <c r="AC1049" s="102">
        <f t="shared" si="233"/>
        <v>1</v>
      </c>
      <c r="AD1049" s="102">
        <f t="shared" si="233"/>
        <v>1</v>
      </c>
      <c r="AE1049" s="102">
        <f t="shared" si="233"/>
        <v>1</v>
      </c>
      <c r="AF1049" s="102">
        <f t="shared" si="233"/>
        <v>1</v>
      </c>
      <c r="AG1049" s="102">
        <f t="shared" si="233"/>
        <v>1</v>
      </c>
      <c r="AH1049" s="102">
        <f t="shared" si="233"/>
        <v>1</v>
      </c>
      <c r="AI1049" s="102">
        <f t="shared" si="233"/>
        <v>1</v>
      </c>
      <c r="AJ1049" s="102">
        <f t="shared" ref="AJ1049:BO1049" si="234">AND(year&gt;Current_year,year&lt;=Current_year+Discount_period_2)*1</f>
        <v>1</v>
      </c>
      <c r="AK1049" s="102">
        <f t="shared" si="234"/>
        <v>1</v>
      </c>
      <c r="AL1049" s="102">
        <f t="shared" si="234"/>
        <v>1</v>
      </c>
      <c r="AM1049" s="102">
        <f t="shared" si="234"/>
        <v>1</v>
      </c>
      <c r="AN1049" s="102">
        <f t="shared" si="234"/>
        <v>1</v>
      </c>
      <c r="AO1049" s="102">
        <f t="shared" si="234"/>
        <v>1</v>
      </c>
      <c r="AP1049" s="102">
        <f t="shared" si="234"/>
        <v>1</v>
      </c>
      <c r="AQ1049" s="102">
        <f t="shared" si="234"/>
        <v>1</v>
      </c>
      <c r="AR1049" s="102">
        <f t="shared" si="234"/>
        <v>1</v>
      </c>
      <c r="AS1049" s="102">
        <f t="shared" si="234"/>
        <v>1</v>
      </c>
      <c r="AT1049" s="102">
        <f t="shared" si="234"/>
        <v>1</v>
      </c>
      <c r="AU1049" s="102">
        <f t="shared" si="234"/>
        <v>1</v>
      </c>
      <c r="AV1049" s="102">
        <f t="shared" si="234"/>
        <v>1</v>
      </c>
      <c r="AW1049" s="102">
        <f t="shared" si="234"/>
        <v>1</v>
      </c>
      <c r="AX1049" s="102">
        <f t="shared" si="234"/>
        <v>0</v>
      </c>
      <c r="AY1049" s="102">
        <f t="shared" si="234"/>
        <v>0</v>
      </c>
      <c r="AZ1049" s="102">
        <f t="shared" si="234"/>
        <v>0</v>
      </c>
      <c r="BA1049" s="102">
        <f t="shared" si="234"/>
        <v>0</v>
      </c>
      <c r="BB1049" s="102">
        <f t="shared" si="234"/>
        <v>0</v>
      </c>
      <c r="BC1049" s="102">
        <f t="shared" si="234"/>
        <v>0</v>
      </c>
      <c r="BD1049" s="102">
        <f t="shared" si="234"/>
        <v>0</v>
      </c>
      <c r="BE1049" s="102">
        <f t="shared" si="234"/>
        <v>0</v>
      </c>
      <c r="BF1049" s="102">
        <f t="shared" si="234"/>
        <v>0</v>
      </c>
      <c r="BG1049" s="102">
        <f t="shared" si="234"/>
        <v>0</v>
      </c>
      <c r="BH1049" s="102">
        <f t="shared" si="234"/>
        <v>0</v>
      </c>
      <c r="BI1049" s="102">
        <f t="shared" si="234"/>
        <v>0</v>
      </c>
      <c r="BJ1049" s="102">
        <f t="shared" si="234"/>
        <v>0</v>
      </c>
      <c r="BK1049" s="102">
        <f t="shared" si="234"/>
        <v>0</v>
      </c>
      <c r="BL1049" s="102">
        <f t="shared" si="234"/>
        <v>0</v>
      </c>
      <c r="BM1049" s="102">
        <f t="shared" si="234"/>
        <v>0</v>
      </c>
      <c r="BN1049" s="102">
        <f t="shared" si="234"/>
        <v>0</v>
      </c>
      <c r="BO1049" s="102">
        <f t="shared" si="234"/>
        <v>0</v>
      </c>
      <c r="BP1049" s="102">
        <f t="shared" ref="BP1049:CP1049" si="235">AND(year&gt;Current_year,year&lt;=Current_year+Discount_period_2)*1</f>
        <v>0</v>
      </c>
      <c r="BQ1049" s="102">
        <f t="shared" si="235"/>
        <v>0</v>
      </c>
      <c r="BR1049" s="102">
        <f t="shared" si="235"/>
        <v>0</v>
      </c>
      <c r="BS1049" s="102">
        <f t="shared" si="235"/>
        <v>0</v>
      </c>
      <c r="BT1049" s="102">
        <f t="shared" si="235"/>
        <v>0</v>
      </c>
      <c r="BU1049" s="102">
        <f t="shared" si="235"/>
        <v>0</v>
      </c>
      <c r="BV1049" s="102">
        <f t="shared" si="235"/>
        <v>0</v>
      </c>
      <c r="BW1049" s="102">
        <f t="shared" si="235"/>
        <v>0</v>
      </c>
      <c r="BX1049" s="102">
        <f t="shared" si="235"/>
        <v>0</v>
      </c>
      <c r="BY1049" s="102">
        <f t="shared" si="235"/>
        <v>0</v>
      </c>
      <c r="BZ1049" s="102">
        <f t="shared" si="235"/>
        <v>0</v>
      </c>
      <c r="CA1049" s="102">
        <f t="shared" si="235"/>
        <v>0</v>
      </c>
      <c r="CB1049" s="102">
        <f t="shared" si="235"/>
        <v>0</v>
      </c>
      <c r="CC1049" s="102">
        <f t="shared" si="235"/>
        <v>0</v>
      </c>
      <c r="CD1049" s="102">
        <f t="shared" si="235"/>
        <v>0</v>
      </c>
      <c r="CE1049" s="102">
        <f t="shared" si="235"/>
        <v>0</v>
      </c>
      <c r="CF1049" s="102">
        <f t="shared" si="235"/>
        <v>0</v>
      </c>
      <c r="CG1049" s="102">
        <f t="shared" si="235"/>
        <v>0</v>
      </c>
      <c r="CH1049" s="102">
        <f t="shared" si="235"/>
        <v>0</v>
      </c>
      <c r="CI1049" s="102">
        <f t="shared" si="235"/>
        <v>0</v>
      </c>
      <c r="CJ1049" s="102">
        <f t="shared" si="235"/>
        <v>0</v>
      </c>
      <c r="CK1049" s="102">
        <f t="shared" si="235"/>
        <v>0</v>
      </c>
      <c r="CL1049" s="102">
        <f t="shared" si="235"/>
        <v>0</v>
      </c>
      <c r="CM1049" s="102">
        <f t="shared" si="235"/>
        <v>0</v>
      </c>
      <c r="CN1049" s="102">
        <f t="shared" si="235"/>
        <v>0</v>
      </c>
      <c r="CO1049" s="102">
        <f t="shared" si="235"/>
        <v>0</v>
      </c>
      <c r="CP1049" s="102">
        <f t="shared" si="235"/>
        <v>0</v>
      </c>
      <c r="CQ1049" s="3" t="s">
        <v>352</v>
      </c>
    </row>
    <row r="1050" spans="1:95" ht="14.5" x14ac:dyDescent="0.35">
      <c r="A1050" s="102"/>
      <c r="B1050" s="102" t="s">
        <v>353</v>
      </c>
      <c r="C1050" s="102"/>
      <c r="D1050" s="102">
        <f t="shared" ref="D1050:AI1050" si="236">AND(year&gt;Current_year+Discount_period_2,year&lt;=Current_year+Discount_period_3)*1</f>
        <v>0</v>
      </c>
      <c r="E1050" s="102">
        <f t="shared" si="236"/>
        <v>0</v>
      </c>
      <c r="F1050" s="102">
        <f t="shared" si="236"/>
        <v>0</v>
      </c>
      <c r="G1050" s="102">
        <f t="shared" si="236"/>
        <v>0</v>
      </c>
      <c r="H1050" s="102">
        <f t="shared" si="236"/>
        <v>0</v>
      </c>
      <c r="I1050" s="102">
        <f t="shared" si="236"/>
        <v>0</v>
      </c>
      <c r="J1050" s="102">
        <f t="shared" si="236"/>
        <v>0</v>
      </c>
      <c r="K1050" s="102">
        <f t="shared" si="236"/>
        <v>0</v>
      </c>
      <c r="L1050" s="102">
        <f t="shared" si="236"/>
        <v>0</v>
      </c>
      <c r="M1050" s="102">
        <f t="shared" si="236"/>
        <v>0</v>
      </c>
      <c r="N1050" s="102">
        <f t="shared" si="236"/>
        <v>0</v>
      </c>
      <c r="O1050" s="102">
        <f t="shared" si="236"/>
        <v>0</v>
      </c>
      <c r="P1050" s="102">
        <f t="shared" si="236"/>
        <v>0</v>
      </c>
      <c r="Q1050" s="102">
        <f t="shared" si="236"/>
        <v>0</v>
      </c>
      <c r="R1050" s="102">
        <f t="shared" si="236"/>
        <v>0</v>
      </c>
      <c r="S1050" s="102">
        <f t="shared" si="236"/>
        <v>0</v>
      </c>
      <c r="T1050" s="102">
        <f t="shared" si="236"/>
        <v>0</v>
      </c>
      <c r="U1050" s="102">
        <f t="shared" si="236"/>
        <v>0</v>
      </c>
      <c r="V1050" s="102">
        <f t="shared" si="236"/>
        <v>0</v>
      </c>
      <c r="W1050" s="102">
        <f t="shared" si="236"/>
        <v>0</v>
      </c>
      <c r="X1050" s="102">
        <f t="shared" si="236"/>
        <v>0</v>
      </c>
      <c r="Y1050" s="102">
        <f t="shared" si="236"/>
        <v>0</v>
      </c>
      <c r="Z1050" s="102">
        <f t="shared" si="236"/>
        <v>0</v>
      </c>
      <c r="AA1050" s="102">
        <f t="shared" si="236"/>
        <v>0</v>
      </c>
      <c r="AB1050" s="102">
        <f t="shared" si="236"/>
        <v>0</v>
      </c>
      <c r="AC1050" s="102">
        <f t="shared" si="236"/>
        <v>0</v>
      </c>
      <c r="AD1050" s="102">
        <f t="shared" si="236"/>
        <v>0</v>
      </c>
      <c r="AE1050" s="102">
        <f t="shared" si="236"/>
        <v>0</v>
      </c>
      <c r="AF1050" s="102">
        <f t="shared" si="236"/>
        <v>0</v>
      </c>
      <c r="AG1050" s="102">
        <f t="shared" si="236"/>
        <v>0</v>
      </c>
      <c r="AH1050" s="102">
        <f t="shared" si="236"/>
        <v>0</v>
      </c>
      <c r="AI1050" s="102">
        <f t="shared" si="236"/>
        <v>0</v>
      </c>
      <c r="AJ1050" s="102">
        <f t="shared" ref="AJ1050:BO1050" si="237">AND(year&gt;Current_year+Discount_period_2,year&lt;=Current_year+Discount_period_3)*1</f>
        <v>0</v>
      </c>
      <c r="AK1050" s="102">
        <f t="shared" si="237"/>
        <v>0</v>
      </c>
      <c r="AL1050" s="102">
        <f t="shared" si="237"/>
        <v>0</v>
      </c>
      <c r="AM1050" s="102">
        <f t="shared" si="237"/>
        <v>0</v>
      </c>
      <c r="AN1050" s="102">
        <f t="shared" si="237"/>
        <v>0</v>
      </c>
      <c r="AO1050" s="102">
        <f t="shared" si="237"/>
        <v>0</v>
      </c>
      <c r="AP1050" s="102">
        <f t="shared" si="237"/>
        <v>0</v>
      </c>
      <c r="AQ1050" s="102">
        <f t="shared" si="237"/>
        <v>0</v>
      </c>
      <c r="AR1050" s="102">
        <f t="shared" si="237"/>
        <v>0</v>
      </c>
      <c r="AS1050" s="102">
        <f t="shared" si="237"/>
        <v>0</v>
      </c>
      <c r="AT1050" s="102">
        <f t="shared" si="237"/>
        <v>0</v>
      </c>
      <c r="AU1050" s="102">
        <f t="shared" si="237"/>
        <v>0</v>
      </c>
      <c r="AV1050" s="102">
        <f t="shared" si="237"/>
        <v>0</v>
      </c>
      <c r="AW1050" s="102">
        <f t="shared" si="237"/>
        <v>0</v>
      </c>
      <c r="AX1050" s="102">
        <f t="shared" si="237"/>
        <v>1</v>
      </c>
      <c r="AY1050" s="102">
        <f t="shared" si="237"/>
        <v>1</v>
      </c>
      <c r="AZ1050" s="102">
        <f t="shared" si="237"/>
        <v>1</v>
      </c>
      <c r="BA1050" s="102">
        <f t="shared" si="237"/>
        <v>1</v>
      </c>
      <c r="BB1050" s="102">
        <f t="shared" si="237"/>
        <v>1</v>
      </c>
      <c r="BC1050" s="102">
        <f t="shared" si="237"/>
        <v>1</v>
      </c>
      <c r="BD1050" s="102">
        <f t="shared" si="237"/>
        <v>1</v>
      </c>
      <c r="BE1050" s="102">
        <f t="shared" si="237"/>
        <v>1</v>
      </c>
      <c r="BF1050" s="102">
        <f t="shared" si="237"/>
        <v>1</v>
      </c>
      <c r="BG1050" s="102">
        <f t="shared" si="237"/>
        <v>1</v>
      </c>
      <c r="BH1050" s="102">
        <f t="shared" si="237"/>
        <v>1</v>
      </c>
      <c r="BI1050" s="102">
        <f t="shared" si="237"/>
        <v>1</v>
      </c>
      <c r="BJ1050" s="102">
        <f t="shared" si="237"/>
        <v>1</v>
      </c>
      <c r="BK1050" s="102">
        <f t="shared" si="237"/>
        <v>1</v>
      </c>
      <c r="BL1050" s="102">
        <f t="shared" si="237"/>
        <v>1</v>
      </c>
      <c r="BM1050" s="102">
        <f t="shared" si="237"/>
        <v>1</v>
      </c>
      <c r="BN1050" s="102">
        <f t="shared" si="237"/>
        <v>1</v>
      </c>
      <c r="BO1050" s="102">
        <f t="shared" si="237"/>
        <v>1</v>
      </c>
      <c r="BP1050" s="102">
        <f t="shared" ref="BP1050:CP1050" si="238">AND(year&gt;Current_year+Discount_period_2,year&lt;=Current_year+Discount_period_3)*1</f>
        <v>1</v>
      </c>
      <c r="BQ1050" s="102">
        <f t="shared" si="238"/>
        <v>1</v>
      </c>
      <c r="BR1050" s="102">
        <f t="shared" si="238"/>
        <v>1</v>
      </c>
      <c r="BS1050" s="102">
        <f t="shared" si="238"/>
        <v>1</v>
      </c>
      <c r="BT1050" s="102">
        <f t="shared" si="238"/>
        <v>1</v>
      </c>
      <c r="BU1050" s="102">
        <f t="shared" si="238"/>
        <v>1</v>
      </c>
      <c r="BV1050" s="102">
        <f t="shared" si="238"/>
        <v>1</v>
      </c>
      <c r="BW1050" s="102">
        <f t="shared" si="238"/>
        <v>1</v>
      </c>
      <c r="BX1050" s="102">
        <f t="shared" si="238"/>
        <v>1</v>
      </c>
      <c r="BY1050" s="102">
        <f t="shared" si="238"/>
        <v>1</v>
      </c>
      <c r="BZ1050" s="102">
        <f t="shared" si="238"/>
        <v>1</v>
      </c>
      <c r="CA1050" s="102">
        <f t="shared" si="238"/>
        <v>1</v>
      </c>
      <c r="CB1050" s="102">
        <f t="shared" si="238"/>
        <v>1</v>
      </c>
      <c r="CC1050" s="102">
        <f t="shared" si="238"/>
        <v>1</v>
      </c>
      <c r="CD1050" s="102">
        <f t="shared" si="238"/>
        <v>1</v>
      </c>
      <c r="CE1050" s="102">
        <f t="shared" si="238"/>
        <v>1</v>
      </c>
      <c r="CF1050" s="102">
        <f t="shared" si="238"/>
        <v>1</v>
      </c>
      <c r="CG1050" s="102">
        <f t="shared" si="238"/>
        <v>1</v>
      </c>
      <c r="CH1050" s="102">
        <f t="shared" si="238"/>
        <v>1</v>
      </c>
      <c r="CI1050" s="102">
        <f t="shared" si="238"/>
        <v>1</v>
      </c>
      <c r="CJ1050" s="102">
        <f t="shared" si="238"/>
        <v>1</v>
      </c>
      <c r="CK1050" s="102">
        <f t="shared" si="238"/>
        <v>1</v>
      </c>
      <c r="CL1050" s="102">
        <f t="shared" si="238"/>
        <v>1</v>
      </c>
      <c r="CM1050" s="102">
        <f t="shared" si="238"/>
        <v>1</v>
      </c>
      <c r="CN1050" s="102">
        <f t="shared" si="238"/>
        <v>1</v>
      </c>
      <c r="CO1050" s="102">
        <f t="shared" si="238"/>
        <v>1</v>
      </c>
      <c r="CP1050" s="102">
        <f t="shared" si="238"/>
        <v>1</v>
      </c>
      <c r="CQ1050" s="3" t="s">
        <v>354</v>
      </c>
    </row>
    <row r="1051" spans="1:95" ht="14.5" x14ac:dyDescent="0.3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5" x14ac:dyDescent="0.35">
      <c r="B1052" s="5" t="s">
        <v>355</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2"/>
      <c r="B1054" s="102" t="s">
        <v>177</v>
      </c>
      <c r="C1054" s="123">
        <f>Discount_rate_1_in</f>
        <v>3.5000000000000003E-2</v>
      </c>
      <c r="D1054" s="3" t="s">
        <v>356</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5" x14ac:dyDescent="0.35">
      <c r="A1055" s="102"/>
      <c r="B1055" s="102" t="s">
        <v>179</v>
      </c>
      <c r="C1055" s="123">
        <f>Discount_rate_2_in</f>
        <v>0.03</v>
      </c>
      <c r="D1055" s="3" t="s">
        <v>357</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5" x14ac:dyDescent="0.35">
      <c r="A1056" s="102"/>
      <c r="B1056" s="102" t="s">
        <v>181</v>
      </c>
      <c r="C1056" s="123">
        <f>Discount_rate_3_in</f>
        <v>2.5000000000000001E-2</v>
      </c>
      <c r="D1056" s="3" t="s">
        <v>358</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5" x14ac:dyDescent="0.3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5" x14ac:dyDescent="0.3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5" x14ac:dyDescent="0.35">
      <c r="A1059" s="102"/>
      <c r="B1059" s="102" t="s">
        <v>359</v>
      </c>
      <c r="C1059" s="102"/>
      <c r="D1059" s="143">
        <f>Discount_period_1_mask*Discount_rate_1+Discount_period_2_mask*Discount_rate_2+Discount_period_3_mask*Discount_rate_3</f>
        <v>0</v>
      </c>
      <c r="E1059" s="143">
        <f t="shared" ref="E1059:AI1059" si="239">Discount_period_1_mask*Discount_rate_1+Discount_period_2_mask*Discount_rate_2+Discount_period_3_mask*Discount_rate_3</f>
        <v>0</v>
      </c>
      <c r="F1059" s="143">
        <f t="shared" si="239"/>
        <v>0</v>
      </c>
      <c r="G1059" s="143">
        <f t="shared" si="239"/>
        <v>0</v>
      </c>
      <c r="H1059" s="143">
        <f t="shared" si="239"/>
        <v>0</v>
      </c>
      <c r="I1059" s="143">
        <f t="shared" si="239"/>
        <v>0</v>
      </c>
      <c r="J1059" s="143">
        <f t="shared" si="239"/>
        <v>0</v>
      </c>
      <c r="K1059" s="143">
        <f t="shared" si="239"/>
        <v>0</v>
      </c>
      <c r="L1059" s="143">
        <f t="shared" si="239"/>
        <v>0</v>
      </c>
      <c r="M1059" s="143">
        <f t="shared" si="239"/>
        <v>0</v>
      </c>
      <c r="N1059" s="143">
        <f t="shared" si="239"/>
        <v>0</v>
      </c>
      <c r="O1059" s="143">
        <f t="shared" si="239"/>
        <v>0</v>
      </c>
      <c r="P1059" s="143">
        <f t="shared" si="239"/>
        <v>0</v>
      </c>
      <c r="Q1059" s="143">
        <f t="shared" si="239"/>
        <v>0</v>
      </c>
      <c r="R1059" s="143">
        <f t="shared" si="239"/>
        <v>3.5000000000000003E-2</v>
      </c>
      <c r="S1059" s="143">
        <f t="shared" si="239"/>
        <v>3.5000000000000003E-2</v>
      </c>
      <c r="T1059" s="143">
        <f t="shared" si="239"/>
        <v>0.03</v>
      </c>
      <c r="U1059" s="143">
        <f t="shared" si="239"/>
        <v>0.03</v>
      </c>
      <c r="V1059" s="143">
        <f t="shared" si="239"/>
        <v>0.03</v>
      </c>
      <c r="W1059" s="143">
        <f t="shared" si="239"/>
        <v>0.03</v>
      </c>
      <c r="X1059" s="143">
        <f t="shared" si="239"/>
        <v>0.03</v>
      </c>
      <c r="Y1059" s="143">
        <f t="shared" si="239"/>
        <v>0.03</v>
      </c>
      <c r="Z1059" s="143">
        <f t="shared" si="239"/>
        <v>0.03</v>
      </c>
      <c r="AA1059" s="143">
        <f t="shared" si="239"/>
        <v>0.03</v>
      </c>
      <c r="AB1059" s="143">
        <f t="shared" si="239"/>
        <v>0.03</v>
      </c>
      <c r="AC1059" s="143">
        <f t="shared" si="239"/>
        <v>0.03</v>
      </c>
      <c r="AD1059" s="143">
        <f t="shared" si="239"/>
        <v>0.03</v>
      </c>
      <c r="AE1059" s="143">
        <f t="shared" si="239"/>
        <v>0.03</v>
      </c>
      <c r="AF1059" s="143">
        <f t="shared" si="239"/>
        <v>0.03</v>
      </c>
      <c r="AG1059" s="143">
        <f t="shared" si="239"/>
        <v>0.03</v>
      </c>
      <c r="AH1059" s="143">
        <f t="shared" si="239"/>
        <v>0.03</v>
      </c>
      <c r="AI1059" s="143">
        <f t="shared" si="239"/>
        <v>0.03</v>
      </c>
      <c r="AJ1059" s="143">
        <f t="shared" ref="AJ1059:BO1059" si="240">Discount_period_1_mask*Discount_rate_1+Discount_period_2_mask*Discount_rate_2+Discount_period_3_mask*Discount_rate_3</f>
        <v>0.03</v>
      </c>
      <c r="AK1059" s="143">
        <f t="shared" si="240"/>
        <v>0.03</v>
      </c>
      <c r="AL1059" s="143">
        <f t="shared" si="240"/>
        <v>0.03</v>
      </c>
      <c r="AM1059" s="143">
        <f t="shared" si="240"/>
        <v>0.03</v>
      </c>
      <c r="AN1059" s="143">
        <f t="shared" si="240"/>
        <v>0.03</v>
      </c>
      <c r="AO1059" s="143">
        <f t="shared" si="240"/>
        <v>0.03</v>
      </c>
      <c r="AP1059" s="143">
        <f t="shared" si="240"/>
        <v>0.03</v>
      </c>
      <c r="AQ1059" s="143">
        <f t="shared" si="240"/>
        <v>0.03</v>
      </c>
      <c r="AR1059" s="143">
        <f t="shared" si="240"/>
        <v>0.03</v>
      </c>
      <c r="AS1059" s="143">
        <f t="shared" si="240"/>
        <v>0.03</v>
      </c>
      <c r="AT1059" s="143">
        <f t="shared" si="240"/>
        <v>0.03</v>
      </c>
      <c r="AU1059" s="143">
        <f t="shared" si="240"/>
        <v>0.03</v>
      </c>
      <c r="AV1059" s="143">
        <f t="shared" si="240"/>
        <v>0.03</v>
      </c>
      <c r="AW1059" s="143">
        <f t="shared" si="240"/>
        <v>0.03</v>
      </c>
      <c r="AX1059" s="143">
        <f t="shared" si="240"/>
        <v>2.5000000000000001E-2</v>
      </c>
      <c r="AY1059" s="143">
        <f t="shared" si="240"/>
        <v>2.5000000000000001E-2</v>
      </c>
      <c r="AZ1059" s="143">
        <f t="shared" si="240"/>
        <v>2.5000000000000001E-2</v>
      </c>
      <c r="BA1059" s="143">
        <f t="shared" si="240"/>
        <v>2.5000000000000001E-2</v>
      </c>
      <c r="BB1059" s="143">
        <f t="shared" si="240"/>
        <v>2.5000000000000001E-2</v>
      </c>
      <c r="BC1059" s="143">
        <f t="shared" si="240"/>
        <v>2.5000000000000001E-2</v>
      </c>
      <c r="BD1059" s="143">
        <f t="shared" si="240"/>
        <v>2.5000000000000001E-2</v>
      </c>
      <c r="BE1059" s="143">
        <f t="shared" si="240"/>
        <v>2.5000000000000001E-2</v>
      </c>
      <c r="BF1059" s="143">
        <f t="shared" si="240"/>
        <v>2.5000000000000001E-2</v>
      </c>
      <c r="BG1059" s="143">
        <f t="shared" si="240"/>
        <v>2.5000000000000001E-2</v>
      </c>
      <c r="BH1059" s="143">
        <f t="shared" si="240"/>
        <v>2.5000000000000001E-2</v>
      </c>
      <c r="BI1059" s="143">
        <f t="shared" si="240"/>
        <v>2.5000000000000001E-2</v>
      </c>
      <c r="BJ1059" s="143">
        <f t="shared" si="240"/>
        <v>2.5000000000000001E-2</v>
      </c>
      <c r="BK1059" s="143">
        <f t="shared" si="240"/>
        <v>2.5000000000000001E-2</v>
      </c>
      <c r="BL1059" s="143">
        <f t="shared" si="240"/>
        <v>2.5000000000000001E-2</v>
      </c>
      <c r="BM1059" s="143">
        <f t="shared" si="240"/>
        <v>2.5000000000000001E-2</v>
      </c>
      <c r="BN1059" s="143">
        <f t="shared" si="240"/>
        <v>2.5000000000000001E-2</v>
      </c>
      <c r="BO1059" s="143">
        <f t="shared" si="240"/>
        <v>2.5000000000000001E-2</v>
      </c>
      <c r="BP1059" s="143">
        <f t="shared" ref="BP1059:CP1059" si="241">Discount_period_1_mask*Discount_rate_1+Discount_period_2_mask*Discount_rate_2+Discount_period_3_mask*Discount_rate_3</f>
        <v>2.5000000000000001E-2</v>
      </c>
      <c r="BQ1059" s="143">
        <f t="shared" si="241"/>
        <v>2.5000000000000001E-2</v>
      </c>
      <c r="BR1059" s="143">
        <f t="shared" si="241"/>
        <v>2.5000000000000001E-2</v>
      </c>
      <c r="BS1059" s="143">
        <f t="shared" si="241"/>
        <v>2.5000000000000001E-2</v>
      </c>
      <c r="BT1059" s="143">
        <f t="shared" si="241"/>
        <v>2.5000000000000001E-2</v>
      </c>
      <c r="BU1059" s="143">
        <f t="shared" si="241"/>
        <v>2.5000000000000001E-2</v>
      </c>
      <c r="BV1059" s="143">
        <f t="shared" si="241"/>
        <v>2.5000000000000001E-2</v>
      </c>
      <c r="BW1059" s="143">
        <f t="shared" si="241"/>
        <v>2.5000000000000001E-2</v>
      </c>
      <c r="BX1059" s="143">
        <f t="shared" si="241"/>
        <v>2.5000000000000001E-2</v>
      </c>
      <c r="BY1059" s="143">
        <f t="shared" si="241"/>
        <v>2.5000000000000001E-2</v>
      </c>
      <c r="BZ1059" s="143">
        <f t="shared" si="241"/>
        <v>2.5000000000000001E-2</v>
      </c>
      <c r="CA1059" s="143">
        <f t="shared" si="241"/>
        <v>2.5000000000000001E-2</v>
      </c>
      <c r="CB1059" s="143">
        <f t="shared" si="241"/>
        <v>2.5000000000000001E-2</v>
      </c>
      <c r="CC1059" s="143">
        <f t="shared" si="241"/>
        <v>2.5000000000000001E-2</v>
      </c>
      <c r="CD1059" s="143">
        <f t="shared" si="241"/>
        <v>2.5000000000000001E-2</v>
      </c>
      <c r="CE1059" s="143">
        <f t="shared" si="241"/>
        <v>2.5000000000000001E-2</v>
      </c>
      <c r="CF1059" s="143">
        <f t="shared" si="241"/>
        <v>2.5000000000000001E-2</v>
      </c>
      <c r="CG1059" s="143">
        <f t="shared" si="241"/>
        <v>2.5000000000000001E-2</v>
      </c>
      <c r="CH1059" s="143">
        <f t="shared" si="241"/>
        <v>2.5000000000000001E-2</v>
      </c>
      <c r="CI1059" s="143">
        <f t="shared" si="241"/>
        <v>2.5000000000000001E-2</v>
      </c>
      <c r="CJ1059" s="143">
        <f t="shared" si="241"/>
        <v>2.5000000000000001E-2</v>
      </c>
      <c r="CK1059" s="143">
        <f t="shared" si="241"/>
        <v>2.5000000000000001E-2</v>
      </c>
      <c r="CL1059" s="143">
        <f t="shared" si="241"/>
        <v>2.5000000000000001E-2</v>
      </c>
      <c r="CM1059" s="143">
        <f t="shared" si="241"/>
        <v>2.5000000000000001E-2</v>
      </c>
      <c r="CN1059" s="143">
        <f t="shared" si="241"/>
        <v>2.5000000000000001E-2</v>
      </c>
      <c r="CO1059" s="143">
        <f t="shared" si="241"/>
        <v>2.5000000000000001E-2</v>
      </c>
      <c r="CP1059" s="143">
        <f t="shared" si="241"/>
        <v>2.5000000000000001E-2</v>
      </c>
      <c r="CQ1059" s="3" t="s">
        <v>360</v>
      </c>
    </row>
    <row r="1060" spans="1:95" ht="14.5" x14ac:dyDescent="0.35">
      <c r="A1060" s="102"/>
      <c r="B1060" s="102" t="s">
        <v>361</v>
      </c>
      <c r="C1060" s="102">
        <v>1</v>
      </c>
      <c r="D1060" s="120">
        <f>C1060*(1+Discount_rate_profile)</f>
        <v>1</v>
      </c>
      <c r="E1060" s="120">
        <f t="shared" ref="E1060:AI1060" si="242">D1060*(1+Discount_rate_profile)</f>
        <v>1</v>
      </c>
      <c r="F1060" s="120">
        <f t="shared" si="242"/>
        <v>1</v>
      </c>
      <c r="G1060" s="120">
        <f t="shared" si="242"/>
        <v>1</v>
      </c>
      <c r="H1060" s="120">
        <f t="shared" si="242"/>
        <v>1</v>
      </c>
      <c r="I1060" s="120">
        <f t="shared" si="242"/>
        <v>1</v>
      </c>
      <c r="J1060" s="120">
        <f t="shared" si="242"/>
        <v>1</v>
      </c>
      <c r="K1060" s="120">
        <f t="shared" si="242"/>
        <v>1</v>
      </c>
      <c r="L1060" s="120">
        <f t="shared" si="242"/>
        <v>1</v>
      </c>
      <c r="M1060" s="120">
        <f t="shared" si="242"/>
        <v>1</v>
      </c>
      <c r="N1060" s="120">
        <f t="shared" si="242"/>
        <v>1</v>
      </c>
      <c r="O1060" s="120">
        <f t="shared" si="242"/>
        <v>1</v>
      </c>
      <c r="P1060" s="120">
        <f t="shared" si="242"/>
        <v>1</v>
      </c>
      <c r="Q1060" s="120">
        <f t="shared" si="242"/>
        <v>1</v>
      </c>
      <c r="R1060" s="120">
        <f t="shared" si="242"/>
        <v>1.0349999999999999</v>
      </c>
      <c r="S1060" s="120">
        <f t="shared" si="242"/>
        <v>1.0712249999999999</v>
      </c>
      <c r="T1060" s="120">
        <f t="shared" si="242"/>
        <v>1.1033617499999999</v>
      </c>
      <c r="U1060" s="120">
        <f t="shared" si="242"/>
        <v>1.1364626025</v>
      </c>
      <c r="V1060" s="120">
        <f t="shared" si="242"/>
        <v>1.1705564805749999</v>
      </c>
      <c r="W1060" s="120">
        <f t="shared" si="242"/>
        <v>1.20567317499225</v>
      </c>
      <c r="X1060" s="120">
        <f t="shared" si="242"/>
        <v>1.2418433702420175</v>
      </c>
      <c r="Y1060" s="120">
        <f t="shared" si="242"/>
        <v>1.279098671349278</v>
      </c>
      <c r="Z1060" s="120">
        <f t="shared" si="242"/>
        <v>1.3174716314897563</v>
      </c>
      <c r="AA1060" s="120">
        <f t="shared" si="242"/>
        <v>1.356995780434449</v>
      </c>
      <c r="AB1060" s="120">
        <f t="shared" si="242"/>
        <v>1.3977056538474826</v>
      </c>
      <c r="AC1060" s="120">
        <f t="shared" si="242"/>
        <v>1.4396368234629071</v>
      </c>
      <c r="AD1060" s="120">
        <f t="shared" si="242"/>
        <v>1.4828259281667944</v>
      </c>
      <c r="AE1060" s="120">
        <f t="shared" si="242"/>
        <v>1.5273107060117983</v>
      </c>
      <c r="AF1060" s="120">
        <f t="shared" si="242"/>
        <v>1.5731300271921522</v>
      </c>
      <c r="AG1060" s="120">
        <f t="shared" si="242"/>
        <v>1.6203239280079169</v>
      </c>
      <c r="AH1060" s="120">
        <f t="shared" si="242"/>
        <v>1.6689336458481545</v>
      </c>
      <c r="AI1060" s="120">
        <f t="shared" si="242"/>
        <v>1.7190016552235992</v>
      </c>
      <c r="AJ1060" s="120">
        <f t="shared" ref="AJ1060:BO1060" si="243">AI1060*(1+Discount_rate_profile)</f>
        <v>1.7705717048803071</v>
      </c>
      <c r="AK1060" s="120">
        <f t="shared" si="243"/>
        <v>1.8236888560267164</v>
      </c>
      <c r="AL1060" s="120">
        <f t="shared" si="243"/>
        <v>1.878399521707518</v>
      </c>
      <c r="AM1060" s="120">
        <f t="shared" si="243"/>
        <v>1.9347515073587436</v>
      </c>
      <c r="AN1060" s="120">
        <f t="shared" si="243"/>
        <v>1.992794052579506</v>
      </c>
      <c r="AO1060" s="120">
        <f t="shared" si="243"/>
        <v>2.0525778741568912</v>
      </c>
      <c r="AP1060" s="120">
        <f t="shared" si="243"/>
        <v>2.1141552103815981</v>
      </c>
      <c r="AQ1060" s="120">
        <f t="shared" si="243"/>
        <v>2.1775798666930459</v>
      </c>
      <c r="AR1060" s="120">
        <f t="shared" si="243"/>
        <v>2.2429072626938376</v>
      </c>
      <c r="AS1060" s="120">
        <f t="shared" si="243"/>
        <v>2.3101944805746526</v>
      </c>
      <c r="AT1060" s="120">
        <f t="shared" si="243"/>
        <v>2.3795003149918923</v>
      </c>
      <c r="AU1060" s="120">
        <f t="shared" si="243"/>
        <v>2.4508853244416491</v>
      </c>
      <c r="AV1060" s="120">
        <f t="shared" si="243"/>
        <v>2.5244118841748988</v>
      </c>
      <c r="AW1060" s="120">
        <f t="shared" si="243"/>
        <v>2.6001442407001458</v>
      </c>
      <c r="AX1060" s="120">
        <f t="shared" si="243"/>
        <v>2.665147846717649</v>
      </c>
      <c r="AY1060" s="120">
        <f t="shared" si="243"/>
        <v>2.7317765428855902</v>
      </c>
      <c r="AZ1060" s="120">
        <f t="shared" si="243"/>
        <v>2.8000709564577297</v>
      </c>
      <c r="BA1060" s="120">
        <f t="shared" si="243"/>
        <v>2.8700727303691727</v>
      </c>
      <c r="BB1060" s="120">
        <f t="shared" si="243"/>
        <v>2.9418245486284018</v>
      </c>
      <c r="BC1060" s="120">
        <f t="shared" si="243"/>
        <v>3.0153701623441118</v>
      </c>
      <c r="BD1060" s="120">
        <f t="shared" si="243"/>
        <v>3.0907544164027145</v>
      </c>
      <c r="BE1060" s="120">
        <f t="shared" si="243"/>
        <v>3.1680232768127823</v>
      </c>
      <c r="BF1060" s="120">
        <f t="shared" si="243"/>
        <v>3.2472238587331015</v>
      </c>
      <c r="BG1060" s="120">
        <f t="shared" si="243"/>
        <v>3.3284044552014289</v>
      </c>
      <c r="BH1060" s="120">
        <f t="shared" si="243"/>
        <v>3.4116145665814646</v>
      </c>
      <c r="BI1060" s="120">
        <f t="shared" si="243"/>
        <v>3.496904930746001</v>
      </c>
      <c r="BJ1060" s="120">
        <f t="shared" si="243"/>
        <v>3.5843275540146506</v>
      </c>
      <c r="BK1060" s="120">
        <f t="shared" si="243"/>
        <v>3.6739357428650168</v>
      </c>
      <c r="BL1060" s="120">
        <f t="shared" si="243"/>
        <v>3.765784136436642</v>
      </c>
      <c r="BM1060" s="120">
        <f t="shared" si="243"/>
        <v>3.8599287398475579</v>
      </c>
      <c r="BN1060" s="120">
        <f t="shared" si="243"/>
        <v>3.9564269583437466</v>
      </c>
      <c r="BO1060" s="120">
        <f t="shared" si="243"/>
        <v>4.05533763230234</v>
      </c>
      <c r="BP1060" s="120">
        <f t="shared" ref="BP1060:CP1060" si="244">BO1060*(1+Discount_rate_profile)</f>
        <v>4.1567210731098978</v>
      </c>
      <c r="BQ1060" s="120">
        <f t="shared" si="244"/>
        <v>4.2606390999376451</v>
      </c>
      <c r="BR1060" s="120">
        <f t="shared" si="244"/>
        <v>4.3671550774360854</v>
      </c>
      <c r="BS1060" s="120">
        <f t="shared" si="244"/>
        <v>4.4763339543719871</v>
      </c>
      <c r="BT1060" s="120">
        <f t="shared" si="244"/>
        <v>4.5882423032312865</v>
      </c>
      <c r="BU1060" s="120">
        <f t="shared" si="244"/>
        <v>4.7029483608120684</v>
      </c>
      <c r="BV1060" s="120">
        <f t="shared" si="244"/>
        <v>4.8205220698323696</v>
      </c>
      <c r="BW1060" s="120">
        <f t="shared" si="244"/>
        <v>4.941035121578178</v>
      </c>
      <c r="BX1060" s="120">
        <f t="shared" si="244"/>
        <v>5.0645609996176324</v>
      </c>
      <c r="BY1060" s="120">
        <f t="shared" si="244"/>
        <v>5.1911750246080723</v>
      </c>
      <c r="BZ1060" s="120">
        <f t="shared" si="244"/>
        <v>5.3209544002232736</v>
      </c>
      <c r="CA1060" s="120">
        <f t="shared" si="244"/>
        <v>5.4539782602288547</v>
      </c>
      <c r="CB1060" s="120">
        <f t="shared" si="244"/>
        <v>5.590327716734576</v>
      </c>
      <c r="CC1060" s="120">
        <f t="shared" si="244"/>
        <v>5.7300859096529395</v>
      </c>
      <c r="CD1060" s="120">
        <f t="shared" si="244"/>
        <v>5.8733380573942622</v>
      </c>
      <c r="CE1060" s="120">
        <f t="shared" si="244"/>
        <v>6.0201715088291179</v>
      </c>
      <c r="CF1060" s="120">
        <f t="shared" si="244"/>
        <v>6.1706757965498449</v>
      </c>
      <c r="CG1060" s="120">
        <f t="shared" si="244"/>
        <v>6.3249426914635904</v>
      </c>
      <c r="CH1060" s="120">
        <f t="shared" si="244"/>
        <v>6.4830662587501795</v>
      </c>
      <c r="CI1060" s="120">
        <f t="shared" si="244"/>
        <v>6.6451429152189334</v>
      </c>
      <c r="CJ1060" s="120">
        <f t="shared" si="244"/>
        <v>6.8112714880994059</v>
      </c>
      <c r="CK1060" s="120">
        <f t="shared" si="244"/>
        <v>6.9815532753018905</v>
      </c>
      <c r="CL1060" s="120">
        <f t="shared" si="244"/>
        <v>7.1560921071844374</v>
      </c>
      <c r="CM1060" s="120">
        <f t="shared" si="244"/>
        <v>7.3349944098640476</v>
      </c>
      <c r="CN1060" s="120">
        <f t="shared" si="244"/>
        <v>7.5183692701106484</v>
      </c>
      <c r="CO1060" s="120">
        <f t="shared" si="244"/>
        <v>7.706328501863414</v>
      </c>
      <c r="CP1060" s="120">
        <f t="shared" si="244"/>
        <v>7.8989867144099986</v>
      </c>
      <c r="CQ1060" s="3" t="s">
        <v>362</v>
      </c>
    </row>
    <row r="1061" spans="1:95" ht="14.5" x14ac:dyDescent="0.3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5" x14ac:dyDescent="0.35">
      <c r="B1062" s="5" t="s">
        <v>363</v>
      </c>
    </row>
    <row r="1063" spans="1:95" ht="14.5" x14ac:dyDescent="0.35">
      <c r="A1063" s="102"/>
      <c r="B1063" s="3" t="s">
        <v>364</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5" x14ac:dyDescent="0.3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5" x14ac:dyDescent="0.3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5" x14ac:dyDescent="0.35">
      <c r="A1066" s="102"/>
      <c r="B1066" s="102" t="s">
        <v>143</v>
      </c>
      <c r="C1066" s="102"/>
      <c r="D1066" s="101">
        <f t="shared" ref="D1066:AI1066" si="245">Annual_sleep_disturbance_valuation_hh_adj/Discount_factor</f>
        <v>0</v>
      </c>
      <c r="E1066" s="101">
        <f t="shared" si="245"/>
        <v>0</v>
      </c>
      <c r="F1066" s="101">
        <f t="shared" si="245"/>
        <v>0</v>
      </c>
      <c r="G1066" s="101">
        <f t="shared" si="245"/>
        <v>0</v>
      </c>
      <c r="H1066" s="101">
        <f t="shared" si="245"/>
        <v>0</v>
      </c>
      <c r="I1066" s="101">
        <f>Annual_sleep_disturbance_valuation_hh_adj/Discount_factor</f>
        <v>0</v>
      </c>
      <c r="J1066" s="101">
        <f t="shared" si="245"/>
        <v>0</v>
      </c>
      <c r="K1066" s="101">
        <f t="shared" si="245"/>
        <v>0</v>
      </c>
      <c r="L1066" s="101">
        <f t="shared" si="245"/>
        <v>0</v>
      </c>
      <c r="M1066" s="101">
        <f t="shared" si="245"/>
        <v>0</v>
      </c>
      <c r="N1066" s="101">
        <f>Annual_sleep_disturbance_valuation_hh_adj/Discount_factor</f>
        <v>0</v>
      </c>
      <c r="O1066" s="101">
        <f t="shared" si="245"/>
        <v>0</v>
      </c>
      <c r="P1066" s="101">
        <f t="shared" si="245"/>
        <v>0</v>
      </c>
      <c r="Q1066" s="101">
        <f t="shared" si="245"/>
        <v>0</v>
      </c>
      <c r="R1066" s="101">
        <f t="shared" si="245"/>
        <v>0</v>
      </c>
      <c r="S1066" s="101">
        <f t="shared" si="245"/>
        <v>0</v>
      </c>
      <c r="T1066" s="101">
        <f t="shared" si="245"/>
        <v>0</v>
      </c>
      <c r="U1066" s="101">
        <f t="shared" si="245"/>
        <v>0</v>
      </c>
      <c r="V1066" s="101">
        <f t="shared" si="245"/>
        <v>0</v>
      </c>
      <c r="W1066" s="101">
        <f t="shared" si="245"/>
        <v>0</v>
      </c>
      <c r="X1066" s="101">
        <f t="shared" si="245"/>
        <v>0</v>
      </c>
      <c r="Y1066" s="101">
        <f t="shared" si="245"/>
        <v>0</v>
      </c>
      <c r="Z1066" s="101">
        <f t="shared" si="245"/>
        <v>0</v>
      </c>
      <c r="AA1066" s="101">
        <f t="shared" si="245"/>
        <v>0</v>
      </c>
      <c r="AB1066" s="101">
        <f t="shared" si="245"/>
        <v>0</v>
      </c>
      <c r="AC1066" s="101">
        <f t="shared" si="245"/>
        <v>0</v>
      </c>
      <c r="AD1066" s="101">
        <f t="shared" si="245"/>
        <v>0</v>
      </c>
      <c r="AE1066" s="101">
        <f t="shared" si="245"/>
        <v>0</v>
      </c>
      <c r="AF1066" s="101">
        <f t="shared" si="245"/>
        <v>0</v>
      </c>
      <c r="AG1066" s="101">
        <f t="shared" si="245"/>
        <v>0</v>
      </c>
      <c r="AH1066" s="101">
        <f t="shared" si="245"/>
        <v>0</v>
      </c>
      <c r="AI1066" s="101">
        <f t="shared" si="245"/>
        <v>0</v>
      </c>
      <c r="AJ1066" s="101">
        <f t="shared" ref="AJ1066:BO1066" si="246">Annual_sleep_disturbance_valuation_hh_adj/Discount_factor</f>
        <v>0</v>
      </c>
      <c r="AK1066" s="101">
        <f t="shared" si="246"/>
        <v>0</v>
      </c>
      <c r="AL1066" s="101">
        <f t="shared" si="246"/>
        <v>0</v>
      </c>
      <c r="AM1066" s="101">
        <f t="shared" si="246"/>
        <v>0</v>
      </c>
      <c r="AN1066" s="101">
        <f t="shared" si="246"/>
        <v>0</v>
      </c>
      <c r="AO1066" s="101">
        <f t="shared" si="246"/>
        <v>0</v>
      </c>
      <c r="AP1066" s="101">
        <f t="shared" si="246"/>
        <v>0</v>
      </c>
      <c r="AQ1066" s="101">
        <f t="shared" si="246"/>
        <v>0</v>
      </c>
      <c r="AR1066" s="101">
        <f t="shared" si="246"/>
        <v>0</v>
      </c>
      <c r="AS1066" s="101">
        <f t="shared" si="246"/>
        <v>0</v>
      </c>
      <c r="AT1066" s="101">
        <f t="shared" si="246"/>
        <v>0</v>
      </c>
      <c r="AU1066" s="101">
        <f t="shared" si="246"/>
        <v>0</v>
      </c>
      <c r="AV1066" s="101">
        <f t="shared" si="246"/>
        <v>0</v>
      </c>
      <c r="AW1066" s="101">
        <f t="shared" si="246"/>
        <v>0</v>
      </c>
      <c r="AX1066" s="101">
        <f t="shared" si="246"/>
        <v>0</v>
      </c>
      <c r="AY1066" s="101">
        <f t="shared" si="246"/>
        <v>0</v>
      </c>
      <c r="AZ1066" s="101">
        <f t="shared" si="246"/>
        <v>0</v>
      </c>
      <c r="BA1066" s="101">
        <f t="shared" si="246"/>
        <v>0</v>
      </c>
      <c r="BB1066" s="101">
        <f t="shared" si="246"/>
        <v>0</v>
      </c>
      <c r="BC1066" s="101">
        <f t="shared" si="246"/>
        <v>0</v>
      </c>
      <c r="BD1066" s="101">
        <f t="shared" si="246"/>
        <v>0</v>
      </c>
      <c r="BE1066" s="101">
        <f t="shared" si="246"/>
        <v>0</v>
      </c>
      <c r="BF1066" s="101">
        <f t="shared" si="246"/>
        <v>0</v>
      </c>
      <c r="BG1066" s="101">
        <f t="shared" si="246"/>
        <v>0</v>
      </c>
      <c r="BH1066" s="101">
        <f t="shared" si="246"/>
        <v>0</v>
      </c>
      <c r="BI1066" s="101">
        <f t="shared" si="246"/>
        <v>0</v>
      </c>
      <c r="BJ1066" s="101">
        <f t="shared" si="246"/>
        <v>0</v>
      </c>
      <c r="BK1066" s="101">
        <f t="shared" si="246"/>
        <v>0</v>
      </c>
      <c r="BL1066" s="101">
        <f t="shared" si="246"/>
        <v>0</v>
      </c>
      <c r="BM1066" s="101">
        <f t="shared" si="246"/>
        <v>0</v>
      </c>
      <c r="BN1066" s="101">
        <f t="shared" si="246"/>
        <v>0</v>
      </c>
      <c r="BO1066" s="101">
        <f t="shared" si="246"/>
        <v>0</v>
      </c>
      <c r="BP1066" s="101">
        <f t="shared" ref="BP1066:CP1066" si="247">Annual_sleep_disturbance_valuation_hh_adj/Discount_factor</f>
        <v>0</v>
      </c>
      <c r="BQ1066" s="101">
        <f t="shared" si="247"/>
        <v>0</v>
      </c>
      <c r="BR1066" s="101">
        <f t="shared" si="247"/>
        <v>0</v>
      </c>
      <c r="BS1066" s="101">
        <f t="shared" si="247"/>
        <v>0</v>
      </c>
      <c r="BT1066" s="101">
        <f t="shared" si="247"/>
        <v>0</v>
      </c>
      <c r="BU1066" s="101">
        <f t="shared" si="247"/>
        <v>0</v>
      </c>
      <c r="BV1066" s="101">
        <f t="shared" si="247"/>
        <v>0</v>
      </c>
      <c r="BW1066" s="101">
        <f t="shared" si="247"/>
        <v>0</v>
      </c>
      <c r="BX1066" s="101">
        <f t="shared" si="247"/>
        <v>0</v>
      </c>
      <c r="BY1066" s="101">
        <f t="shared" si="247"/>
        <v>0</v>
      </c>
      <c r="BZ1066" s="101">
        <f t="shared" si="247"/>
        <v>0</v>
      </c>
      <c r="CA1066" s="101">
        <f t="shared" si="247"/>
        <v>0</v>
      </c>
      <c r="CB1066" s="101">
        <f t="shared" si="247"/>
        <v>0</v>
      </c>
      <c r="CC1066" s="101">
        <f t="shared" si="247"/>
        <v>0</v>
      </c>
      <c r="CD1066" s="101">
        <f t="shared" si="247"/>
        <v>0</v>
      </c>
      <c r="CE1066" s="101">
        <f t="shared" si="247"/>
        <v>0</v>
      </c>
      <c r="CF1066" s="101">
        <f t="shared" si="247"/>
        <v>0</v>
      </c>
      <c r="CG1066" s="101">
        <f t="shared" si="247"/>
        <v>0</v>
      </c>
      <c r="CH1066" s="101">
        <f t="shared" si="247"/>
        <v>0</v>
      </c>
      <c r="CI1066" s="101">
        <f t="shared" si="247"/>
        <v>0</v>
      </c>
      <c r="CJ1066" s="101">
        <f t="shared" si="247"/>
        <v>0</v>
      </c>
      <c r="CK1066" s="101">
        <f t="shared" si="247"/>
        <v>0</v>
      </c>
      <c r="CL1066" s="101">
        <f t="shared" si="247"/>
        <v>0</v>
      </c>
      <c r="CM1066" s="101">
        <f t="shared" si="247"/>
        <v>0</v>
      </c>
      <c r="CN1066" s="101">
        <f t="shared" si="247"/>
        <v>0</v>
      </c>
      <c r="CO1066" s="101">
        <f t="shared" si="247"/>
        <v>0</v>
      </c>
      <c r="CP1066" s="101">
        <f t="shared" si="247"/>
        <v>0</v>
      </c>
      <c r="CQ1066" s="3" t="s">
        <v>365</v>
      </c>
    </row>
    <row r="1067" spans="1:95" ht="14.5" x14ac:dyDescent="0.35">
      <c r="A1067" s="102"/>
      <c r="B1067" s="102" t="s">
        <v>145</v>
      </c>
      <c r="C1067" s="102"/>
      <c r="D1067" s="101">
        <f t="shared" ref="D1067:AI1067" si="248">Annual_amenity_valuation_hh_adj/Discount_factor</f>
        <v>0</v>
      </c>
      <c r="E1067" s="101">
        <f t="shared" si="248"/>
        <v>0</v>
      </c>
      <c r="F1067" s="101">
        <f t="shared" si="248"/>
        <v>0</v>
      </c>
      <c r="G1067" s="101">
        <f t="shared" si="248"/>
        <v>0</v>
      </c>
      <c r="H1067" s="101">
        <f t="shared" si="248"/>
        <v>0</v>
      </c>
      <c r="I1067" s="101">
        <f>Annual_amenity_valuation_hh_adj/Discount_factor</f>
        <v>0</v>
      </c>
      <c r="J1067" s="101">
        <f t="shared" si="248"/>
        <v>0</v>
      </c>
      <c r="K1067" s="101">
        <f t="shared" si="248"/>
        <v>0</v>
      </c>
      <c r="L1067" s="101">
        <f t="shared" si="248"/>
        <v>0</v>
      </c>
      <c r="M1067" s="101">
        <f t="shared" si="248"/>
        <v>0</v>
      </c>
      <c r="N1067" s="101">
        <f t="shared" si="248"/>
        <v>0</v>
      </c>
      <c r="O1067" s="101">
        <f t="shared" si="248"/>
        <v>0</v>
      </c>
      <c r="P1067" s="101">
        <f t="shared" si="248"/>
        <v>0</v>
      </c>
      <c r="Q1067" s="101">
        <f t="shared" si="248"/>
        <v>0</v>
      </c>
      <c r="R1067" s="101">
        <f t="shared" si="248"/>
        <v>0</v>
      </c>
      <c r="S1067" s="101">
        <f t="shared" si="248"/>
        <v>0</v>
      </c>
      <c r="T1067" s="101">
        <f t="shared" si="248"/>
        <v>0</v>
      </c>
      <c r="U1067" s="101">
        <f t="shared" si="248"/>
        <v>0</v>
      </c>
      <c r="V1067" s="101">
        <f t="shared" si="248"/>
        <v>0</v>
      </c>
      <c r="W1067" s="101">
        <f t="shared" si="248"/>
        <v>0</v>
      </c>
      <c r="X1067" s="101">
        <f t="shared" si="248"/>
        <v>0</v>
      </c>
      <c r="Y1067" s="101">
        <f t="shared" si="248"/>
        <v>0</v>
      </c>
      <c r="Z1067" s="101">
        <f t="shared" si="248"/>
        <v>0</v>
      </c>
      <c r="AA1067" s="101">
        <f t="shared" si="248"/>
        <v>0</v>
      </c>
      <c r="AB1067" s="101">
        <f>Annual_amenity_valuation_hh_adj/Discount_factor</f>
        <v>0</v>
      </c>
      <c r="AC1067" s="101">
        <f>Annual_amenity_valuation_hh_adj/Discount_factor</f>
        <v>0</v>
      </c>
      <c r="AD1067" s="101">
        <f t="shared" si="248"/>
        <v>0</v>
      </c>
      <c r="AE1067" s="101">
        <f t="shared" si="248"/>
        <v>0</v>
      </c>
      <c r="AF1067" s="101">
        <f t="shared" si="248"/>
        <v>0</v>
      </c>
      <c r="AG1067" s="101">
        <f t="shared" si="248"/>
        <v>0</v>
      </c>
      <c r="AH1067" s="101">
        <f t="shared" si="248"/>
        <v>0</v>
      </c>
      <c r="AI1067" s="101">
        <f t="shared" si="248"/>
        <v>0</v>
      </c>
      <c r="AJ1067" s="101">
        <f t="shared" ref="AJ1067:BO1067" si="249">Annual_amenity_valuation_hh_adj/Discount_factor</f>
        <v>0</v>
      </c>
      <c r="AK1067" s="101">
        <f t="shared" si="249"/>
        <v>0</v>
      </c>
      <c r="AL1067" s="101">
        <f t="shared" si="249"/>
        <v>0</v>
      </c>
      <c r="AM1067" s="101">
        <f t="shared" si="249"/>
        <v>0</v>
      </c>
      <c r="AN1067" s="101">
        <f t="shared" si="249"/>
        <v>0</v>
      </c>
      <c r="AO1067" s="101">
        <f t="shared" si="249"/>
        <v>0</v>
      </c>
      <c r="AP1067" s="101">
        <f t="shared" si="249"/>
        <v>0</v>
      </c>
      <c r="AQ1067" s="101">
        <f t="shared" si="249"/>
        <v>0</v>
      </c>
      <c r="AR1067" s="101">
        <f t="shared" si="249"/>
        <v>0</v>
      </c>
      <c r="AS1067" s="101">
        <f t="shared" si="249"/>
        <v>0</v>
      </c>
      <c r="AT1067" s="101">
        <f t="shared" si="249"/>
        <v>0</v>
      </c>
      <c r="AU1067" s="101">
        <f t="shared" si="249"/>
        <v>0</v>
      </c>
      <c r="AV1067" s="101">
        <f t="shared" si="249"/>
        <v>0</v>
      </c>
      <c r="AW1067" s="101">
        <f t="shared" si="249"/>
        <v>0</v>
      </c>
      <c r="AX1067" s="101">
        <f t="shared" si="249"/>
        <v>0</v>
      </c>
      <c r="AY1067" s="101">
        <f t="shared" si="249"/>
        <v>0</v>
      </c>
      <c r="AZ1067" s="101">
        <f t="shared" si="249"/>
        <v>0</v>
      </c>
      <c r="BA1067" s="101">
        <f t="shared" si="249"/>
        <v>0</v>
      </c>
      <c r="BB1067" s="101">
        <f t="shared" si="249"/>
        <v>0</v>
      </c>
      <c r="BC1067" s="101">
        <f t="shared" si="249"/>
        <v>0</v>
      </c>
      <c r="BD1067" s="101">
        <f t="shared" si="249"/>
        <v>0</v>
      </c>
      <c r="BE1067" s="101">
        <f t="shared" si="249"/>
        <v>0</v>
      </c>
      <c r="BF1067" s="101">
        <f t="shared" si="249"/>
        <v>0</v>
      </c>
      <c r="BG1067" s="101">
        <f t="shared" si="249"/>
        <v>0</v>
      </c>
      <c r="BH1067" s="101">
        <f t="shared" si="249"/>
        <v>0</v>
      </c>
      <c r="BI1067" s="101">
        <f t="shared" si="249"/>
        <v>0</v>
      </c>
      <c r="BJ1067" s="101">
        <f t="shared" si="249"/>
        <v>0</v>
      </c>
      <c r="BK1067" s="101">
        <f t="shared" si="249"/>
        <v>0</v>
      </c>
      <c r="BL1067" s="101">
        <f t="shared" si="249"/>
        <v>0</v>
      </c>
      <c r="BM1067" s="101">
        <f t="shared" si="249"/>
        <v>0</v>
      </c>
      <c r="BN1067" s="101">
        <f t="shared" si="249"/>
        <v>0</v>
      </c>
      <c r="BO1067" s="101">
        <f t="shared" si="249"/>
        <v>0</v>
      </c>
      <c r="BP1067" s="101">
        <f t="shared" ref="BP1067:CP1067" si="250">Annual_amenity_valuation_hh_adj/Discount_factor</f>
        <v>0</v>
      </c>
      <c r="BQ1067" s="101">
        <f t="shared" si="250"/>
        <v>0</v>
      </c>
      <c r="BR1067" s="101">
        <f t="shared" si="250"/>
        <v>0</v>
      </c>
      <c r="BS1067" s="101">
        <f t="shared" si="250"/>
        <v>0</v>
      </c>
      <c r="BT1067" s="101">
        <f t="shared" si="250"/>
        <v>0</v>
      </c>
      <c r="BU1067" s="101">
        <f t="shared" si="250"/>
        <v>0</v>
      </c>
      <c r="BV1067" s="101">
        <f t="shared" si="250"/>
        <v>0</v>
      </c>
      <c r="BW1067" s="101">
        <f t="shared" si="250"/>
        <v>0</v>
      </c>
      <c r="BX1067" s="101">
        <f t="shared" si="250"/>
        <v>0</v>
      </c>
      <c r="BY1067" s="101">
        <f t="shared" si="250"/>
        <v>0</v>
      </c>
      <c r="BZ1067" s="101">
        <f t="shared" si="250"/>
        <v>0</v>
      </c>
      <c r="CA1067" s="101">
        <f t="shared" si="250"/>
        <v>0</v>
      </c>
      <c r="CB1067" s="101">
        <f t="shared" si="250"/>
        <v>0</v>
      </c>
      <c r="CC1067" s="101">
        <f t="shared" si="250"/>
        <v>0</v>
      </c>
      <c r="CD1067" s="101">
        <f t="shared" si="250"/>
        <v>0</v>
      </c>
      <c r="CE1067" s="101">
        <f t="shared" si="250"/>
        <v>0</v>
      </c>
      <c r="CF1067" s="101">
        <f t="shared" si="250"/>
        <v>0</v>
      </c>
      <c r="CG1067" s="101">
        <f t="shared" si="250"/>
        <v>0</v>
      </c>
      <c r="CH1067" s="101">
        <f t="shared" si="250"/>
        <v>0</v>
      </c>
      <c r="CI1067" s="101">
        <f t="shared" si="250"/>
        <v>0</v>
      </c>
      <c r="CJ1067" s="101">
        <f t="shared" si="250"/>
        <v>0</v>
      </c>
      <c r="CK1067" s="101">
        <f t="shared" si="250"/>
        <v>0</v>
      </c>
      <c r="CL1067" s="101">
        <f t="shared" si="250"/>
        <v>0</v>
      </c>
      <c r="CM1067" s="101">
        <f t="shared" si="250"/>
        <v>0</v>
      </c>
      <c r="CN1067" s="101">
        <f t="shared" si="250"/>
        <v>0</v>
      </c>
      <c r="CO1067" s="101">
        <f t="shared" si="250"/>
        <v>0</v>
      </c>
      <c r="CP1067" s="101">
        <f t="shared" si="250"/>
        <v>0</v>
      </c>
      <c r="CQ1067" s="3" t="s">
        <v>366</v>
      </c>
    </row>
    <row r="1068" spans="1:95" ht="14.5" x14ac:dyDescent="0.35">
      <c r="A1068" s="102"/>
      <c r="B1068" s="102" t="s">
        <v>147</v>
      </c>
      <c r="C1068" s="102"/>
      <c r="D1068" s="101">
        <f t="shared" ref="D1068:AI1068" si="251">Annual_AMI_valuation_hh_adj/Discount_factor</f>
        <v>0</v>
      </c>
      <c r="E1068" s="101">
        <f t="shared" si="251"/>
        <v>0</v>
      </c>
      <c r="F1068" s="101">
        <f t="shared" si="251"/>
        <v>0</v>
      </c>
      <c r="G1068" s="101">
        <f t="shared" si="251"/>
        <v>0</v>
      </c>
      <c r="H1068" s="101">
        <f t="shared" si="251"/>
        <v>0</v>
      </c>
      <c r="I1068" s="101">
        <f>Annual_AMI_valuation_hh_adj/Discount_factor</f>
        <v>0</v>
      </c>
      <c r="J1068" s="101">
        <f t="shared" si="251"/>
        <v>0</v>
      </c>
      <c r="K1068" s="101">
        <f t="shared" si="251"/>
        <v>0</v>
      </c>
      <c r="L1068" s="101">
        <f t="shared" si="251"/>
        <v>0</v>
      </c>
      <c r="M1068" s="101">
        <f t="shared" si="251"/>
        <v>0</v>
      </c>
      <c r="N1068" s="101">
        <f t="shared" si="251"/>
        <v>0</v>
      </c>
      <c r="O1068" s="101">
        <f t="shared" si="251"/>
        <v>0</v>
      </c>
      <c r="P1068" s="101">
        <f t="shared" si="251"/>
        <v>0</v>
      </c>
      <c r="Q1068" s="101">
        <f t="shared" si="251"/>
        <v>0</v>
      </c>
      <c r="R1068" s="101">
        <f t="shared" si="251"/>
        <v>0</v>
      </c>
      <c r="S1068" s="101">
        <f t="shared" si="251"/>
        <v>0</v>
      </c>
      <c r="T1068" s="101">
        <f t="shared" si="251"/>
        <v>0</v>
      </c>
      <c r="U1068" s="101">
        <f t="shared" si="251"/>
        <v>0</v>
      </c>
      <c r="V1068" s="101">
        <f t="shared" si="251"/>
        <v>0</v>
      </c>
      <c r="W1068" s="101">
        <f t="shared" si="251"/>
        <v>0</v>
      </c>
      <c r="X1068" s="101">
        <f t="shared" si="251"/>
        <v>0</v>
      </c>
      <c r="Y1068" s="101">
        <f t="shared" si="251"/>
        <v>0</v>
      </c>
      <c r="Z1068" s="101">
        <f t="shared" si="251"/>
        <v>0</v>
      </c>
      <c r="AA1068" s="101">
        <f t="shared" si="251"/>
        <v>0</v>
      </c>
      <c r="AB1068" s="101">
        <f t="shared" si="251"/>
        <v>0</v>
      </c>
      <c r="AC1068" s="101">
        <f t="shared" si="251"/>
        <v>0</v>
      </c>
      <c r="AD1068" s="101">
        <f t="shared" si="251"/>
        <v>0</v>
      </c>
      <c r="AE1068" s="101">
        <f t="shared" si="251"/>
        <v>0</v>
      </c>
      <c r="AF1068" s="101">
        <f t="shared" si="251"/>
        <v>0</v>
      </c>
      <c r="AG1068" s="101">
        <f t="shared" si="251"/>
        <v>0</v>
      </c>
      <c r="AH1068" s="101">
        <f t="shared" si="251"/>
        <v>0</v>
      </c>
      <c r="AI1068" s="101">
        <f t="shared" si="251"/>
        <v>0</v>
      </c>
      <c r="AJ1068" s="101">
        <f t="shared" ref="AJ1068:BO1068" si="252">Annual_AMI_valuation_hh_adj/Discount_factor</f>
        <v>0</v>
      </c>
      <c r="AK1068" s="101">
        <f t="shared" si="252"/>
        <v>0</v>
      </c>
      <c r="AL1068" s="101">
        <f t="shared" si="252"/>
        <v>0</v>
      </c>
      <c r="AM1068" s="101">
        <f t="shared" si="252"/>
        <v>0</v>
      </c>
      <c r="AN1068" s="101">
        <f t="shared" si="252"/>
        <v>0</v>
      </c>
      <c r="AO1068" s="101">
        <f t="shared" si="252"/>
        <v>0</v>
      </c>
      <c r="AP1068" s="101">
        <f t="shared" si="252"/>
        <v>0</v>
      </c>
      <c r="AQ1068" s="101">
        <f t="shared" si="252"/>
        <v>0</v>
      </c>
      <c r="AR1068" s="101">
        <f t="shared" si="252"/>
        <v>0</v>
      </c>
      <c r="AS1068" s="101">
        <f t="shared" si="252"/>
        <v>0</v>
      </c>
      <c r="AT1068" s="101">
        <f t="shared" si="252"/>
        <v>0</v>
      </c>
      <c r="AU1068" s="101">
        <f t="shared" si="252"/>
        <v>0</v>
      </c>
      <c r="AV1068" s="101">
        <f t="shared" si="252"/>
        <v>0</v>
      </c>
      <c r="AW1068" s="101">
        <f t="shared" si="252"/>
        <v>0</v>
      </c>
      <c r="AX1068" s="101">
        <f t="shared" si="252"/>
        <v>0</v>
      </c>
      <c r="AY1068" s="101">
        <f t="shared" si="252"/>
        <v>0</v>
      </c>
      <c r="AZ1068" s="101">
        <f t="shared" si="252"/>
        <v>0</v>
      </c>
      <c r="BA1068" s="101">
        <f t="shared" si="252"/>
        <v>0</v>
      </c>
      <c r="BB1068" s="101">
        <f t="shared" si="252"/>
        <v>0</v>
      </c>
      <c r="BC1068" s="101">
        <f t="shared" si="252"/>
        <v>0</v>
      </c>
      <c r="BD1068" s="101">
        <f t="shared" si="252"/>
        <v>0</v>
      </c>
      <c r="BE1068" s="101">
        <f t="shared" si="252"/>
        <v>0</v>
      </c>
      <c r="BF1068" s="101">
        <f t="shared" si="252"/>
        <v>0</v>
      </c>
      <c r="BG1068" s="101">
        <f t="shared" si="252"/>
        <v>0</v>
      </c>
      <c r="BH1068" s="101">
        <f t="shared" si="252"/>
        <v>0</v>
      </c>
      <c r="BI1068" s="101">
        <f t="shared" si="252"/>
        <v>0</v>
      </c>
      <c r="BJ1068" s="101">
        <f t="shared" si="252"/>
        <v>0</v>
      </c>
      <c r="BK1068" s="101">
        <f t="shared" si="252"/>
        <v>0</v>
      </c>
      <c r="BL1068" s="101">
        <f t="shared" si="252"/>
        <v>0</v>
      </c>
      <c r="BM1068" s="101">
        <f t="shared" si="252"/>
        <v>0</v>
      </c>
      <c r="BN1068" s="101">
        <f t="shared" si="252"/>
        <v>0</v>
      </c>
      <c r="BO1068" s="101">
        <f t="shared" si="252"/>
        <v>0</v>
      </c>
      <c r="BP1068" s="101">
        <f t="shared" ref="BP1068:CP1068" si="253">Annual_AMI_valuation_hh_adj/Discount_factor</f>
        <v>0</v>
      </c>
      <c r="BQ1068" s="101">
        <f t="shared" si="253"/>
        <v>0</v>
      </c>
      <c r="BR1068" s="101">
        <f t="shared" si="253"/>
        <v>0</v>
      </c>
      <c r="BS1068" s="101">
        <f t="shared" si="253"/>
        <v>0</v>
      </c>
      <c r="BT1068" s="101">
        <f t="shared" si="253"/>
        <v>0</v>
      </c>
      <c r="BU1068" s="101">
        <f t="shared" si="253"/>
        <v>0</v>
      </c>
      <c r="BV1068" s="101">
        <f t="shared" si="253"/>
        <v>0</v>
      </c>
      <c r="BW1068" s="101">
        <f t="shared" si="253"/>
        <v>0</v>
      </c>
      <c r="BX1068" s="101">
        <f t="shared" si="253"/>
        <v>0</v>
      </c>
      <c r="BY1068" s="101">
        <f t="shared" si="253"/>
        <v>0</v>
      </c>
      <c r="BZ1068" s="101">
        <f t="shared" si="253"/>
        <v>0</v>
      </c>
      <c r="CA1068" s="101">
        <f t="shared" si="253"/>
        <v>0</v>
      </c>
      <c r="CB1068" s="101">
        <f t="shared" si="253"/>
        <v>0</v>
      </c>
      <c r="CC1068" s="101">
        <f t="shared" si="253"/>
        <v>0</v>
      </c>
      <c r="CD1068" s="101">
        <f t="shared" si="253"/>
        <v>0</v>
      </c>
      <c r="CE1068" s="101">
        <f t="shared" si="253"/>
        <v>0</v>
      </c>
      <c r="CF1068" s="101">
        <f t="shared" si="253"/>
        <v>0</v>
      </c>
      <c r="CG1068" s="101">
        <f t="shared" si="253"/>
        <v>0</v>
      </c>
      <c r="CH1068" s="101">
        <f t="shared" si="253"/>
        <v>0</v>
      </c>
      <c r="CI1068" s="101">
        <f t="shared" si="253"/>
        <v>0</v>
      </c>
      <c r="CJ1068" s="101">
        <f t="shared" si="253"/>
        <v>0</v>
      </c>
      <c r="CK1068" s="101">
        <f t="shared" si="253"/>
        <v>0</v>
      </c>
      <c r="CL1068" s="101">
        <f t="shared" si="253"/>
        <v>0</v>
      </c>
      <c r="CM1068" s="101">
        <f t="shared" si="253"/>
        <v>0</v>
      </c>
      <c r="CN1068" s="101">
        <f t="shared" si="253"/>
        <v>0</v>
      </c>
      <c r="CO1068" s="101">
        <f t="shared" si="253"/>
        <v>0</v>
      </c>
      <c r="CP1068" s="101">
        <f t="shared" si="253"/>
        <v>0</v>
      </c>
      <c r="CQ1068" s="3" t="s">
        <v>367</v>
      </c>
    </row>
    <row r="1069" spans="1:95" ht="14.5" x14ac:dyDescent="0.35">
      <c r="A1069" s="102"/>
      <c r="B1069" s="102" t="s">
        <v>149</v>
      </c>
      <c r="C1069" s="102"/>
      <c r="D1069" s="101">
        <f t="shared" ref="D1069:AI1069" si="254">Annual_stroke_valuation_hh_adj/Discount_factor</f>
        <v>0</v>
      </c>
      <c r="E1069" s="101">
        <f t="shared" si="254"/>
        <v>0</v>
      </c>
      <c r="F1069" s="101">
        <f t="shared" si="254"/>
        <v>0</v>
      </c>
      <c r="G1069" s="101">
        <f t="shared" si="254"/>
        <v>0</v>
      </c>
      <c r="H1069" s="101">
        <f t="shared" si="254"/>
        <v>0</v>
      </c>
      <c r="I1069" s="101">
        <f>Annual_stroke_valuation_hh_adj/Discount_factor</f>
        <v>0</v>
      </c>
      <c r="J1069" s="101">
        <f t="shared" si="254"/>
        <v>0</v>
      </c>
      <c r="K1069" s="101">
        <f t="shared" si="254"/>
        <v>0</v>
      </c>
      <c r="L1069" s="101">
        <f t="shared" si="254"/>
        <v>0</v>
      </c>
      <c r="M1069" s="101">
        <f t="shared" si="254"/>
        <v>0</v>
      </c>
      <c r="N1069" s="101">
        <f t="shared" si="254"/>
        <v>0</v>
      </c>
      <c r="O1069" s="101">
        <f t="shared" si="254"/>
        <v>0</v>
      </c>
      <c r="P1069" s="101">
        <f t="shared" si="254"/>
        <v>0</v>
      </c>
      <c r="Q1069" s="101">
        <f t="shared" si="254"/>
        <v>0</v>
      </c>
      <c r="R1069" s="101">
        <f t="shared" si="254"/>
        <v>0</v>
      </c>
      <c r="S1069" s="101">
        <f t="shared" si="254"/>
        <v>0</v>
      </c>
      <c r="T1069" s="101">
        <f t="shared" si="254"/>
        <v>0</v>
      </c>
      <c r="U1069" s="101">
        <f t="shared" si="254"/>
        <v>0</v>
      </c>
      <c r="V1069" s="101">
        <f t="shared" si="254"/>
        <v>0</v>
      </c>
      <c r="W1069" s="101">
        <f t="shared" si="254"/>
        <v>0</v>
      </c>
      <c r="X1069" s="101">
        <f t="shared" si="254"/>
        <v>0</v>
      </c>
      <c r="Y1069" s="101">
        <f t="shared" si="254"/>
        <v>0</v>
      </c>
      <c r="Z1069" s="101">
        <f t="shared" si="254"/>
        <v>0</v>
      </c>
      <c r="AA1069" s="101">
        <f t="shared" si="254"/>
        <v>0</v>
      </c>
      <c r="AB1069" s="101">
        <f t="shared" si="254"/>
        <v>0</v>
      </c>
      <c r="AC1069" s="101">
        <f t="shared" si="254"/>
        <v>0</v>
      </c>
      <c r="AD1069" s="101">
        <f t="shared" si="254"/>
        <v>0</v>
      </c>
      <c r="AE1069" s="101">
        <f t="shared" si="254"/>
        <v>0</v>
      </c>
      <c r="AF1069" s="101">
        <f t="shared" si="254"/>
        <v>0</v>
      </c>
      <c r="AG1069" s="101">
        <f t="shared" si="254"/>
        <v>0</v>
      </c>
      <c r="AH1069" s="101">
        <f t="shared" si="254"/>
        <v>0</v>
      </c>
      <c r="AI1069" s="101">
        <f t="shared" si="254"/>
        <v>0</v>
      </c>
      <c r="AJ1069" s="101">
        <f t="shared" ref="AJ1069:BO1069" si="255">Annual_stroke_valuation_hh_adj/Discount_factor</f>
        <v>0</v>
      </c>
      <c r="AK1069" s="101">
        <f t="shared" si="255"/>
        <v>0</v>
      </c>
      <c r="AL1069" s="101">
        <f t="shared" si="255"/>
        <v>0</v>
      </c>
      <c r="AM1069" s="101">
        <f t="shared" si="255"/>
        <v>0</v>
      </c>
      <c r="AN1069" s="101">
        <f t="shared" si="255"/>
        <v>0</v>
      </c>
      <c r="AO1069" s="101">
        <f t="shared" si="255"/>
        <v>0</v>
      </c>
      <c r="AP1069" s="101">
        <f t="shared" si="255"/>
        <v>0</v>
      </c>
      <c r="AQ1069" s="101">
        <f t="shared" si="255"/>
        <v>0</v>
      </c>
      <c r="AR1069" s="101">
        <f t="shared" si="255"/>
        <v>0</v>
      </c>
      <c r="AS1069" s="101">
        <f t="shared" si="255"/>
        <v>0</v>
      </c>
      <c r="AT1069" s="101">
        <f t="shared" si="255"/>
        <v>0</v>
      </c>
      <c r="AU1069" s="101">
        <f t="shared" si="255"/>
        <v>0</v>
      </c>
      <c r="AV1069" s="101">
        <f t="shared" si="255"/>
        <v>0</v>
      </c>
      <c r="AW1069" s="101">
        <f t="shared" si="255"/>
        <v>0</v>
      </c>
      <c r="AX1069" s="101">
        <f t="shared" si="255"/>
        <v>0</v>
      </c>
      <c r="AY1069" s="101">
        <f t="shared" si="255"/>
        <v>0</v>
      </c>
      <c r="AZ1069" s="101">
        <f t="shared" si="255"/>
        <v>0</v>
      </c>
      <c r="BA1069" s="101">
        <f t="shared" si="255"/>
        <v>0</v>
      </c>
      <c r="BB1069" s="101">
        <f t="shared" si="255"/>
        <v>0</v>
      </c>
      <c r="BC1069" s="101">
        <f t="shared" si="255"/>
        <v>0</v>
      </c>
      <c r="BD1069" s="101">
        <f t="shared" si="255"/>
        <v>0</v>
      </c>
      <c r="BE1069" s="101">
        <f t="shared" si="255"/>
        <v>0</v>
      </c>
      <c r="BF1069" s="101">
        <f t="shared" si="255"/>
        <v>0</v>
      </c>
      <c r="BG1069" s="101">
        <f t="shared" si="255"/>
        <v>0</v>
      </c>
      <c r="BH1069" s="101">
        <f t="shared" si="255"/>
        <v>0</v>
      </c>
      <c r="BI1069" s="101">
        <f t="shared" si="255"/>
        <v>0</v>
      </c>
      <c r="BJ1069" s="101">
        <f t="shared" si="255"/>
        <v>0</v>
      </c>
      <c r="BK1069" s="101">
        <f t="shared" si="255"/>
        <v>0</v>
      </c>
      <c r="BL1069" s="101">
        <f t="shared" si="255"/>
        <v>0</v>
      </c>
      <c r="BM1069" s="101">
        <f t="shared" si="255"/>
        <v>0</v>
      </c>
      <c r="BN1069" s="101">
        <f t="shared" si="255"/>
        <v>0</v>
      </c>
      <c r="BO1069" s="101">
        <f t="shared" si="255"/>
        <v>0</v>
      </c>
      <c r="BP1069" s="101">
        <f t="shared" ref="BP1069:CP1069" si="256">Annual_stroke_valuation_hh_adj/Discount_factor</f>
        <v>0</v>
      </c>
      <c r="BQ1069" s="101">
        <f t="shared" si="256"/>
        <v>0</v>
      </c>
      <c r="BR1069" s="101">
        <f t="shared" si="256"/>
        <v>0</v>
      </c>
      <c r="BS1069" s="101">
        <f t="shared" si="256"/>
        <v>0</v>
      </c>
      <c r="BT1069" s="101">
        <f t="shared" si="256"/>
        <v>0</v>
      </c>
      <c r="BU1069" s="101">
        <f t="shared" si="256"/>
        <v>0</v>
      </c>
      <c r="BV1069" s="101">
        <f t="shared" si="256"/>
        <v>0</v>
      </c>
      <c r="BW1069" s="101">
        <f t="shared" si="256"/>
        <v>0</v>
      </c>
      <c r="BX1069" s="101">
        <f t="shared" si="256"/>
        <v>0</v>
      </c>
      <c r="BY1069" s="101">
        <f t="shared" si="256"/>
        <v>0</v>
      </c>
      <c r="BZ1069" s="101">
        <f t="shared" si="256"/>
        <v>0</v>
      </c>
      <c r="CA1069" s="101">
        <f t="shared" si="256"/>
        <v>0</v>
      </c>
      <c r="CB1069" s="101">
        <f t="shared" si="256"/>
        <v>0</v>
      </c>
      <c r="CC1069" s="101">
        <f t="shared" si="256"/>
        <v>0</v>
      </c>
      <c r="CD1069" s="101">
        <f t="shared" si="256"/>
        <v>0</v>
      </c>
      <c r="CE1069" s="101">
        <f t="shared" si="256"/>
        <v>0</v>
      </c>
      <c r="CF1069" s="101">
        <f t="shared" si="256"/>
        <v>0</v>
      </c>
      <c r="CG1069" s="101">
        <f t="shared" si="256"/>
        <v>0</v>
      </c>
      <c r="CH1069" s="101">
        <f t="shared" si="256"/>
        <v>0</v>
      </c>
      <c r="CI1069" s="101">
        <f t="shared" si="256"/>
        <v>0</v>
      </c>
      <c r="CJ1069" s="101">
        <f t="shared" si="256"/>
        <v>0</v>
      </c>
      <c r="CK1069" s="101">
        <f t="shared" si="256"/>
        <v>0</v>
      </c>
      <c r="CL1069" s="101">
        <f t="shared" si="256"/>
        <v>0</v>
      </c>
      <c r="CM1069" s="101">
        <f t="shared" si="256"/>
        <v>0</v>
      </c>
      <c r="CN1069" s="101">
        <f t="shared" si="256"/>
        <v>0</v>
      </c>
      <c r="CO1069" s="101">
        <f t="shared" si="256"/>
        <v>0</v>
      </c>
      <c r="CP1069" s="101">
        <f t="shared" si="256"/>
        <v>0</v>
      </c>
      <c r="CQ1069" s="3" t="s">
        <v>368</v>
      </c>
    </row>
    <row r="1070" spans="1:95" ht="14.5" x14ac:dyDescent="0.35">
      <c r="A1070" s="102"/>
      <c r="B1070" s="102" t="s">
        <v>151</v>
      </c>
      <c r="C1070" s="102"/>
      <c r="D1070" s="101">
        <f t="shared" ref="D1070:AI1070" si="257">Annual_dementia_valuation_hh_adj/Discount_factor</f>
        <v>0</v>
      </c>
      <c r="E1070" s="101">
        <f t="shared" si="257"/>
        <v>0</v>
      </c>
      <c r="F1070" s="101">
        <f t="shared" si="257"/>
        <v>0</v>
      </c>
      <c r="G1070" s="101">
        <f t="shared" si="257"/>
        <v>0</v>
      </c>
      <c r="H1070" s="101">
        <f t="shared" si="257"/>
        <v>0</v>
      </c>
      <c r="I1070" s="101">
        <f>Annual_dementia_valuation_hh_adj/Discount_factor</f>
        <v>0</v>
      </c>
      <c r="J1070" s="101">
        <f t="shared" si="257"/>
        <v>0</v>
      </c>
      <c r="K1070" s="101">
        <f t="shared" si="257"/>
        <v>0</v>
      </c>
      <c r="L1070" s="101">
        <f t="shared" si="257"/>
        <v>0</v>
      </c>
      <c r="M1070" s="101">
        <f t="shared" si="257"/>
        <v>0</v>
      </c>
      <c r="N1070" s="101">
        <f t="shared" si="257"/>
        <v>0</v>
      </c>
      <c r="O1070" s="101">
        <f t="shared" si="257"/>
        <v>0</v>
      </c>
      <c r="P1070" s="101">
        <f t="shared" si="257"/>
        <v>0</v>
      </c>
      <c r="Q1070" s="101">
        <f t="shared" si="257"/>
        <v>0</v>
      </c>
      <c r="R1070" s="101">
        <f t="shared" si="257"/>
        <v>0</v>
      </c>
      <c r="S1070" s="101">
        <f t="shared" si="257"/>
        <v>0</v>
      </c>
      <c r="T1070" s="101">
        <f t="shared" si="257"/>
        <v>0</v>
      </c>
      <c r="U1070" s="101">
        <f t="shared" si="257"/>
        <v>0</v>
      </c>
      <c r="V1070" s="101">
        <f t="shared" si="257"/>
        <v>0</v>
      </c>
      <c r="W1070" s="101">
        <f t="shared" si="257"/>
        <v>0</v>
      </c>
      <c r="X1070" s="101">
        <f t="shared" si="257"/>
        <v>0</v>
      </c>
      <c r="Y1070" s="101">
        <f t="shared" si="257"/>
        <v>0</v>
      </c>
      <c r="Z1070" s="101">
        <f t="shared" si="257"/>
        <v>0</v>
      </c>
      <c r="AA1070" s="101">
        <f t="shared" si="257"/>
        <v>0</v>
      </c>
      <c r="AB1070" s="101">
        <f t="shared" si="257"/>
        <v>0</v>
      </c>
      <c r="AC1070" s="101">
        <f t="shared" si="257"/>
        <v>0</v>
      </c>
      <c r="AD1070" s="101">
        <f t="shared" si="257"/>
        <v>0</v>
      </c>
      <c r="AE1070" s="101">
        <f t="shared" si="257"/>
        <v>0</v>
      </c>
      <c r="AF1070" s="101">
        <f t="shared" si="257"/>
        <v>0</v>
      </c>
      <c r="AG1070" s="101">
        <f t="shared" si="257"/>
        <v>0</v>
      </c>
      <c r="AH1070" s="101">
        <f t="shared" si="257"/>
        <v>0</v>
      </c>
      <c r="AI1070" s="101">
        <f t="shared" si="257"/>
        <v>0</v>
      </c>
      <c r="AJ1070" s="101">
        <f t="shared" ref="AJ1070:BO1070" si="258">Annual_dementia_valuation_hh_adj/Discount_factor</f>
        <v>0</v>
      </c>
      <c r="AK1070" s="101">
        <f t="shared" si="258"/>
        <v>0</v>
      </c>
      <c r="AL1070" s="101">
        <f t="shared" si="258"/>
        <v>0</v>
      </c>
      <c r="AM1070" s="101">
        <f t="shared" si="258"/>
        <v>0</v>
      </c>
      <c r="AN1070" s="101">
        <f t="shared" si="258"/>
        <v>0</v>
      </c>
      <c r="AO1070" s="101">
        <f t="shared" si="258"/>
        <v>0</v>
      </c>
      <c r="AP1070" s="101">
        <f t="shared" si="258"/>
        <v>0</v>
      </c>
      <c r="AQ1070" s="101">
        <f t="shared" si="258"/>
        <v>0</v>
      </c>
      <c r="AR1070" s="101">
        <f t="shared" si="258"/>
        <v>0</v>
      </c>
      <c r="AS1070" s="101">
        <f t="shared" si="258"/>
        <v>0</v>
      </c>
      <c r="AT1070" s="101">
        <f t="shared" si="258"/>
        <v>0</v>
      </c>
      <c r="AU1070" s="101">
        <f t="shared" si="258"/>
        <v>0</v>
      </c>
      <c r="AV1070" s="101">
        <f t="shared" si="258"/>
        <v>0</v>
      </c>
      <c r="AW1070" s="101">
        <f t="shared" si="258"/>
        <v>0</v>
      </c>
      <c r="AX1070" s="101">
        <f t="shared" si="258"/>
        <v>0</v>
      </c>
      <c r="AY1070" s="101">
        <f t="shared" si="258"/>
        <v>0</v>
      </c>
      <c r="AZ1070" s="101">
        <f t="shared" si="258"/>
        <v>0</v>
      </c>
      <c r="BA1070" s="101">
        <f t="shared" si="258"/>
        <v>0</v>
      </c>
      <c r="BB1070" s="101">
        <f t="shared" si="258"/>
        <v>0</v>
      </c>
      <c r="BC1070" s="101">
        <f t="shared" si="258"/>
        <v>0</v>
      </c>
      <c r="BD1070" s="101">
        <f t="shared" si="258"/>
        <v>0</v>
      </c>
      <c r="BE1070" s="101">
        <f t="shared" si="258"/>
        <v>0</v>
      </c>
      <c r="BF1070" s="101">
        <f t="shared" si="258"/>
        <v>0</v>
      </c>
      <c r="BG1070" s="101">
        <f t="shared" si="258"/>
        <v>0</v>
      </c>
      <c r="BH1070" s="101">
        <f t="shared" si="258"/>
        <v>0</v>
      </c>
      <c r="BI1070" s="101">
        <f t="shared" si="258"/>
        <v>0</v>
      </c>
      <c r="BJ1070" s="101">
        <f t="shared" si="258"/>
        <v>0</v>
      </c>
      <c r="BK1070" s="101">
        <f t="shared" si="258"/>
        <v>0</v>
      </c>
      <c r="BL1070" s="101">
        <f t="shared" si="258"/>
        <v>0</v>
      </c>
      <c r="BM1070" s="101">
        <f t="shared" si="258"/>
        <v>0</v>
      </c>
      <c r="BN1070" s="101">
        <f t="shared" si="258"/>
        <v>0</v>
      </c>
      <c r="BO1070" s="101">
        <f t="shared" si="258"/>
        <v>0</v>
      </c>
      <c r="BP1070" s="101">
        <f t="shared" ref="BP1070:CP1070" si="259">Annual_dementia_valuation_hh_adj/Discount_factor</f>
        <v>0</v>
      </c>
      <c r="BQ1070" s="101">
        <f t="shared" si="259"/>
        <v>0</v>
      </c>
      <c r="BR1070" s="101">
        <f t="shared" si="259"/>
        <v>0</v>
      </c>
      <c r="BS1070" s="101">
        <f t="shared" si="259"/>
        <v>0</v>
      </c>
      <c r="BT1070" s="101">
        <f t="shared" si="259"/>
        <v>0</v>
      </c>
      <c r="BU1070" s="101">
        <f t="shared" si="259"/>
        <v>0</v>
      </c>
      <c r="BV1070" s="101">
        <f t="shared" si="259"/>
        <v>0</v>
      </c>
      <c r="BW1070" s="101">
        <f t="shared" si="259"/>
        <v>0</v>
      </c>
      <c r="BX1070" s="101">
        <f t="shared" si="259"/>
        <v>0</v>
      </c>
      <c r="BY1070" s="101">
        <f t="shared" si="259"/>
        <v>0</v>
      </c>
      <c r="BZ1070" s="101">
        <f t="shared" si="259"/>
        <v>0</v>
      </c>
      <c r="CA1070" s="101">
        <f t="shared" si="259"/>
        <v>0</v>
      </c>
      <c r="CB1070" s="101">
        <f t="shared" si="259"/>
        <v>0</v>
      </c>
      <c r="CC1070" s="101">
        <f t="shared" si="259"/>
        <v>0</v>
      </c>
      <c r="CD1070" s="101">
        <f t="shared" si="259"/>
        <v>0</v>
      </c>
      <c r="CE1070" s="101">
        <f t="shared" si="259"/>
        <v>0</v>
      </c>
      <c r="CF1070" s="101">
        <f t="shared" si="259"/>
        <v>0</v>
      </c>
      <c r="CG1070" s="101">
        <f t="shared" si="259"/>
        <v>0</v>
      </c>
      <c r="CH1070" s="101">
        <f t="shared" si="259"/>
        <v>0</v>
      </c>
      <c r="CI1070" s="101">
        <f t="shared" si="259"/>
        <v>0</v>
      </c>
      <c r="CJ1070" s="101">
        <f t="shared" si="259"/>
        <v>0</v>
      </c>
      <c r="CK1070" s="101">
        <f t="shared" si="259"/>
        <v>0</v>
      </c>
      <c r="CL1070" s="101">
        <f t="shared" si="259"/>
        <v>0</v>
      </c>
      <c r="CM1070" s="101">
        <f t="shared" si="259"/>
        <v>0</v>
      </c>
      <c r="CN1070" s="101">
        <f t="shared" si="259"/>
        <v>0</v>
      </c>
      <c r="CO1070" s="101">
        <f t="shared" si="259"/>
        <v>0</v>
      </c>
      <c r="CP1070" s="101">
        <f t="shared" si="259"/>
        <v>0</v>
      </c>
      <c r="CQ1070" s="3" t="s">
        <v>369</v>
      </c>
    </row>
    <row r="1071" spans="1:95" ht="14.5" x14ac:dyDescent="0.35">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5" x14ac:dyDescent="0.35">
      <c r="B1072" s="5" t="s">
        <v>370</v>
      </c>
    </row>
    <row r="1073" spans="1:95" ht="14.5" x14ac:dyDescent="0.35">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5" x14ac:dyDescent="0.35">
      <c r="A1074" s="102"/>
      <c r="B1074" s="102" t="s">
        <v>143</v>
      </c>
      <c r="C1074" s="102"/>
      <c r="D1074" s="144">
        <f>SUM(Discounted_annual_sleep_disturbance_valuation)</f>
        <v>0</v>
      </c>
      <c r="E1074" s="43" t="s">
        <v>371</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5" x14ac:dyDescent="0.35">
      <c r="A1075" s="102"/>
      <c r="B1075" s="102" t="s">
        <v>145</v>
      </c>
      <c r="C1075" s="102"/>
      <c r="D1075" s="144">
        <f>SUM(Discounted_annual_amenity_valuation)</f>
        <v>0</v>
      </c>
      <c r="E1075" s="43" t="s">
        <v>372</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5" x14ac:dyDescent="0.35">
      <c r="A1076" s="102"/>
      <c r="B1076" s="102" t="s">
        <v>147</v>
      </c>
      <c r="C1076" s="102"/>
      <c r="D1076" s="144">
        <f>SUM(Discounted_annual_AMI_valuation)</f>
        <v>0</v>
      </c>
      <c r="E1076" s="43" t="s">
        <v>373</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5" x14ac:dyDescent="0.35">
      <c r="A1077" s="102"/>
      <c r="B1077" s="102" t="s">
        <v>149</v>
      </c>
      <c r="C1077" s="102"/>
      <c r="D1077" s="144">
        <f>SUM(Discounted_annual_stroke_valuation)</f>
        <v>0</v>
      </c>
      <c r="E1077" s="43" t="s">
        <v>374</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5" x14ac:dyDescent="0.35">
      <c r="A1078" s="102"/>
      <c r="B1078" s="102" t="s">
        <v>151</v>
      </c>
      <c r="C1078" s="102"/>
      <c r="D1078" s="144">
        <f>SUM(Discounted_annual_dementia_valuation)</f>
        <v>0</v>
      </c>
      <c r="E1078" s="43" t="s">
        <v>375</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5" x14ac:dyDescent="0.3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5" x14ac:dyDescent="0.35">
      <c r="B1080" s="5" t="s">
        <v>376</v>
      </c>
    </row>
    <row r="1081" spans="1:95" ht="14.5" x14ac:dyDescent="0.3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5" x14ac:dyDescent="0.35">
      <c r="A1082" s="102"/>
      <c r="B1082" s="102" t="s">
        <v>377</v>
      </c>
      <c r="C1082" s="102"/>
      <c r="D1082" s="144">
        <f>SUM(Total_discounted_sleep_disturbance_valuation,Total_discounted_amenity_valuation,Total_discounted_AMI_valuation,Total_discounted_stroke_valuation,Total_discounted_dementia_valuation)</f>
        <v>0</v>
      </c>
      <c r="E1082" s="3" t="s">
        <v>378</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5" x14ac:dyDescent="0.35">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5" hidden="1" x14ac:dyDescent="0.35">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5" hidden="1" x14ac:dyDescent="0.3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5" hidden="1" x14ac:dyDescent="0.3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5" hidden="1" x14ac:dyDescent="0.3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5" hidden="1" x14ac:dyDescent="0.3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5" hidden="1" x14ac:dyDescent="0.3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5" hidden="1" x14ac:dyDescent="0.3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5" hidden="1" x14ac:dyDescent="0.3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5" hidden="1" x14ac:dyDescent="0.3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5" hidden="1" x14ac:dyDescent="0.3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5" hidden="1" x14ac:dyDescent="0.3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5" hidden="1" x14ac:dyDescent="0.3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5" hidden="1" x14ac:dyDescent="0.3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5" hidden="1" x14ac:dyDescent="0.3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5" hidden="1" x14ac:dyDescent="0.3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5" hidden="1" x14ac:dyDescent="0.3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5" hidden="1" x14ac:dyDescent="0.3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5" hidden="1" x14ac:dyDescent="0.3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5" hidden="1" x14ac:dyDescent="0.3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5" hidden="1" x14ac:dyDescent="0.3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5" hidden="1" x14ac:dyDescent="0.3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5" hidden="1" x14ac:dyDescent="0.3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5" hidden="1" x14ac:dyDescent="0.3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5" hidden="1" x14ac:dyDescent="0.3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5" hidden="1" x14ac:dyDescent="0.3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5" hidden="1" x14ac:dyDescent="0.3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5" hidden="1" x14ac:dyDescent="0.3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5" hidden="1" x14ac:dyDescent="0.3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5" hidden="1" x14ac:dyDescent="0.3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5" hidden="1" x14ac:dyDescent="0.3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5" hidden="1" x14ac:dyDescent="0.3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5" hidden="1" x14ac:dyDescent="0.3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5" hidden="1" x14ac:dyDescent="0.3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5" hidden="1" x14ac:dyDescent="0.3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5" hidden="1" x14ac:dyDescent="0.3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5" hidden="1" x14ac:dyDescent="0.3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5" hidden="1" x14ac:dyDescent="0.3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5" hidden="1" x14ac:dyDescent="0.3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5" hidden="1" x14ac:dyDescent="0.3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5" hidden="1" x14ac:dyDescent="0.3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5" hidden="1" x14ac:dyDescent="0.3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5" hidden="1" x14ac:dyDescent="0.3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5" hidden="1" x14ac:dyDescent="0.3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5" hidden="1" x14ac:dyDescent="0.3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5" hidden="1" x14ac:dyDescent="0.3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5" hidden="1" x14ac:dyDescent="0.3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5" hidden="1" x14ac:dyDescent="0.3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5" hidden="1" x14ac:dyDescent="0.3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5" hidden="1" x14ac:dyDescent="0.3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5" hidden="1" x14ac:dyDescent="0.3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5" hidden="1" x14ac:dyDescent="0.3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5" hidden="1" x14ac:dyDescent="0.3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5" hidden="1" x14ac:dyDescent="0.3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5" hidden="1" x14ac:dyDescent="0.3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5" hidden="1" x14ac:dyDescent="0.3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5" hidden="1" x14ac:dyDescent="0.3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5" hidden="1" x14ac:dyDescent="0.3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5" hidden="1" x14ac:dyDescent="0.3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5" hidden="1" x14ac:dyDescent="0.3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5" hidden="1" x14ac:dyDescent="0.3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5" hidden="1" x14ac:dyDescent="0.3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5" hidden="1" x14ac:dyDescent="0.3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5" hidden="1" x14ac:dyDescent="0.3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5" hidden="1" x14ac:dyDescent="0.3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5" hidden="1" x14ac:dyDescent="0.3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5" hidden="1" x14ac:dyDescent="0.3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5" hidden="1" x14ac:dyDescent="0.3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5" hidden="1" x14ac:dyDescent="0.3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5" hidden="1" x14ac:dyDescent="0.3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5" hidden="1" x14ac:dyDescent="0.3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5" hidden="1" x14ac:dyDescent="0.3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5" hidden="1" x14ac:dyDescent="0.3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5" hidden="1" x14ac:dyDescent="0.3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5" hidden="1" x14ac:dyDescent="0.3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5" hidden="1" x14ac:dyDescent="0.3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5" hidden="1" x14ac:dyDescent="0.3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5" hidden="1" x14ac:dyDescent="0.3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5" hidden="1" x14ac:dyDescent="0.3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5" hidden="1" x14ac:dyDescent="0.3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5" hidden="1" x14ac:dyDescent="0.3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5" hidden="1" x14ac:dyDescent="0.3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5" hidden="1" x14ac:dyDescent="0.3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5" hidden="1" x14ac:dyDescent="0.3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5" hidden="1" x14ac:dyDescent="0.3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5" hidden="1" x14ac:dyDescent="0.3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5" hidden="1" x14ac:dyDescent="0.3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5" hidden="1" x14ac:dyDescent="0.3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5" hidden="1" x14ac:dyDescent="0.3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5" hidden="1" x14ac:dyDescent="0.3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5" hidden="1" x14ac:dyDescent="0.3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5" hidden="1" x14ac:dyDescent="0.3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5" hidden="1" x14ac:dyDescent="0.3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5" hidden="1" x14ac:dyDescent="0.3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5" hidden="1" x14ac:dyDescent="0.3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5" hidden="1" x14ac:dyDescent="0.3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5" hidden="1" x14ac:dyDescent="0.3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5" hidden="1" x14ac:dyDescent="0.3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5" hidden="1" x14ac:dyDescent="0.3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5" hidden="1" x14ac:dyDescent="0.3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5" hidden="1" x14ac:dyDescent="0.3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5" hidden="1" x14ac:dyDescent="0.3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5" hidden="1" x14ac:dyDescent="0.3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5" hidden="1" x14ac:dyDescent="0.3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5" hidden="1" x14ac:dyDescent="0.3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5" hidden="1" x14ac:dyDescent="0.3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5" hidden="1" x14ac:dyDescent="0.3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5" hidden="1" x14ac:dyDescent="0.3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5" hidden="1" x14ac:dyDescent="0.3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5" hidden="1" x14ac:dyDescent="0.3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5" hidden="1" x14ac:dyDescent="0.3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5" hidden="1" x14ac:dyDescent="0.3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5" hidden="1" x14ac:dyDescent="0.3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5" hidden="1" x14ac:dyDescent="0.3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5" hidden="1" x14ac:dyDescent="0.3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5" hidden="1" x14ac:dyDescent="0.3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5" hidden="1" x14ac:dyDescent="0.3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5" hidden="1" x14ac:dyDescent="0.3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5" hidden="1" x14ac:dyDescent="0.3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5" hidden="1" x14ac:dyDescent="0.3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5" hidden="1" x14ac:dyDescent="0.3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5" hidden="1" x14ac:dyDescent="0.3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5" hidden="1" x14ac:dyDescent="0.3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5" hidden="1" x14ac:dyDescent="0.3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5" hidden="1" x14ac:dyDescent="0.3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5" hidden="1" x14ac:dyDescent="0.3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5" hidden="1" x14ac:dyDescent="0.3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5" hidden="1" x14ac:dyDescent="0.3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5" hidden="1" x14ac:dyDescent="0.3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5" hidden="1" x14ac:dyDescent="0.3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5" hidden="1" x14ac:dyDescent="0.3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5" hidden="1" x14ac:dyDescent="0.3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5" hidden="1" x14ac:dyDescent="0.3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5" hidden="1" x14ac:dyDescent="0.3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5" hidden="1" x14ac:dyDescent="0.3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5" hidden="1" x14ac:dyDescent="0.3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5" hidden="1" x14ac:dyDescent="0.3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5" hidden="1" x14ac:dyDescent="0.3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5" hidden="1" x14ac:dyDescent="0.3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5" hidden="1" x14ac:dyDescent="0.3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5" hidden="1" x14ac:dyDescent="0.3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5" hidden="1" x14ac:dyDescent="0.3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5" hidden="1" x14ac:dyDescent="0.3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5" hidden="1" x14ac:dyDescent="0.3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5" hidden="1" x14ac:dyDescent="0.3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5" hidden="1" x14ac:dyDescent="0.3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5" hidden="1" x14ac:dyDescent="0.3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5" hidden="1" x14ac:dyDescent="0.3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5" hidden="1" x14ac:dyDescent="0.3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5" hidden="1" x14ac:dyDescent="0.3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5" hidden="1" x14ac:dyDescent="0.3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5" hidden="1" x14ac:dyDescent="0.3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5" hidden="1" x14ac:dyDescent="0.3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5" hidden="1" x14ac:dyDescent="0.3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5" hidden="1" x14ac:dyDescent="0.3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5" hidden="1" x14ac:dyDescent="0.3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5" hidden="1" x14ac:dyDescent="0.3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5" hidden="1" x14ac:dyDescent="0.3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5" hidden="1" x14ac:dyDescent="0.3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5" hidden="1" x14ac:dyDescent="0.3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5" hidden="1" x14ac:dyDescent="0.3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5" hidden="1" x14ac:dyDescent="0.3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5" hidden="1" x14ac:dyDescent="0.3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5" hidden="1" x14ac:dyDescent="0.3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5" hidden="1" x14ac:dyDescent="0.3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5" hidden="1" x14ac:dyDescent="0.3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5" hidden="1" x14ac:dyDescent="0.3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5" hidden="1" x14ac:dyDescent="0.3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5" hidden="1" x14ac:dyDescent="0.3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5" hidden="1" x14ac:dyDescent="0.3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5" hidden="1" x14ac:dyDescent="0.3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5" hidden="1" x14ac:dyDescent="0.3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5" hidden="1" x14ac:dyDescent="0.3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5" hidden="1" x14ac:dyDescent="0.3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5" hidden="1" x14ac:dyDescent="0.3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5" hidden="1" x14ac:dyDescent="0.3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5" hidden="1" x14ac:dyDescent="0.3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5" hidden="1" x14ac:dyDescent="0.3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5" hidden="1" x14ac:dyDescent="0.3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5" hidden="1" x14ac:dyDescent="0.3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5" hidden="1" x14ac:dyDescent="0.3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5" hidden="1" x14ac:dyDescent="0.3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5" hidden="1" x14ac:dyDescent="0.3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5" hidden="1" x14ac:dyDescent="0.3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5" hidden="1" x14ac:dyDescent="0.3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5" hidden="1" x14ac:dyDescent="0.3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5" hidden="1" x14ac:dyDescent="0.3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5" hidden="1" x14ac:dyDescent="0.3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5" hidden="1" x14ac:dyDescent="0.3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5" hidden="1" x14ac:dyDescent="0.3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5" hidden="1" x14ac:dyDescent="0.3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5" hidden="1" x14ac:dyDescent="0.3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5" hidden="1" x14ac:dyDescent="0.3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5" hidden="1" x14ac:dyDescent="0.3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5" hidden="1" x14ac:dyDescent="0.3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5" hidden="1" x14ac:dyDescent="0.3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5" hidden="1" x14ac:dyDescent="0.3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5" hidden="1" x14ac:dyDescent="0.3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5" hidden="1" x14ac:dyDescent="0.3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5" hidden="1" x14ac:dyDescent="0.3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5" hidden="1" x14ac:dyDescent="0.3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5" hidden="1" x14ac:dyDescent="0.3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5" hidden="1" x14ac:dyDescent="0.3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5" hidden="1" x14ac:dyDescent="0.3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5" hidden="1" x14ac:dyDescent="0.3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5" hidden="1" x14ac:dyDescent="0.3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5" hidden="1" x14ac:dyDescent="0.3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5" hidden="1" x14ac:dyDescent="0.3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5" hidden="1" x14ac:dyDescent="0.3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5" hidden="1" x14ac:dyDescent="0.3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5" hidden="1" x14ac:dyDescent="0.3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5" hidden="1" x14ac:dyDescent="0.3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5" hidden="1" x14ac:dyDescent="0.3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5" hidden="1" x14ac:dyDescent="0.3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5" hidden="1" x14ac:dyDescent="0.3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5" hidden="1" x14ac:dyDescent="0.3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5" hidden="1" x14ac:dyDescent="0.3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5" hidden="1" x14ac:dyDescent="0.3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21" zoomScale="85" zoomScaleNormal="85" workbookViewId="0">
      <selection activeCell="H18" sqref="H18"/>
    </sheetView>
  </sheetViews>
  <sheetFormatPr defaultColWidth="9.08984375" defaultRowHeight="0" customHeight="1" zeroHeight="1" x14ac:dyDescent="0.35"/>
  <cols>
    <col min="1" max="1" width="6.36328125" style="23" customWidth="1"/>
    <col min="2" max="2" width="8.90625" style="23" customWidth="1"/>
    <col min="3" max="3" width="11.90625" style="23" customWidth="1"/>
    <col min="4" max="4" width="17.08984375" style="23" customWidth="1"/>
    <col min="5" max="5" width="17.36328125" style="23" customWidth="1"/>
    <col min="6" max="7" width="22.90625" style="23" customWidth="1"/>
    <col min="8" max="8" width="21" style="23" customWidth="1"/>
    <col min="9" max="9" width="36.453125" style="23" customWidth="1"/>
    <col min="10" max="10" width="17.453125" style="23" customWidth="1"/>
    <col min="11" max="11" width="72.6328125" style="23" bestFit="1" customWidth="1"/>
    <col min="12" max="12" width="15.36328125" style="23" bestFit="1" customWidth="1"/>
    <col min="13" max="13" width="15.54296875" style="23" customWidth="1"/>
    <col min="14" max="255" width="9.08984375" style="23" customWidth="1"/>
    <col min="256" max="256" width="8.90625" style="23" customWidth="1"/>
    <col min="257" max="257" width="11.90625" style="23" customWidth="1"/>
    <col min="258" max="259" width="17.54296875" style="23" customWidth="1"/>
    <col min="260" max="260" width="12.453125" style="23" customWidth="1"/>
    <col min="261" max="261" width="11.08984375" style="23" customWidth="1"/>
    <col min="262" max="262" width="18.453125" style="23" customWidth="1"/>
    <col min="263" max="267" width="17.54296875" style="23" customWidth="1"/>
    <col min="268" max="268" width="6.08984375" style="23" customWidth="1"/>
    <col min="269" max="269" width="15.54296875" style="23" customWidth="1"/>
    <col min="270" max="511" width="9.08984375" style="23" customWidth="1"/>
    <col min="512" max="512" width="8.90625" style="23" customWidth="1"/>
    <col min="513" max="513" width="11.90625" style="23" customWidth="1"/>
    <col min="514" max="515" width="17.54296875" style="23" customWidth="1"/>
    <col min="516" max="516" width="12.453125" style="23" customWidth="1"/>
    <col min="517" max="517" width="11.08984375" style="23" customWidth="1"/>
    <col min="518" max="518" width="18.453125" style="23" customWidth="1"/>
    <col min="519" max="523" width="17.54296875" style="23" customWidth="1"/>
    <col min="524" max="524" width="6.08984375" style="23" customWidth="1"/>
    <col min="525" max="525" width="15.54296875" style="23" customWidth="1"/>
    <col min="526" max="767" width="9.08984375" style="23" customWidth="1"/>
    <col min="768" max="768" width="8.90625" style="23" customWidth="1"/>
    <col min="769" max="769" width="11.90625" style="23" customWidth="1"/>
    <col min="770" max="771" width="17.54296875" style="23" customWidth="1"/>
    <col min="772" max="772" width="12.453125" style="23" customWidth="1"/>
    <col min="773" max="773" width="11.08984375" style="23" customWidth="1"/>
    <col min="774" max="774" width="18.453125" style="23" customWidth="1"/>
    <col min="775" max="779" width="17.54296875" style="23" customWidth="1"/>
    <col min="780" max="780" width="6.08984375" style="23" customWidth="1"/>
    <col min="781" max="781" width="15.54296875" style="23" customWidth="1"/>
    <col min="782" max="1023" width="9.08984375" style="23"/>
    <col min="1024" max="1024" width="8.90625" style="23" customWidth="1"/>
    <col min="1025" max="1025" width="11.90625" style="23" customWidth="1"/>
    <col min="1026" max="1027" width="17.54296875" style="23" customWidth="1"/>
    <col min="1028" max="1028" width="12.453125" style="23" customWidth="1"/>
    <col min="1029" max="1029" width="11.08984375" style="23" customWidth="1"/>
    <col min="1030" max="1030" width="18.453125" style="23" customWidth="1"/>
    <col min="1031" max="1035" width="17.54296875" style="23" customWidth="1"/>
    <col min="1036" max="1036" width="6.08984375" style="23" customWidth="1"/>
    <col min="1037" max="1037" width="15.54296875" style="23" customWidth="1"/>
    <col min="1038" max="1279" width="9.08984375" style="23" customWidth="1"/>
    <col min="1280" max="1280" width="8.90625" style="23" customWidth="1"/>
    <col min="1281" max="1281" width="11.90625" style="23" customWidth="1"/>
    <col min="1282" max="1283" width="17.54296875" style="23" customWidth="1"/>
    <col min="1284" max="1284" width="12.453125" style="23" customWidth="1"/>
    <col min="1285" max="1285" width="11.08984375" style="23" customWidth="1"/>
    <col min="1286" max="1286" width="18.453125" style="23" customWidth="1"/>
    <col min="1287" max="1291" width="17.54296875" style="23" customWidth="1"/>
    <col min="1292" max="1292" width="6.08984375" style="23" customWidth="1"/>
    <col min="1293" max="1293" width="15.54296875" style="23" customWidth="1"/>
    <col min="1294" max="1535" width="9.08984375" style="23" customWidth="1"/>
    <col min="1536" max="1536" width="8.90625" style="23" customWidth="1"/>
    <col min="1537" max="1537" width="11.90625" style="23" customWidth="1"/>
    <col min="1538" max="1539" width="17.54296875" style="23" customWidth="1"/>
    <col min="1540" max="1540" width="12.453125" style="23" customWidth="1"/>
    <col min="1541" max="1541" width="11.08984375" style="23" customWidth="1"/>
    <col min="1542" max="1542" width="18.453125" style="23" customWidth="1"/>
    <col min="1543" max="1547" width="17.54296875" style="23" customWidth="1"/>
    <col min="1548" max="1548" width="6.08984375" style="23" customWidth="1"/>
    <col min="1549" max="1549" width="15.54296875" style="23" customWidth="1"/>
    <col min="1550" max="1791" width="9.08984375" style="23" customWidth="1"/>
    <col min="1792" max="1792" width="8.90625" style="23" customWidth="1"/>
    <col min="1793" max="1793" width="11.90625" style="23" customWidth="1"/>
    <col min="1794" max="1795" width="17.54296875" style="23" customWidth="1"/>
    <col min="1796" max="1796" width="12.453125" style="23" customWidth="1"/>
    <col min="1797" max="1797" width="11.08984375" style="23" customWidth="1"/>
    <col min="1798" max="1798" width="18.453125" style="23" customWidth="1"/>
    <col min="1799" max="1803" width="17.54296875" style="23" customWidth="1"/>
    <col min="1804" max="1804" width="6.08984375" style="23" customWidth="1"/>
    <col min="1805" max="1805" width="15.54296875" style="23" customWidth="1"/>
    <col min="1806" max="2047" width="9.08984375" style="23"/>
    <col min="2048" max="2048" width="8.90625" style="23" customWidth="1"/>
    <col min="2049" max="2049" width="11.90625" style="23" customWidth="1"/>
    <col min="2050" max="2051" width="17.54296875" style="23" customWidth="1"/>
    <col min="2052" max="2052" width="12.453125" style="23" customWidth="1"/>
    <col min="2053" max="2053" width="11.08984375" style="23" customWidth="1"/>
    <col min="2054" max="2054" width="18.453125" style="23" customWidth="1"/>
    <col min="2055" max="2059" width="17.54296875" style="23" customWidth="1"/>
    <col min="2060" max="2060" width="6.08984375" style="23" customWidth="1"/>
    <col min="2061" max="2061" width="15.54296875" style="23" customWidth="1"/>
    <col min="2062" max="2303" width="9.08984375" style="23" customWidth="1"/>
    <col min="2304" max="2304" width="8.90625" style="23" customWidth="1"/>
    <col min="2305" max="2305" width="11.90625" style="23" customWidth="1"/>
    <col min="2306" max="2307" width="17.54296875" style="23" customWidth="1"/>
    <col min="2308" max="2308" width="12.453125" style="23" customWidth="1"/>
    <col min="2309" max="2309" width="11.08984375" style="23" customWidth="1"/>
    <col min="2310" max="2310" width="18.453125" style="23" customWidth="1"/>
    <col min="2311" max="2315" width="17.54296875" style="23" customWidth="1"/>
    <col min="2316" max="2316" width="6.08984375" style="23" customWidth="1"/>
    <col min="2317" max="2317" width="15.54296875" style="23" customWidth="1"/>
    <col min="2318" max="2559" width="9.08984375" style="23" customWidth="1"/>
    <col min="2560" max="2560" width="8.90625" style="23" customWidth="1"/>
    <col min="2561" max="2561" width="11.90625" style="23" customWidth="1"/>
    <col min="2562" max="2563" width="17.54296875" style="23" customWidth="1"/>
    <col min="2564" max="2564" width="12.453125" style="23" customWidth="1"/>
    <col min="2565" max="2565" width="11.08984375" style="23" customWidth="1"/>
    <col min="2566" max="2566" width="18.453125" style="23" customWidth="1"/>
    <col min="2567" max="2571" width="17.54296875" style="23" customWidth="1"/>
    <col min="2572" max="2572" width="6.08984375" style="23" customWidth="1"/>
    <col min="2573" max="2573" width="15.54296875" style="23" customWidth="1"/>
    <col min="2574" max="2815" width="9.08984375" style="23" customWidth="1"/>
    <col min="2816" max="2816" width="8.90625" style="23" customWidth="1"/>
    <col min="2817" max="2817" width="11.90625" style="23" customWidth="1"/>
    <col min="2818" max="2819" width="17.54296875" style="23" customWidth="1"/>
    <col min="2820" max="2820" width="12.453125" style="23" customWidth="1"/>
    <col min="2821" max="2821" width="11.08984375" style="23" customWidth="1"/>
    <col min="2822" max="2822" width="18.453125" style="23" customWidth="1"/>
    <col min="2823" max="2827" width="17.54296875" style="23" customWidth="1"/>
    <col min="2828" max="2828" width="6.08984375" style="23" customWidth="1"/>
    <col min="2829" max="2829" width="15.54296875" style="23" customWidth="1"/>
    <col min="2830" max="3071" width="9.08984375" style="23"/>
    <col min="3072" max="3072" width="8.90625" style="23" customWidth="1"/>
    <col min="3073" max="3073" width="11.90625" style="23" customWidth="1"/>
    <col min="3074" max="3075" width="17.54296875" style="23" customWidth="1"/>
    <col min="3076" max="3076" width="12.453125" style="23" customWidth="1"/>
    <col min="3077" max="3077" width="11.08984375" style="23" customWidth="1"/>
    <col min="3078" max="3078" width="18.453125" style="23" customWidth="1"/>
    <col min="3079" max="3083" width="17.54296875" style="23" customWidth="1"/>
    <col min="3084" max="3084" width="6.08984375" style="23" customWidth="1"/>
    <col min="3085" max="3085" width="15.54296875" style="23" customWidth="1"/>
    <col min="3086" max="3327" width="9.08984375" style="23" customWidth="1"/>
    <col min="3328" max="3328" width="8.90625" style="23" customWidth="1"/>
    <col min="3329" max="3329" width="11.90625" style="23" customWidth="1"/>
    <col min="3330" max="3331" width="17.54296875" style="23" customWidth="1"/>
    <col min="3332" max="3332" width="12.453125" style="23" customWidth="1"/>
    <col min="3333" max="3333" width="11.08984375" style="23" customWidth="1"/>
    <col min="3334" max="3334" width="18.453125" style="23" customWidth="1"/>
    <col min="3335" max="3339" width="17.54296875" style="23" customWidth="1"/>
    <col min="3340" max="3340" width="6.08984375" style="23" customWidth="1"/>
    <col min="3341" max="3341" width="15.54296875" style="23" customWidth="1"/>
    <col min="3342" max="3583" width="9.08984375" style="23" customWidth="1"/>
    <col min="3584" max="3584" width="8.90625" style="23" customWidth="1"/>
    <col min="3585" max="3585" width="11.90625" style="23" customWidth="1"/>
    <col min="3586" max="3587" width="17.54296875" style="23" customWidth="1"/>
    <col min="3588" max="3588" width="12.453125" style="23" customWidth="1"/>
    <col min="3589" max="3589" width="11.08984375" style="23" customWidth="1"/>
    <col min="3590" max="3590" width="18.453125" style="23" customWidth="1"/>
    <col min="3591" max="3595" width="17.54296875" style="23" customWidth="1"/>
    <col min="3596" max="3596" width="6.08984375" style="23" customWidth="1"/>
    <col min="3597" max="3597" width="15.54296875" style="23" customWidth="1"/>
    <col min="3598" max="3839" width="9.08984375" style="23" customWidth="1"/>
    <col min="3840" max="3840" width="8.90625" style="23" customWidth="1"/>
    <col min="3841" max="3841" width="11.90625" style="23" customWidth="1"/>
    <col min="3842" max="3843" width="17.54296875" style="23" customWidth="1"/>
    <col min="3844" max="3844" width="12.453125" style="23" customWidth="1"/>
    <col min="3845" max="3845" width="11.08984375" style="23" customWidth="1"/>
    <col min="3846" max="3846" width="18.453125" style="23" customWidth="1"/>
    <col min="3847" max="3851" width="17.54296875" style="23" customWidth="1"/>
    <col min="3852" max="3852" width="6.08984375" style="23" customWidth="1"/>
    <col min="3853" max="3853" width="15.54296875" style="23" customWidth="1"/>
    <col min="3854" max="4095" width="9.08984375" style="23"/>
    <col min="4096" max="4096" width="8.90625" style="23" customWidth="1"/>
    <col min="4097" max="4097" width="11.90625" style="23" customWidth="1"/>
    <col min="4098" max="4099" width="17.54296875" style="23" customWidth="1"/>
    <col min="4100" max="4100" width="12.453125" style="23" customWidth="1"/>
    <col min="4101" max="4101" width="11.08984375" style="23" customWidth="1"/>
    <col min="4102" max="4102" width="18.453125" style="23" customWidth="1"/>
    <col min="4103" max="4107" width="17.54296875" style="23" customWidth="1"/>
    <col min="4108" max="4108" width="6.08984375" style="23" customWidth="1"/>
    <col min="4109" max="4109" width="15.54296875" style="23" customWidth="1"/>
    <col min="4110" max="4351" width="9.08984375" style="23" customWidth="1"/>
    <col min="4352" max="4352" width="8.90625" style="23" customWidth="1"/>
    <col min="4353" max="4353" width="11.90625" style="23" customWidth="1"/>
    <col min="4354" max="4355" width="17.54296875" style="23" customWidth="1"/>
    <col min="4356" max="4356" width="12.453125" style="23" customWidth="1"/>
    <col min="4357" max="4357" width="11.08984375" style="23" customWidth="1"/>
    <col min="4358" max="4358" width="18.453125" style="23" customWidth="1"/>
    <col min="4359" max="4363" width="17.54296875" style="23" customWidth="1"/>
    <col min="4364" max="4364" width="6.08984375" style="23" customWidth="1"/>
    <col min="4365" max="4365" width="15.54296875" style="23" customWidth="1"/>
    <col min="4366" max="4607" width="9.08984375" style="23" customWidth="1"/>
    <col min="4608" max="4608" width="8.90625" style="23" customWidth="1"/>
    <col min="4609" max="4609" width="11.90625" style="23" customWidth="1"/>
    <col min="4610" max="4611" width="17.54296875" style="23" customWidth="1"/>
    <col min="4612" max="4612" width="12.453125" style="23" customWidth="1"/>
    <col min="4613" max="4613" width="11.08984375" style="23" customWidth="1"/>
    <col min="4614" max="4614" width="18.453125" style="23" customWidth="1"/>
    <col min="4615" max="4619" width="17.54296875" style="23" customWidth="1"/>
    <col min="4620" max="4620" width="6.08984375" style="23" customWidth="1"/>
    <col min="4621" max="4621" width="15.54296875" style="23" customWidth="1"/>
    <col min="4622" max="4863" width="9.08984375" style="23" customWidth="1"/>
    <col min="4864" max="4864" width="8.90625" style="23" customWidth="1"/>
    <col min="4865" max="4865" width="11.90625" style="23" customWidth="1"/>
    <col min="4866" max="4867" width="17.54296875" style="23" customWidth="1"/>
    <col min="4868" max="4868" width="12.453125" style="23" customWidth="1"/>
    <col min="4869" max="4869" width="11.08984375" style="23" customWidth="1"/>
    <col min="4870" max="4870" width="18.453125" style="23" customWidth="1"/>
    <col min="4871" max="4875" width="17.54296875" style="23" customWidth="1"/>
    <col min="4876" max="4876" width="6.08984375" style="23" customWidth="1"/>
    <col min="4877" max="4877" width="15.54296875" style="23" customWidth="1"/>
    <col min="4878" max="5119" width="9.08984375" style="23"/>
    <col min="5120" max="5120" width="8.90625" style="23" customWidth="1"/>
    <col min="5121" max="5121" width="11.90625" style="23" customWidth="1"/>
    <col min="5122" max="5123" width="17.54296875" style="23" customWidth="1"/>
    <col min="5124" max="5124" width="12.453125" style="23" customWidth="1"/>
    <col min="5125" max="5125" width="11.08984375" style="23" customWidth="1"/>
    <col min="5126" max="5126" width="18.453125" style="23" customWidth="1"/>
    <col min="5127" max="5131" width="17.54296875" style="23" customWidth="1"/>
    <col min="5132" max="5132" width="6.08984375" style="23" customWidth="1"/>
    <col min="5133" max="5133" width="15.54296875" style="23" customWidth="1"/>
    <col min="5134" max="5375" width="9.08984375" style="23" customWidth="1"/>
    <col min="5376" max="5376" width="8.90625" style="23" customWidth="1"/>
    <col min="5377" max="5377" width="11.90625" style="23" customWidth="1"/>
    <col min="5378" max="5379" width="17.54296875" style="23" customWidth="1"/>
    <col min="5380" max="5380" width="12.453125" style="23" customWidth="1"/>
    <col min="5381" max="5381" width="11.08984375" style="23" customWidth="1"/>
    <col min="5382" max="5382" width="18.453125" style="23" customWidth="1"/>
    <col min="5383" max="5387" width="17.54296875" style="23" customWidth="1"/>
    <col min="5388" max="5388" width="6.08984375" style="23" customWidth="1"/>
    <col min="5389" max="5389" width="15.54296875" style="23" customWidth="1"/>
    <col min="5390" max="5631" width="9.08984375" style="23" customWidth="1"/>
    <col min="5632" max="5632" width="8.90625" style="23" customWidth="1"/>
    <col min="5633" max="5633" width="11.90625" style="23" customWidth="1"/>
    <col min="5634" max="5635" width="17.54296875" style="23" customWidth="1"/>
    <col min="5636" max="5636" width="12.453125" style="23" customWidth="1"/>
    <col min="5637" max="5637" width="11.08984375" style="23" customWidth="1"/>
    <col min="5638" max="5638" width="18.453125" style="23" customWidth="1"/>
    <col min="5639" max="5643" width="17.54296875" style="23" customWidth="1"/>
    <col min="5644" max="5644" width="6.08984375" style="23" customWidth="1"/>
    <col min="5645" max="5645" width="15.54296875" style="23" customWidth="1"/>
    <col min="5646" max="5887" width="9.08984375" style="23" customWidth="1"/>
    <col min="5888" max="5888" width="8.90625" style="23" customWidth="1"/>
    <col min="5889" max="5889" width="11.90625" style="23" customWidth="1"/>
    <col min="5890" max="5891" width="17.54296875" style="23" customWidth="1"/>
    <col min="5892" max="5892" width="12.453125" style="23" customWidth="1"/>
    <col min="5893" max="5893" width="11.08984375" style="23" customWidth="1"/>
    <col min="5894" max="5894" width="18.453125" style="23" customWidth="1"/>
    <col min="5895" max="5899" width="17.54296875" style="23" customWidth="1"/>
    <col min="5900" max="5900" width="6.08984375" style="23" customWidth="1"/>
    <col min="5901" max="5901" width="15.54296875" style="23" customWidth="1"/>
    <col min="5902" max="6143" width="9.08984375" style="23"/>
    <col min="6144" max="6144" width="8.90625" style="23" customWidth="1"/>
    <col min="6145" max="6145" width="11.90625" style="23" customWidth="1"/>
    <col min="6146" max="6147" width="17.54296875" style="23" customWidth="1"/>
    <col min="6148" max="6148" width="12.453125" style="23" customWidth="1"/>
    <col min="6149" max="6149" width="11.08984375" style="23" customWidth="1"/>
    <col min="6150" max="6150" width="18.453125" style="23" customWidth="1"/>
    <col min="6151" max="6155" width="17.54296875" style="23" customWidth="1"/>
    <col min="6156" max="6156" width="6.08984375" style="23" customWidth="1"/>
    <col min="6157" max="6157" width="15.54296875" style="23" customWidth="1"/>
    <col min="6158" max="6399" width="9.08984375" style="23" customWidth="1"/>
    <col min="6400" max="6400" width="8.90625" style="23" customWidth="1"/>
    <col min="6401" max="6401" width="11.90625" style="23" customWidth="1"/>
    <col min="6402" max="6403" width="17.54296875" style="23" customWidth="1"/>
    <col min="6404" max="6404" width="12.453125" style="23" customWidth="1"/>
    <col min="6405" max="6405" width="11.08984375" style="23" customWidth="1"/>
    <col min="6406" max="6406" width="18.453125" style="23" customWidth="1"/>
    <col min="6407" max="6411" width="17.54296875" style="23" customWidth="1"/>
    <col min="6412" max="6412" width="6.08984375" style="23" customWidth="1"/>
    <col min="6413" max="6413" width="15.54296875" style="23" customWidth="1"/>
    <col min="6414" max="6655" width="9.08984375" style="23" customWidth="1"/>
    <col min="6656" max="6656" width="8.90625" style="23" customWidth="1"/>
    <col min="6657" max="6657" width="11.90625" style="23" customWidth="1"/>
    <col min="6658" max="6659" width="17.54296875" style="23" customWidth="1"/>
    <col min="6660" max="6660" width="12.453125" style="23" customWidth="1"/>
    <col min="6661" max="6661" width="11.08984375" style="23" customWidth="1"/>
    <col min="6662" max="6662" width="18.453125" style="23" customWidth="1"/>
    <col min="6663" max="6667" width="17.54296875" style="23" customWidth="1"/>
    <col min="6668" max="6668" width="6.08984375" style="23" customWidth="1"/>
    <col min="6669" max="6669" width="15.54296875" style="23" customWidth="1"/>
    <col min="6670" max="6911" width="9.08984375" style="23" customWidth="1"/>
    <col min="6912" max="6912" width="8.90625" style="23" customWidth="1"/>
    <col min="6913" max="6913" width="11.90625" style="23" customWidth="1"/>
    <col min="6914" max="6915" width="17.54296875" style="23" customWidth="1"/>
    <col min="6916" max="6916" width="12.453125" style="23" customWidth="1"/>
    <col min="6917" max="6917" width="11.08984375" style="23" customWidth="1"/>
    <col min="6918" max="6918" width="18.453125" style="23" customWidth="1"/>
    <col min="6919" max="6923" width="17.54296875" style="23" customWidth="1"/>
    <col min="6924" max="6924" width="6.08984375" style="23" customWidth="1"/>
    <col min="6925" max="6925" width="15.54296875" style="23" customWidth="1"/>
    <col min="6926" max="7167" width="9.08984375" style="23"/>
    <col min="7168" max="7168" width="8.90625" style="23" customWidth="1"/>
    <col min="7169" max="7169" width="11.90625" style="23" customWidth="1"/>
    <col min="7170" max="7171" width="17.54296875" style="23" customWidth="1"/>
    <col min="7172" max="7172" width="12.453125" style="23" customWidth="1"/>
    <col min="7173" max="7173" width="11.08984375" style="23" customWidth="1"/>
    <col min="7174" max="7174" width="18.453125" style="23" customWidth="1"/>
    <col min="7175" max="7179" width="17.54296875" style="23" customWidth="1"/>
    <col min="7180" max="7180" width="6.08984375" style="23" customWidth="1"/>
    <col min="7181" max="7181" width="15.54296875" style="23" customWidth="1"/>
    <col min="7182" max="7423" width="9.08984375" style="23" customWidth="1"/>
    <col min="7424" max="7424" width="8.90625" style="23" customWidth="1"/>
    <col min="7425" max="7425" width="11.90625" style="23" customWidth="1"/>
    <col min="7426" max="7427" width="17.54296875" style="23" customWidth="1"/>
    <col min="7428" max="7428" width="12.453125" style="23" customWidth="1"/>
    <col min="7429" max="7429" width="11.08984375" style="23" customWidth="1"/>
    <col min="7430" max="7430" width="18.453125" style="23" customWidth="1"/>
    <col min="7431" max="7435" width="17.54296875" style="23" customWidth="1"/>
    <col min="7436" max="7436" width="6.08984375" style="23" customWidth="1"/>
    <col min="7437" max="7437" width="15.54296875" style="23" customWidth="1"/>
    <col min="7438" max="7679" width="9.08984375" style="23" customWidth="1"/>
    <col min="7680" max="7680" width="8.90625" style="23" customWidth="1"/>
    <col min="7681" max="7681" width="11.90625" style="23" customWidth="1"/>
    <col min="7682" max="7683" width="17.54296875" style="23" customWidth="1"/>
    <col min="7684" max="7684" width="12.453125" style="23" customWidth="1"/>
    <col min="7685" max="7685" width="11.08984375" style="23" customWidth="1"/>
    <col min="7686" max="7686" width="18.453125" style="23" customWidth="1"/>
    <col min="7687" max="7691" width="17.54296875" style="23" customWidth="1"/>
    <col min="7692" max="7692" width="6.08984375" style="23" customWidth="1"/>
    <col min="7693" max="7693" width="15.54296875" style="23" customWidth="1"/>
    <col min="7694" max="7935" width="9.08984375" style="23" customWidth="1"/>
    <col min="7936" max="7936" width="8.90625" style="23" customWidth="1"/>
    <col min="7937" max="7937" width="11.90625" style="23" customWidth="1"/>
    <col min="7938" max="7939" width="17.54296875" style="23" customWidth="1"/>
    <col min="7940" max="7940" width="12.453125" style="23" customWidth="1"/>
    <col min="7941" max="7941" width="11.08984375" style="23" customWidth="1"/>
    <col min="7942" max="7942" width="18.453125" style="23" customWidth="1"/>
    <col min="7943" max="7947" width="17.54296875" style="23" customWidth="1"/>
    <col min="7948" max="7948" width="6.08984375" style="23" customWidth="1"/>
    <col min="7949" max="7949" width="15.54296875" style="23" customWidth="1"/>
    <col min="7950" max="8191" width="9.08984375" style="23"/>
    <col min="8192" max="8192" width="8.90625" style="23" customWidth="1"/>
    <col min="8193" max="8193" width="11.90625" style="23" customWidth="1"/>
    <col min="8194" max="8195" width="17.54296875" style="23" customWidth="1"/>
    <col min="8196" max="8196" width="12.453125" style="23" customWidth="1"/>
    <col min="8197" max="8197" width="11.08984375" style="23" customWidth="1"/>
    <col min="8198" max="8198" width="18.453125" style="23" customWidth="1"/>
    <col min="8199" max="8203" width="17.54296875" style="23" customWidth="1"/>
    <col min="8204" max="8204" width="6.08984375" style="23" customWidth="1"/>
    <col min="8205" max="8205" width="15.54296875" style="23" customWidth="1"/>
    <col min="8206" max="8447" width="9.08984375" style="23" customWidth="1"/>
    <col min="8448" max="8448" width="8.90625" style="23" customWidth="1"/>
    <col min="8449" max="8449" width="11.90625" style="23" customWidth="1"/>
    <col min="8450" max="8451" width="17.54296875" style="23" customWidth="1"/>
    <col min="8452" max="8452" width="12.453125" style="23" customWidth="1"/>
    <col min="8453" max="8453" width="11.08984375" style="23" customWidth="1"/>
    <col min="8454" max="8454" width="18.453125" style="23" customWidth="1"/>
    <col min="8455" max="8459" width="17.54296875" style="23" customWidth="1"/>
    <col min="8460" max="8460" width="6.08984375" style="23" customWidth="1"/>
    <col min="8461" max="8461" width="15.54296875" style="23" customWidth="1"/>
    <col min="8462" max="8703" width="9.08984375" style="23" customWidth="1"/>
    <col min="8704" max="8704" width="8.90625" style="23" customWidth="1"/>
    <col min="8705" max="8705" width="11.90625" style="23" customWidth="1"/>
    <col min="8706" max="8707" width="17.54296875" style="23" customWidth="1"/>
    <col min="8708" max="8708" width="12.453125" style="23" customWidth="1"/>
    <col min="8709" max="8709" width="11.08984375" style="23" customWidth="1"/>
    <col min="8710" max="8710" width="18.453125" style="23" customWidth="1"/>
    <col min="8711" max="8715" width="17.54296875" style="23" customWidth="1"/>
    <col min="8716" max="8716" width="6.08984375" style="23" customWidth="1"/>
    <col min="8717" max="8717" width="15.54296875" style="23" customWidth="1"/>
    <col min="8718" max="8959" width="9.08984375" style="23" customWidth="1"/>
    <col min="8960" max="8960" width="8.90625" style="23" customWidth="1"/>
    <col min="8961" max="8961" width="11.90625" style="23" customWidth="1"/>
    <col min="8962" max="8963" width="17.54296875" style="23" customWidth="1"/>
    <col min="8964" max="8964" width="12.453125" style="23" customWidth="1"/>
    <col min="8965" max="8965" width="11.08984375" style="23" customWidth="1"/>
    <col min="8966" max="8966" width="18.453125" style="23" customWidth="1"/>
    <col min="8967" max="8971" width="17.54296875" style="23" customWidth="1"/>
    <col min="8972" max="8972" width="6.08984375" style="23" customWidth="1"/>
    <col min="8973" max="8973" width="15.54296875" style="23" customWidth="1"/>
    <col min="8974" max="9215" width="9.08984375" style="23"/>
    <col min="9216" max="9216" width="8.90625" style="23" customWidth="1"/>
    <col min="9217" max="9217" width="11.90625" style="23" customWidth="1"/>
    <col min="9218" max="9219" width="17.54296875" style="23" customWidth="1"/>
    <col min="9220" max="9220" width="12.453125" style="23" customWidth="1"/>
    <col min="9221" max="9221" width="11.08984375" style="23" customWidth="1"/>
    <col min="9222" max="9222" width="18.453125" style="23" customWidth="1"/>
    <col min="9223" max="9227" width="17.54296875" style="23" customWidth="1"/>
    <col min="9228" max="9228" width="6.08984375" style="23" customWidth="1"/>
    <col min="9229" max="9229" width="15.54296875" style="23" customWidth="1"/>
    <col min="9230" max="9471" width="9.08984375" style="23" customWidth="1"/>
    <col min="9472" max="9472" width="8.90625" style="23" customWidth="1"/>
    <col min="9473" max="9473" width="11.90625" style="23" customWidth="1"/>
    <col min="9474" max="9475" width="17.54296875" style="23" customWidth="1"/>
    <col min="9476" max="9476" width="12.453125" style="23" customWidth="1"/>
    <col min="9477" max="9477" width="11.08984375" style="23" customWidth="1"/>
    <col min="9478" max="9478" width="18.453125" style="23" customWidth="1"/>
    <col min="9479" max="9483" width="17.54296875" style="23" customWidth="1"/>
    <col min="9484" max="9484" width="6.08984375" style="23" customWidth="1"/>
    <col min="9485" max="9485" width="15.54296875" style="23" customWidth="1"/>
    <col min="9486" max="9727" width="9.08984375" style="23" customWidth="1"/>
    <col min="9728" max="9728" width="8.90625" style="23" customWidth="1"/>
    <col min="9729" max="9729" width="11.90625" style="23" customWidth="1"/>
    <col min="9730" max="9731" width="17.54296875" style="23" customWidth="1"/>
    <col min="9732" max="9732" width="12.453125" style="23" customWidth="1"/>
    <col min="9733" max="9733" width="11.08984375" style="23" customWidth="1"/>
    <col min="9734" max="9734" width="18.453125" style="23" customWidth="1"/>
    <col min="9735" max="9739" width="17.54296875" style="23" customWidth="1"/>
    <col min="9740" max="9740" width="6.08984375" style="23" customWidth="1"/>
    <col min="9741" max="9741" width="15.54296875" style="23" customWidth="1"/>
    <col min="9742" max="9983" width="9.08984375" style="23" customWidth="1"/>
    <col min="9984" max="9984" width="8.90625" style="23" customWidth="1"/>
    <col min="9985" max="9985" width="11.90625" style="23" customWidth="1"/>
    <col min="9986" max="9987" width="17.54296875" style="23" customWidth="1"/>
    <col min="9988" max="9988" width="12.453125" style="23" customWidth="1"/>
    <col min="9989" max="9989" width="11.08984375" style="23" customWidth="1"/>
    <col min="9990" max="9990" width="18.453125" style="23" customWidth="1"/>
    <col min="9991" max="9995" width="17.54296875" style="23" customWidth="1"/>
    <col min="9996" max="9996" width="6.08984375" style="23" customWidth="1"/>
    <col min="9997" max="9997" width="15.54296875" style="23" customWidth="1"/>
    <col min="9998" max="10239" width="9.08984375" style="23"/>
    <col min="10240" max="10240" width="8.90625" style="23" customWidth="1"/>
    <col min="10241" max="10241" width="11.90625" style="23" customWidth="1"/>
    <col min="10242" max="10243" width="17.54296875" style="23" customWidth="1"/>
    <col min="10244" max="10244" width="12.453125" style="23" customWidth="1"/>
    <col min="10245" max="10245" width="11.08984375" style="23" customWidth="1"/>
    <col min="10246" max="10246" width="18.453125" style="23" customWidth="1"/>
    <col min="10247" max="10251" width="17.54296875" style="23" customWidth="1"/>
    <col min="10252" max="10252" width="6.08984375" style="23" customWidth="1"/>
    <col min="10253" max="10253" width="15.54296875" style="23" customWidth="1"/>
    <col min="10254" max="10495" width="9.08984375" style="23" customWidth="1"/>
    <col min="10496" max="10496" width="8.90625" style="23" customWidth="1"/>
    <col min="10497" max="10497" width="11.90625" style="23" customWidth="1"/>
    <col min="10498" max="10499" width="17.54296875" style="23" customWidth="1"/>
    <col min="10500" max="10500" width="12.453125" style="23" customWidth="1"/>
    <col min="10501" max="10501" width="11.08984375" style="23" customWidth="1"/>
    <col min="10502" max="10502" width="18.453125" style="23" customWidth="1"/>
    <col min="10503" max="10507" width="17.54296875" style="23" customWidth="1"/>
    <col min="10508" max="10508" width="6.08984375" style="23" customWidth="1"/>
    <col min="10509" max="10509" width="15.54296875" style="23" customWidth="1"/>
    <col min="10510" max="10751" width="9.08984375" style="23" customWidth="1"/>
    <col min="10752" max="10752" width="8.90625" style="23" customWidth="1"/>
    <col min="10753" max="10753" width="11.90625" style="23" customWidth="1"/>
    <col min="10754" max="10755" width="17.54296875" style="23" customWidth="1"/>
    <col min="10756" max="10756" width="12.453125" style="23" customWidth="1"/>
    <col min="10757" max="10757" width="11.08984375" style="23" customWidth="1"/>
    <col min="10758" max="10758" width="18.453125" style="23" customWidth="1"/>
    <col min="10759" max="10763" width="17.54296875" style="23" customWidth="1"/>
    <col min="10764" max="10764" width="6.08984375" style="23" customWidth="1"/>
    <col min="10765" max="10765" width="15.54296875" style="23" customWidth="1"/>
    <col min="10766" max="11007" width="9.08984375" style="23" customWidth="1"/>
    <col min="11008" max="11008" width="8.90625" style="23" customWidth="1"/>
    <col min="11009" max="11009" width="11.90625" style="23" customWidth="1"/>
    <col min="11010" max="11011" width="17.54296875" style="23" customWidth="1"/>
    <col min="11012" max="11012" width="12.453125" style="23" customWidth="1"/>
    <col min="11013" max="11013" width="11.08984375" style="23" customWidth="1"/>
    <col min="11014" max="11014" width="18.453125" style="23" customWidth="1"/>
    <col min="11015" max="11019" width="17.54296875" style="23" customWidth="1"/>
    <col min="11020" max="11020" width="6.08984375" style="23" customWidth="1"/>
    <col min="11021" max="11021" width="15.54296875" style="23" customWidth="1"/>
    <col min="11022" max="11263" width="9.08984375" style="23"/>
    <col min="11264" max="11264" width="8.90625" style="23" customWidth="1"/>
    <col min="11265" max="11265" width="11.90625" style="23" customWidth="1"/>
    <col min="11266" max="11267" width="17.54296875" style="23" customWidth="1"/>
    <col min="11268" max="11268" width="12.453125" style="23" customWidth="1"/>
    <col min="11269" max="11269" width="11.08984375" style="23" customWidth="1"/>
    <col min="11270" max="11270" width="18.453125" style="23" customWidth="1"/>
    <col min="11271" max="11275" width="17.54296875" style="23" customWidth="1"/>
    <col min="11276" max="11276" width="6.08984375" style="23" customWidth="1"/>
    <col min="11277" max="11277" width="15.54296875" style="23" customWidth="1"/>
    <col min="11278" max="11519" width="9.08984375" style="23" customWidth="1"/>
    <col min="11520" max="11520" width="8.90625" style="23" customWidth="1"/>
    <col min="11521" max="11521" width="11.90625" style="23" customWidth="1"/>
    <col min="11522" max="11523" width="17.54296875" style="23" customWidth="1"/>
    <col min="11524" max="11524" width="12.453125" style="23" customWidth="1"/>
    <col min="11525" max="11525" width="11.08984375" style="23" customWidth="1"/>
    <col min="11526" max="11526" width="18.453125" style="23" customWidth="1"/>
    <col min="11527" max="11531" width="17.54296875" style="23" customWidth="1"/>
    <col min="11532" max="11532" width="6.08984375" style="23" customWidth="1"/>
    <col min="11533" max="11533" width="15.54296875" style="23" customWidth="1"/>
    <col min="11534" max="11775" width="9.08984375" style="23" customWidth="1"/>
    <col min="11776" max="11776" width="8.90625" style="23" customWidth="1"/>
    <col min="11777" max="11777" width="11.90625" style="23" customWidth="1"/>
    <col min="11778" max="11779" width="17.54296875" style="23" customWidth="1"/>
    <col min="11780" max="11780" width="12.453125" style="23" customWidth="1"/>
    <col min="11781" max="11781" width="11.08984375" style="23" customWidth="1"/>
    <col min="11782" max="11782" width="18.453125" style="23" customWidth="1"/>
    <col min="11783" max="11787" width="17.54296875" style="23" customWidth="1"/>
    <col min="11788" max="11788" width="6.08984375" style="23" customWidth="1"/>
    <col min="11789" max="11789" width="15.54296875" style="23" customWidth="1"/>
    <col min="11790" max="12031" width="9.08984375" style="23" customWidth="1"/>
    <col min="12032" max="12032" width="8.90625" style="23" customWidth="1"/>
    <col min="12033" max="12033" width="11.90625" style="23" customWidth="1"/>
    <col min="12034" max="12035" width="17.54296875" style="23" customWidth="1"/>
    <col min="12036" max="12036" width="12.453125" style="23" customWidth="1"/>
    <col min="12037" max="12037" width="11.08984375" style="23" customWidth="1"/>
    <col min="12038" max="12038" width="18.453125" style="23" customWidth="1"/>
    <col min="12039" max="12043" width="17.54296875" style="23" customWidth="1"/>
    <col min="12044" max="12044" width="6.08984375" style="23" customWidth="1"/>
    <col min="12045" max="12045" width="15.54296875" style="23" customWidth="1"/>
    <col min="12046" max="12287" width="9.08984375" style="23"/>
    <col min="12288" max="12288" width="8.90625" style="23" customWidth="1"/>
    <col min="12289" max="12289" width="11.90625" style="23" customWidth="1"/>
    <col min="12290" max="12291" width="17.54296875" style="23" customWidth="1"/>
    <col min="12292" max="12292" width="12.453125" style="23" customWidth="1"/>
    <col min="12293" max="12293" width="11.08984375" style="23" customWidth="1"/>
    <col min="12294" max="12294" width="18.453125" style="23" customWidth="1"/>
    <col min="12295" max="12299" width="17.54296875" style="23" customWidth="1"/>
    <col min="12300" max="12300" width="6.08984375" style="23" customWidth="1"/>
    <col min="12301" max="12301" width="15.54296875" style="23" customWidth="1"/>
    <col min="12302" max="12543" width="9.08984375" style="23" customWidth="1"/>
    <col min="12544" max="12544" width="8.90625" style="23" customWidth="1"/>
    <col min="12545" max="12545" width="11.90625" style="23" customWidth="1"/>
    <col min="12546" max="12547" width="17.54296875" style="23" customWidth="1"/>
    <col min="12548" max="12548" width="12.453125" style="23" customWidth="1"/>
    <col min="12549" max="12549" width="11.08984375" style="23" customWidth="1"/>
    <col min="12550" max="12550" width="18.453125" style="23" customWidth="1"/>
    <col min="12551" max="12555" width="17.54296875" style="23" customWidth="1"/>
    <col min="12556" max="12556" width="6.08984375" style="23" customWidth="1"/>
    <col min="12557" max="12557" width="15.54296875" style="23" customWidth="1"/>
    <col min="12558" max="12799" width="9.08984375" style="23" customWidth="1"/>
    <col min="12800" max="12800" width="8.90625" style="23" customWidth="1"/>
    <col min="12801" max="12801" width="11.90625" style="23" customWidth="1"/>
    <col min="12802" max="12803" width="17.54296875" style="23" customWidth="1"/>
    <col min="12804" max="12804" width="12.453125" style="23" customWidth="1"/>
    <col min="12805" max="12805" width="11.08984375" style="23" customWidth="1"/>
    <col min="12806" max="12806" width="18.453125" style="23" customWidth="1"/>
    <col min="12807" max="12811" width="17.54296875" style="23" customWidth="1"/>
    <col min="12812" max="12812" width="6.08984375" style="23" customWidth="1"/>
    <col min="12813" max="12813" width="15.54296875" style="23" customWidth="1"/>
    <col min="12814" max="13055" width="9.08984375" style="23" customWidth="1"/>
    <col min="13056" max="13056" width="8.90625" style="23" customWidth="1"/>
    <col min="13057" max="13057" width="11.90625" style="23" customWidth="1"/>
    <col min="13058" max="13059" width="17.54296875" style="23" customWidth="1"/>
    <col min="13060" max="13060" width="12.453125" style="23" customWidth="1"/>
    <col min="13061" max="13061" width="11.08984375" style="23" customWidth="1"/>
    <col min="13062" max="13062" width="18.453125" style="23" customWidth="1"/>
    <col min="13063" max="13067" width="17.54296875" style="23" customWidth="1"/>
    <col min="13068" max="13068" width="6.08984375" style="23" customWidth="1"/>
    <col min="13069" max="13069" width="15.54296875" style="23" customWidth="1"/>
    <col min="13070" max="13311" width="9.08984375" style="23"/>
    <col min="13312" max="13312" width="8.90625" style="23" customWidth="1"/>
    <col min="13313" max="13313" width="11.90625" style="23" customWidth="1"/>
    <col min="13314" max="13315" width="17.54296875" style="23" customWidth="1"/>
    <col min="13316" max="13316" width="12.453125" style="23" customWidth="1"/>
    <col min="13317" max="13317" width="11.08984375" style="23" customWidth="1"/>
    <col min="13318" max="13318" width="18.453125" style="23" customWidth="1"/>
    <col min="13319" max="13323" width="17.54296875" style="23" customWidth="1"/>
    <col min="13324" max="13324" width="6.08984375" style="23" customWidth="1"/>
    <col min="13325" max="13325" width="15.54296875" style="23" customWidth="1"/>
    <col min="13326" max="13567" width="9.08984375" style="23" customWidth="1"/>
    <col min="13568" max="13568" width="8.90625" style="23" customWidth="1"/>
    <col min="13569" max="13569" width="11.90625" style="23" customWidth="1"/>
    <col min="13570" max="13571" width="17.54296875" style="23" customWidth="1"/>
    <col min="13572" max="13572" width="12.453125" style="23" customWidth="1"/>
    <col min="13573" max="13573" width="11.08984375" style="23" customWidth="1"/>
    <col min="13574" max="13574" width="18.453125" style="23" customWidth="1"/>
    <col min="13575" max="13579" width="17.54296875" style="23" customWidth="1"/>
    <col min="13580" max="13580" width="6.08984375" style="23" customWidth="1"/>
    <col min="13581" max="13581" width="15.54296875" style="23" customWidth="1"/>
    <col min="13582" max="13823" width="9.08984375" style="23" customWidth="1"/>
    <col min="13824" max="13824" width="8.90625" style="23" customWidth="1"/>
    <col min="13825" max="13825" width="11.90625" style="23" customWidth="1"/>
    <col min="13826" max="13827" width="17.54296875" style="23" customWidth="1"/>
    <col min="13828" max="13828" width="12.453125" style="23" customWidth="1"/>
    <col min="13829" max="13829" width="11.08984375" style="23" customWidth="1"/>
    <col min="13830" max="13830" width="18.453125" style="23" customWidth="1"/>
    <col min="13831" max="13835" width="17.54296875" style="23" customWidth="1"/>
    <col min="13836" max="13836" width="6.08984375" style="23" customWidth="1"/>
    <col min="13837" max="13837" width="15.54296875" style="23" customWidth="1"/>
    <col min="13838" max="14079" width="9.08984375" style="23" customWidth="1"/>
    <col min="14080" max="14080" width="8.90625" style="23" customWidth="1"/>
    <col min="14081" max="14081" width="11.90625" style="23" customWidth="1"/>
    <col min="14082" max="14083" width="17.54296875" style="23" customWidth="1"/>
    <col min="14084" max="14084" width="12.453125" style="23" customWidth="1"/>
    <col min="14085" max="14085" width="11.08984375" style="23" customWidth="1"/>
    <col min="14086" max="14086" width="18.453125" style="23" customWidth="1"/>
    <col min="14087" max="14091" width="17.54296875" style="23" customWidth="1"/>
    <col min="14092" max="14092" width="6.08984375" style="23" customWidth="1"/>
    <col min="14093" max="14093" width="15.54296875" style="23" customWidth="1"/>
    <col min="14094" max="14335" width="9.08984375" style="23"/>
    <col min="14336" max="14336" width="8.90625" style="23" customWidth="1"/>
    <col min="14337" max="14337" width="11.90625" style="23" customWidth="1"/>
    <col min="14338" max="14339" width="17.54296875" style="23" customWidth="1"/>
    <col min="14340" max="14340" width="12.453125" style="23" customWidth="1"/>
    <col min="14341" max="14341" width="11.08984375" style="23" customWidth="1"/>
    <col min="14342" max="14342" width="18.453125" style="23" customWidth="1"/>
    <col min="14343" max="14347" width="17.54296875" style="23" customWidth="1"/>
    <col min="14348" max="14348" width="6.08984375" style="23" customWidth="1"/>
    <col min="14349" max="14349" width="15.54296875" style="23" customWidth="1"/>
    <col min="14350" max="14591" width="9.08984375" style="23" customWidth="1"/>
    <col min="14592" max="14592" width="8.90625" style="23" customWidth="1"/>
    <col min="14593" max="14593" width="11.90625" style="23" customWidth="1"/>
    <col min="14594" max="14595" width="17.54296875" style="23" customWidth="1"/>
    <col min="14596" max="14596" width="12.453125" style="23" customWidth="1"/>
    <col min="14597" max="14597" width="11.08984375" style="23" customWidth="1"/>
    <col min="14598" max="14598" width="18.453125" style="23" customWidth="1"/>
    <col min="14599" max="14603" width="17.54296875" style="23" customWidth="1"/>
    <col min="14604" max="14604" width="6.08984375" style="23" customWidth="1"/>
    <col min="14605" max="14605" width="15.54296875" style="23" customWidth="1"/>
    <col min="14606" max="14847" width="9.08984375" style="23" customWidth="1"/>
    <col min="14848" max="14848" width="8.90625" style="23" customWidth="1"/>
    <col min="14849" max="14849" width="11.90625" style="23" customWidth="1"/>
    <col min="14850" max="14851" width="17.54296875" style="23" customWidth="1"/>
    <col min="14852" max="14852" width="12.453125" style="23" customWidth="1"/>
    <col min="14853" max="14853" width="11.08984375" style="23" customWidth="1"/>
    <col min="14854" max="14854" width="18.453125" style="23" customWidth="1"/>
    <col min="14855" max="14859" width="17.54296875" style="23" customWidth="1"/>
    <col min="14860" max="14860" width="6.08984375" style="23" customWidth="1"/>
    <col min="14861" max="14861" width="15.54296875" style="23" customWidth="1"/>
    <col min="14862" max="15103" width="9.08984375" style="23" customWidth="1"/>
    <col min="15104" max="15104" width="8.90625" style="23" customWidth="1"/>
    <col min="15105" max="15105" width="11.90625" style="23" customWidth="1"/>
    <col min="15106" max="15107" width="17.54296875" style="23" customWidth="1"/>
    <col min="15108" max="15108" width="12.453125" style="23" customWidth="1"/>
    <col min="15109" max="15109" width="11.08984375" style="23" customWidth="1"/>
    <col min="15110" max="15110" width="18.453125" style="23" customWidth="1"/>
    <col min="15111" max="15115" width="17.54296875" style="23" customWidth="1"/>
    <col min="15116" max="15116" width="6.08984375" style="23" customWidth="1"/>
    <col min="15117" max="15117" width="15.54296875" style="23" customWidth="1"/>
    <col min="15118" max="15359" width="9.08984375" style="23"/>
    <col min="15360" max="15360" width="8.90625" style="23" customWidth="1"/>
    <col min="15361" max="15361" width="11.90625" style="23" customWidth="1"/>
    <col min="15362" max="15363" width="17.54296875" style="23" customWidth="1"/>
    <col min="15364" max="15364" width="12.453125" style="23" customWidth="1"/>
    <col min="15365" max="15365" width="11.08984375" style="23" customWidth="1"/>
    <col min="15366" max="15366" width="18.453125" style="23" customWidth="1"/>
    <col min="15367" max="15371" width="17.54296875" style="23" customWidth="1"/>
    <col min="15372" max="15372" width="6.08984375" style="23" customWidth="1"/>
    <col min="15373" max="15373" width="15.54296875" style="23" customWidth="1"/>
    <col min="15374" max="15615" width="9.08984375" style="23" customWidth="1"/>
    <col min="15616" max="15616" width="8.90625" style="23" customWidth="1"/>
    <col min="15617" max="15617" width="11.90625" style="23" customWidth="1"/>
    <col min="15618" max="15619" width="17.54296875" style="23" customWidth="1"/>
    <col min="15620" max="15620" width="12.453125" style="23" customWidth="1"/>
    <col min="15621" max="15621" width="11.08984375" style="23" customWidth="1"/>
    <col min="15622" max="15622" width="18.453125" style="23" customWidth="1"/>
    <col min="15623" max="15627" width="17.54296875" style="23" customWidth="1"/>
    <col min="15628" max="15628" width="6.08984375" style="23" customWidth="1"/>
    <col min="15629" max="15629" width="15.54296875" style="23" customWidth="1"/>
    <col min="15630" max="15871" width="9.08984375" style="23" customWidth="1"/>
    <col min="15872" max="15872" width="8.90625" style="23" customWidth="1"/>
    <col min="15873" max="15873" width="11.90625" style="23" customWidth="1"/>
    <col min="15874" max="15875" width="17.54296875" style="23" customWidth="1"/>
    <col min="15876" max="15876" width="12.453125" style="23" customWidth="1"/>
    <col min="15877" max="15877" width="11.08984375" style="23" customWidth="1"/>
    <col min="15878" max="15878" width="18.453125" style="23" customWidth="1"/>
    <col min="15879" max="15883" width="17.54296875" style="23" customWidth="1"/>
    <col min="15884" max="15884" width="6.08984375" style="23" customWidth="1"/>
    <col min="15885" max="15885" width="15.54296875" style="23" customWidth="1"/>
    <col min="15886" max="16127" width="9.08984375" style="23" customWidth="1"/>
    <col min="16128" max="16128" width="8.90625" style="23" customWidth="1"/>
    <col min="16129" max="16129" width="11.90625" style="23" customWidth="1"/>
    <col min="16130" max="16131" width="17.54296875" style="23" customWidth="1"/>
    <col min="16132" max="16132" width="12.453125" style="23" customWidth="1"/>
    <col min="16133" max="16133" width="11.08984375" style="23" customWidth="1"/>
    <col min="16134" max="16134" width="18.453125" style="23" customWidth="1"/>
    <col min="16135" max="16139" width="17.54296875" style="23" customWidth="1"/>
    <col min="16140" max="16140" width="6.08984375" style="23" customWidth="1"/>
    <col min="16141" max="16142" width="15.54296875" style="23" customWidth="1"/>
    <col min="16143" max="16382" width="9.08984375" style="23" customWidth="1"/>
    <col min="16383" max="16384" width="9.08984375" style="23"/>
  </cols>
  <sheetData>
    <row r="1" spans="2:12" ht="15.5" x14ac:dyDescent="0.35"/>
    <row r="2" spans="2:12" s="1" customFormat="1" ht="26.25" customHeight="1" x14ac:dyDescent="0.6">
      <c r="B2" s="1" t="s">
        <v>379</v>
      </c>
    </row>
    <row r="3" spans="2:12" ht="17.5" x14ac:dyDescent="0.35">
      <c r="I3" s="24"/>
      <c r="J3" s="24"/>
      <c r="K3" s="24"/>
    </row>
    <row r="4" spans="2:12" ht="17.5" x14ac:dyDescent="0.35">
      <c r="B4" s="25" t="s">
        <v>380</v>
      </c>
      <c r="C4" s="25"/>
      <c r="D4" s="63">
        <f>Scheme_name_in</f>
        <v>0</v>
      </c>
      <c r="E4" s="26"/>
      <c r="I4" s="24"/>
      <c r="J4" s="24"/>
      <c r="K4" s="24"/>
    </row>
    <row r="5" spans="2:12" ht="18" thickBot="1" x14ac:dyDescent="0.4">
      <c r="B5" s="25"/>
      <c r="C5" s="25"/>
      <c r="D5" s="27"/>
      <c r="E5" s="28"/>
      <c r="I5" s="24"/>
      <c r="J5" s="24"/>
      <c r="K5" s="24"/>
    </row>
    <row r="6" spans="2:12" ht="22.5" customHeight="1" thickBot="1" x14ac:dyDescent="0.4">
      <c r="B6" s="25" t="s">
        <v>381</v>
      </c>
      <c r="C6" s="25"/>
      <c r="D6" s="25"/>
      <c r="E6" s="29">
        <f>PV_base_year</f>
        <v>2023</v>
      </c>
      <c r="I6" s="24"/>
      <c r="J6" s="24"/>
      <c r="K6" s="24"/>
    </row>
    <row r="7" spans="2:12" ht="22.5" customHeight="1" thickBot="1" x14ac:dyDescent="0.4">
      <c r="B7" s="25"/>
      <c r="C7" s="25"/>
      <c r="D7" s="25"/>
      <c r="E7" s="30"/>
      <c r="I7" s="24"/>
      <c r="J7" s="24"/>
      <c r="K7" s="24"/>
    </row>
    <row r="8" spans="2:12" ht="22.5" customHeight="1" thickBot="1" x14ac:dyDescent="0.4">
      <c r="B8" s="25" t="s">
        <v>382</v>
      </c>
      <c r="C8" s="25"/>
      <c r="D8" s="25"/>
      <c r="E8" s="29">
        <f>Current_year</f>
        <v>2025</v>
      </c>
      <c r="I8" s="24"/>
      <c r="J8" s="24"/>
      <c r="K8" s="24"/>
    </row>
    <row r="9" spans="2:12" ht="18" thickBot="1" x14ac:dyDescent="0.4">
      <c r="I9" s="24"/>
      <c r="J9" s="24"/>
      <c r="K9" s="24"/>
    </row>
    <row r="10" spans="2:12" ht="24.75" customHeight="1" thickBot="1" x14ac:dyDescent="0.4">
      <c r="B10" s="25" t="s">
        <v>383</v>
      </c>
      <c r="C10" s="31"/>
      <c r="D10" s="31"/>
      <c r="E10" s="29">
        <f>Opening_year</f>
        <v>2025</v>
      </c>
      <c r="I10" s="24"/>
      <c r="J10" s="24"/>
      <c r="K10" s="24"/>
    </row>
    <row r="11" spans="2:12" ht="18" thickBot="1" x14ac:dyDescent="0.4">
      <c r="B11" s="31"/>
      <c r="C11" s="31"/>
      <c r="D11" s="31"/>
      <c r="I11" s="24"/>
      <c r="J11" s="24"/>
      <c r="K11" s="24"/>
    </row>
    <row r="12" spans="2:12" ht="23.25" customHeight="1" thickBot="1" x14ac:dyDescent="0.4">
      <c r="B12" s="25" t="s">
        <v>384</v>
      </c>
      <c r="C12" s="31"/>
      <c r="D12" s="31"/>
      <c r="E12" s="29" t="str">
        <f>Scheme_type_in</f>
        <v>road</v>
      </c>
      <c r="I12" s="24"/>
      <c r="J12" s="24"/>
      <c r="K12" s="24"/>
    </row>
    <row r="13" spans="2:12" ht="15" customHeight="1" thickBot="1" x14ac:dyDescent="0.4">
      <c r="B13" s="25"/>
      <c r="C13" s="31"/>
      <c r="D13" s="31"/>
      <c r="E13" s="24" t="s">
        <v>385</v>
      </c>
      <c r="J13" s="24"/>
      <c r="K13" s="24"/>
    </row>
    <row r="14" spans="2:12" ht="52.5" customHeight="1" thickTop="1" thickBot="1" x14ac:dyDescent="0.4">
      <c r="B14" s="81"/>
      <c r="C14" s="82"/>
      <c r="D14" s="82"/>
      <c r="E14" s="83" t="s">
        <v>385</v>
      </c>
      <c r="F14" s="84"/>
      <c r="G14" s="84"/>
      <c r="H14" s="85" t="s">
        <v>386</v>
      </c>
      <c r="I14" s="85" t="s">
        <v>387</v>
      </c>
      <c r="J14" s="24"/>
      <c r="K14" s="24"/>
    </row>
    <row r="15" spans="2:12" ht="18.5" thickTop="1" thickBot="1" x14ac:dyDescent="0.4">
      <c r="B15" s="86" t="str">
        <f>"Net present value of change in noise (£, "&amp;Price_base_outputs_in&amp;" prices):"</f>
        <v>Net present value of change in noise (£, 2023 prices):</v>
      </c>
      <c r="C15" s="75"/>
      <c r="D15" s="75"/>
      <c r="E15" s="75"/>
      <c r="F15" s="76"/>
      <c r="G15" s="76"/>
      <c r="H15" s="77">
        <f>IF('User Input'!$D$13="household",Calculation!D1082,Calculation!D1082/'User Input'!$D$14)</f>
        <v>0</v>
      </c>
      <c r="I15" s="77">
        <f>IF('User Input'!$D$13="household",'Calculation excl&lt;51dB'!D1082,'Calculation excl&lt;51dB'!D1082/'User Input'!$D$14)</f>
        <v>0</v>
      </c>
      <c r="K15" s="95"/>
    </row>
    <row r="16" spans="2:12" ht="32.25" customHeight="1" thickTop="1" thickBot="1" x14ac:dyDescent="0.4">
      <c r="B16" s="87"/>
      <c r="C16" s="36"/>
      <c r="D16" s="36"/>
      <c r="E16" s="36"/>
      <c r="F16" s="36"/>
      <c r="G16" s="36"/>
      <c r="H16" s="93" t="s">
        <v>388</v>
      </c>
      <c r="I16" s="94"/>
      <c r="K16" s="24"/>
      <c r="L16" s="37"/>
    </row>
    <row r="17" spans="2:12" ht="15" customHeight="1" thickTop="1" thickBot="1" x14ac:dyDescent="0.4">
      <c r="B17" s="88" t="str">
        <f>"Net present value of impact on sleep disturbance (£, "&amp;Price_base_outputs_in&amp;" prices):"</f>
        <v>Net present value of impact on sleep disturbance (£, 2023 prices):</v>
      </c>
      <c r="C17" s="79"/>
      <c r="D17" s="79"/>
      <c r="E17" s="79"/>
      <c r="F17" s="38"/>
      <c r="G17" s="80"/>
      <c r="H17" s="78">
        <f>IF('User Input'!$D$13="household",Calculation!D1074,Calculation!D1074/'User Input'!$D$14)</f>
        <v>0</v>
      </c>
      <c r="I17" s="78">
        <f>IF('User Input'!$D$13="household",'Calculation excl&lt;51dB'!D1074,'Calculation excl&lt;51dB'!D1074/'User Input'!$D$14)</f>
        <v>0</v>
      </c>
      <c r="K17" s="24"/>
    </row>
    <row r="18" spans="2:12" ht="15" customHeight="1" thickTop="1" thickBot="1" x14ac:dyDescent="0.4">
      <c r="B18" s="89" t="str">
        <f>"Net present value of impact on amenity (£, "&amp;Price_base_outputs_in&amp;" prices):"</f>
        <v>Net present value of impact on amenity (£, 2023 prices):</v>
      </c>
      <c r="C18" s="35"/>
      <c r="D18" s="35"/>
      <c r="E18" s="35"/>
      <c r="F18" s="36"/>
      <c r="G18" s="36"/>
      <c r="H18" s="78">
        <f>IF('User Input'!$D$13="household",Calculation!D1075,Calculation!D1075/'User Input'!$D$14)</f>
        <v>0</v>
      </c>
      <c r="I18" s="78">
        <f>IF('User Input'!$D$13="household",'Calculation excl&lt;51dB'!D1075,'Calculation excl&lt;51dB'!D1075/'User Input'!$D$14)</f>
        <v>0</v>
      </c>
      <c r="K18" s="24"/>
    </row>
    <row r="19" spans="2:12" ht="15" customHeight="1" thickTop="1" thickBot="1" x14ac:dyDescent="0.4">
      <c r="B19" s="89" t="str">
        <f>"Net present value of impact on AMI (£, "&amp;Price_base_outputs_in&amp;" prices):"</f>
        <v>Net present value of impact on AMI (£, 2023 prices):</v>
      </c>
      <c r="C19" s="35"/>
      <c r="D19" s="35"/>
      <c r="E19" s="35"/>
      <c r="F19" s="36"/>
      <c r="G19" s="36"/>
      <c r="H19" s="78">
        <f>IF('User Input'!$D$13="household",Calculation!D1076,Calculation!D1076/'User Input'!$D$14)</f>
        <v>0</v>
      </c>
      <c r="I19" s="78">
        <f>IF('User Input'!$D$13="household",'Calculation excl&lt;51dB'!D1076,'Calculation excl&lt;51dB'!D1076/'User Input'!$D$14)</f>
        <v>0</v>
      </c>
      <c r="K19" s="24"/>
    </row>
    <row r="20" spans="2:12" ht="15" customHeight="1" thickTop="1" thickBot="1" x14ac:dyDescent="0.4">
      <c r="B20" s="89" t="str">
        <f>"Net present value of impact on stroke (£, "&amp;Price_base_outputs_in&amp;" prices):"</f>
        <v>Net present value of impact on stroke (£, 2023 prices):</v>
      </c>
      <c r="C20" s="35"/>
      <c r="D20" s="35"/>
      <c r="E20" s="35"/>
      <c r="F20" s="36"/>
      <c r="G20" s="36"/>
      <c r="H20" s="78">
        <f>IF('User Input'!$D$13="household",Calculation!D1077,Calculation!D1077/'User Input'!$D$14)</f>
        <v>0</v>
      </c>
      <c r="I20" s="78">
        <f>IF('User Input'!$D$13="household",'Calculation excl&lt;51dB'!D1077,'Calculation excl&lt;51dB'!D1077/'User Input'!$D$14)</f>
        <v>0</v>
      </c>
      <c r="K20" s="24"/>
    </row>
    <row r="21" spans="2:12" ht="15" customHeight="1" thickTop="1" thickBot="1" x14ac:dyDescent="0.4">
      <c r="B21" s="90" t="str">
        <f>"Net present value of impact on dementia (£, "&amp;Price_base_outputs_in&amp;" prices):"</f>
        <v>Net present value of impact on dementia (£, 2023 prices):</v>
      </c>
      <c r="C21" s="91"/>
      <c r="D21" s="91"/>
      <c r="E21" s="91"/>
      <c r="F21" s="92"/>
      <c r="G21" s="92"/>
      <c r="H21" s="78">
        <f>IF('User Input'!$D$13="household",Calculation!D1078,Calculation!D1078/'User Input'!$D$14)</f>
        <v>0</v>
      </c>
      <c r="I21" s="78">
        <f>IF('User Input'!$D$13="household",'Calculation excl&lt;51dB'!D1078,'Calculation excl&lt;51dB'!D1078/'User Input'!$D$14)</f>
        <v>0</v>
      </c>
      <c r="K21" s="24"/>
    </row>
    <row r="22" spans="2:12" ht="15" customHeight="1" thickTop="1" x14ac:dyDescent="0.35">
      <c r="B22" s="38"/>
      <c r="C22" s="38"/>
      <c r="D22" s="38"/>
      <c r="E22" s="38"/>
      <c r="F22" s="38"/>
      <c r="G22" s="38"/>
      <c r="H22" s="32"/>
      <c r="I22" s="24"/>
      <c r="J22" s="24"/>
      <c r="K22" s="24"/>
    </row>
    <row r="23" spans="2:12" ht="15" customHeight="1" x14ac:dyDescent="0.35">
      <c r="B23" s="27" t="s">
        <v>389</v>
      </c>
      <c r="C23" s="31"/>
      <c r="D23" s="31"/>
      <c r="E23" s="31"/>
      <c r="F23" s="31"/>
      <c r="G23" s="31"/>
      <c r="I23" s="24"/>
      <c r="J23" s="24"/>
      <c r="K23" s="24"/>
    </row>
    <row r="24" spans="2:12" ht="15" customHeight="1" thickBot="1" x14ac:dyDescent="0.4">
      <c r="B24" s="27"/>
      <c r="C24" s="31"/>
      <c r="D24" s="31"/>
      <c r="E24" s="31"/>
      <c r="F24" s="31"/>
      <c r="G24" s="31"/>
      <c r="I24" s="24"/>
      <c r="J24" s="24"/>
      <c r="K24" s="24"/>
    </row>
    <row r="25" spans="2:12" ht="15" customHeight="1" thickBot="1" x14ac:dyDescent="0.4">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0"/>
      <c r="L25" s="100"/>
    </row>
    <row r="26" spans="2:12" ht="15" customHeight="1" thickBot="1" x14ac:dyDescent="0.4">
      <c r="B26" s="31" t="str">
        <f>'User Input'!$D$13 &amp;"s experiencing reduced daytime noise in forecast year:"</f>
        <v>households experiencing reduced daytime noise in forecast year:</v>
      </c>
      <c r="C26" s="31"/>
      <c r="D26" s="31"/>
      <c r="E26" s="31"/>
      <c r="F26" s="31"/>
      <c r="G26" s="31"/>
      <c r="H26" s="29">
        <f>Calculation!D179</f>
        <v>0</v>
      </c>
      <c r="I26" s="24"/>
      <c r="J26" s="24"/>
      <c r="K26" s="100"/>
      <c r="L26" s="100"/>
    </row>
    <row r="27" spans="2:12" ht="15" customHeight="1" thickBot="1" x14ac:dyDescent="0.4">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0"/>
      <c r="L27" s="100"/>
    </row>
    <row r="28" spans="2:12" ht="15" customHeight="1" thickBot="1" x14ac:dyDescent="0.4">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0"/>
      <c r="L28" s="100"/>
    </row>
    <row r="29" spans="2:12" ht="15" customHeight="1" thickBot="1" x14ac:dyDescent="0.4">
      <c r="B29" s="31"/>
      <c r="C29" s="31"/>
      <c r="D29" s="31"/>
      <c r="E29" s="31"/>
      <c r="F29" s="31"/>
      <c r="G29" s="31"/>
      <c r="I29" s="24"/>
      <c r="J29" s="24"/>
      <c r="K29" s="100"/>
      <c r="L29" s="100"/>
    </row>
    <row r="30" spans="2:12" ht="15" customHeight="1" thickTop="1" x14ac:dyDescent="0.35">
      <c r="B30" s="38"/>
      <c r="C30" s="38"/>
      <c r="D30" s="38"/>
      <c r="E30" s="38"/>
      <c r="F30" s="38"/>
      <c r="G30" s="38"/>
      <c r="H30" s="32"/>
      <c r="I30" s="24"/>
      <c r="J30" s="24"/>
      <c r="K30" s="100"/>
      <c r="L30" s="100"/>
    </row>
    <row r="31" spans="2:12" ht="15" customHeight="1" x14ac:dyDescent="0.35">
      <c r="B31" s="34" t="s">
        <v>390</v>
      </c>
      <c r="C31" s="39"/>
      <c r="D31" s="39"/>
      <c r="E31" s="39"/>
      <c r="F31" s="39"/>
      <c r="G31" s="39"/>
      <c r="H31" s="40"/>
      <c r="I31" s="24"/>
      <c r="J31" s="24"/>
      <c r="K31" s="100"/>
      <c r="L31" s="100"/>
    </row>
    <row r="32" spans="2:12" ht="15" customHeight="1" x14ac:dyDescent="0.35">
      <c r="B32" s="33"/>
      <c r="C32" s="33"/>
      <c r="D32" s="33"/>
      <c r="E32" s="33"/>
      <c r="F32" s="33"/>
      <c r="G32" s="33"/>
      <c r="H32" s="33"/>
      <c r="I32" s="24"/>
      <c r="J32" s="24"/>
      <c r="K32" s="24"/>
    </row>
    <row r="33" spans="2:11" ht="15" customHeight="1" x14ac:dyDescent="0.35">
      <c r="B33" s="33"/>
      <c r="C33" s="33"/>
      <c r="D33" s="33"/>
      <c r="E33" s="33"/>
      <c r="F33" s="33"/>
      <c r="G33" s="33"/>
      <c r="H33" s="33"/>
      <c r="I33" s="24"/>
      <c r="J33" s="24"/>
      <c r="K33" s="24"/>
    </row>
    <row r="34" spans="2:11" ht="15" customHeight="1" x14ac:dyDescent="0.35">
      <c r="B34" s="33"/>
      <c r="C34" s="33"/>
      <c r="D34" s="33"/>
      <c r="E34" s="33"/>
      <c r="F34" s="33"/>
      <c r="G34" s="33"/>
      <c r="H34" s="33"/>
      <c r="I34" s="24"/>
      <c r="J34" s="24"/>
      <c r="K34" s="24"/>
    </row>
    <row r="35" spans="2:11" ht="15" customHeight="1" x14ac:dyDescent="0.35">
      <c r="B35" s="33"/>
      <c r="C35" s="33"/>
      <c r="D35" s="33"/>
      <c r="E35" s="33"/>
      <c r="F35" s="33"/>
      <c r="G35" s="33"/>
      <c r="H35" s="33"/>
      <c r="I35" s="24"/>
      <c r="J35" s="24"/>
      <c r="K35" s="24"/>
    </row>
    <row r="36" spans="2:11" ht="15" customHeight="1" x14ac:dyDescent="0.35">
      <c r="B36" s="33"/>
      <c r="C36" s="33"/>
      <c r="D36" s="33"/>
      <c r="E36" s="33"/>
      <c r="F36" s="33"/>
      <c r="G36" s="33"/>
      <c r="H36" s="33"/>
      <c r="I36" s="24"/>
      <c r="J36" s="24"/>
      <c r="K36" s="24"/>
    </row>
    <row r="37" spans="2:11" ht="15" customHeight="1" thickBot="1" x14ac:dyDescent="0.4">
      <c r="B37" s="41"/>
      <c r="C37" s="41"/>
      <c r="D37" s="41"/>
      <c r="E37" s="41"/>
      <c r="F37" s="41"/>
      <c r="G37" s="41"/>
      <c r="H37" s="41"/>
      <c r="I37" s="24"/>
      <c r="J37" s="24"/>
      <c r="K37" s="24"/>
    </row>
    <row r="38" spans="2:11" ht="15" customHeight="1" thickTop="1" x14ac:dyDescent="0.35">
      <c r="I38" s="24"/>
      <c r="J38" s="24"/>
      <c r="K38" s="24"/>
    </row>
    <row r="39" spans="2:11" ht="15" customHeight="1" x14ac:dyDescent="0.35">
      <c r="B39" s="34" t="s">
        <v>391</v>
      </c>
      <c r="C39" s="33"/>
      <c r="D39" s="33"/>
      <c r="E39" s="33"/>
      <c r="F39" s="33"/>
      <c r="G39" s="33"/>
      <c r="H39" s="33"/>
      <c r="I39" s="24"/>
      <c r="J39" s="24"/>
      <c r="K39" s="24"/>
    </row>
    <row r="40" spans="2:11" ht="15" customHeight="1" x14ac:dyDescent="0.35">
      <c r="B40" s="33"/>
      <c r="C40" s="33"/>
      <c r="D40" s="33"/>
      <c r="E40" s="33"/>
      <c r="F40" s="33"/>
      <c r="G40" s="33"/>
      <c r="H40" s="33"/>
      <c r="I40" s="24"/>
      <c r="J40" s="24"/>
      <c r="K40" s="24"/>
    </row>
    <row r="41" spans="2:11" ht="15" customHeight="1" x14ac:dyDescent="0.35">
      <c r="B41" s="33"/>
      <c r="C41" s="33"/>
      <c r="D41" s="33"/>
      <c r="E41" s="33"/>
      <c r="F41" s="33"/>
      <c r="G41" s="33"/>
      <c r="H41" s="33"/>
      <c r="I41" s="24"/>
      <c r="J41" s="24"/>
      <c r="K41" s="24"/>
    </row>
    <row r="42" spans="2:11" ht="15" customHeight="1" x14ac:dyDescent="0.35">
      <c r="B42" s="33"/>
      <c r="C42" s="33"/>
      <c r="D42" s="33"/>
      <c r="E42" s="33"/>
      <c r="F42" s="33"/>
      <c r="G42" s="33"/>
      <c r="H42" s="33"/>
      <c r="I42" s="24"/>
      <c r="J42" s="24"/>
      <c r="K42" s="24"/>
    </row>
    <row r="43" spans="2:11" ht="15" customHeight="1" x14ac:dyDescent="0.35">
      <c r="B43" s="33"/>
      <c r="C43" s="33"/>
      <c r="D43" s="33"/>
      <c r="E43" s="33"/>
      <c r="F43" s="33"/>
      <c r="G43" s="33"/>
      <c r="H43" s="33"/>
      <c r="I43" s="24"/>
      <c r="J43" s="24"/>
      <c r="K43" s="24"/>
    </row>
    <row r="44" spans="2:11" ht="15" customHeight="1" x14ac:dyDescent="0.35">
      <c r="B44" s="33"/>
      <c r="C44" s="33"/>
      <c r="D44" s="33"/>
      <c r="E44" s="33"/>
      <c r="F44" s="33"/>
      <c r="G44" s="33"/>
      <c r="H44" s="33"/>
      <c r="I44" s="24"/>
      <c r="J44" s="24"/>
      <c r="K44" s="24"/>
    </row>
    <row r="45" spans="2:11" ht="15" customHeight="1" thickBot="1" x14ac:dyDescent="0.4">
      <c r="B45" s="41"/>
      <c r="C45" s="41"/>
      <c r="D45" s="41"/>
      <c r="E45" s="41"/>
      <c r="F45" s="41"/>
      <c r="G45" s="41"/>
      <c r="H45" s="41"/>
      <c r="I45" s="24"/>
      <c r="J45" s="24"/>
      <c r="K45" s="24"/>
    </row>
    <row r="46" spans="2:11" ht="28.5" customHeight="1" thickTop="1" x14ac:dyDescent="0.35">
      <c r="B46" s="25"/>
      <c r="C46" s="31"/>
      <c r="D46" s="31"/>
      <c r="I46" s="24"/>
      <c r="J46" s="24"/>
      <c r="K46" s="24"/>
    </row>
    <row r="47" spans="2:11" ht="17.5" hidden="1" x14ac:dyDescent="0.35">
      <c r="I47" s="24"/>
      <c r="J47" s="24"/>
      <c r="K47" s="24"/>
    </row>
    <row r="48" spans="2:11" ht="17.5" hidden="1" x14ac:dyDescent="0.35">
      <c r="I48" s="24"/>
      <c r="J48" s="24"/>
      <c r="K48" s="24"/>
    </row>
    <row r="49" spans="2:27" ht="17.5" hidden="1" x14ac:dyDescent="0.35">
      <c r="I49" s="24"/>
      <c r="J49" s="24"/>
      <c r="K49" s="24"/>
    </row>
    <row r="50" spans="2:27" ht="17.5" hidden="1" x14ac:dyDescent="0.35">
      <c r="I50" s="24"/>
      <c r="J50" s="24"/>
      <c r="K50" s="24"/>
    </row>
    <row r="51" spans="2:27" ht="17.5" hidden="1" x14ac:dyDescent="0.35">
      <c r="I51" s="24"/>
      <c r="J51" s="24"/>
      <c r="K51" s="24"/>
    </row>
    <row r="52" spans="2:27" ht="24" hidden="1" customHeight="1" x14ac:dyDescent="0.35">
      <c r="I52" s="24"/>
      <c r="J52" s="24"/>
      <c r="K52" s="24"/>
    </row>
    <row r="53" spans="2:27" ht="17.5" hidden="1" x14ac:dyDescent="0.35">
      <c r="I53" s="24"/>
      <c r="J53" s="24"/>
      <c r="K53" s="24"/>
    </row>
    <row r="54" spans="2:27" ht="17.5" hidden="1" x14ac:dyDescent="0.35">
      <c r="I54" s="24"/>
      <c r="J54" s="24"/>
      <c r="K54" s="24"/>
    </row>
    <row r="55" spans="2:27" ht="24" hidden="1" customHeight="1" x14ac:dyDescent="0.35">
      <c r="I55" s="24"/>
      <c r="J55" s="24"/>
      <c r="K55" s="24"/>
    </row>
    <row r="56" spans="2:27" ht="17.5" hidden="1" x14ac:dyDescent="0.35">
      <c r="I56" s="24"/>
      <c r="J56" s="24"/>
      <c r="K56" s="24"/>
    </row>
    <row r="57" spans="2:27" ht="14.25" hidden="1" customHeight="1" x14ac:dyDescent="0.35">
      <c r="I57" s="24"/>
      <c r="J57" s="24"/>
      <c r="K57" s="24"/>
    </row>
    <row r="58" spans="2:27" ht="17.5" hidden="1" x14ac:dyDescent="0.35">
      <c r="I58" s="24"/>
      <c r="J58" s="24"/>
      <c r="K58" s="24"/>
    </row>
    <row r="59" spans="2:27" ht="17.5" hidden="1" x14ac:dyDescent="0.35">
      <c r="I59" s="24"/>
      <c r="J59" s="24"/>
      <c r="K59" s="24"/>
    </row>
    <row r="60" spans="2:27" s="42" customFormat="1" ht="17.5" hidden="1" x14ac:dyDescent="0.35">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5" hidden="1" x14ac:dyDescent="0.35">
      <c r="I61" s="24"/>
      <c r="J61" s="24"/>
      <c r="K61" s="24"/>
    </row>
    <row r="62" spans="2:27" ht="17.5" hidden="1" x14ac:dyDescent="0.35">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5" hidden="1" x14ac:dyDescent="0.35">
      <c r="I63" s="24"/>
      <c r="J63" s="24"/>
      <c r="K63" s="24"/>
    </row>
    <row r="64" spans="2:27" ht="17.5" hidden="1" x14ac:dyDescent="0.35">
      <c r="I64" s="24"/>
      <c r="J64" s="24"/>
      <c r="K64" s="24"/>
    </row>
    <row r="65" spans="9:11" ht="17.5" hidden="1" x14ac:dyDescent="0.35">
      <c r="I65" s="24"/>
      <c r="J65" s="24"/>
      <c r="K65" s="24"/>
    </row>
    <row r="66" spans="9:11" ht="17.5" hidden="1" x14ac:dyDescent="0.35">
      <c r="I66" s="24"/>
      <c r="J66" s="24"/>
      <c r="K66" s="24"/>
    </row>
    <row r="67" spans="9:11" ht="17.5" hidden="1" x14ac:dyDescent="0.35">
      <c r="I67" s="24"/>
      <c r="J67" s="24"/>
      <c r="K67" s="24"/>
    </row>
    <row r="68" spans="9:11" ht="17.5" hidden="1" x14ac:dyDescent="0.35">
      <c r="I68" s="24"/>
      <c r="J68" s="24"/>
      <c r="K68" s="24"/>
    </row>
    <row r="69" spans="9:11" ht="17.5" hidden="1" x14ac:dyDescent="0.35">
      <c r="I69" s="24"/>
      <c r="J69" s="24"/>
      <c r="K69" s="24"/>
    </row>
    <row r="70" spans="9:11" ht="17.5" hidden="1" x14ac:dyDescent="0.35">
      <c r="I70" s="24"/>
      <c r="J70" s="24"/>
      <c r="K70" s="24"/>
    </row>
    <row r="71" spans="9:11" ht="17.5" hidden="1" x14ac:dyDescent="0.35">
      <c r="I71" s="24"/>
      <c r="J71" s="24"/>
      <c r="K71" s="24"/>
    </row>
    <row r="72" spans="9:11" ht="17.5" hidden="1" x14ac:dyDescent="0.35">
      <c r="I72" s="24"/>
      <c r="J72" s="24"/>
      <c r="K72" s="24"/>
    </row>
    <row r="73" spans="9:11" ht="17.5" hidden="1" x14ac:dyDescent="0.35">
      <c r="I73" s="24"/>
      <c r="J73" s="24"/>
      <c r="K73" s="24"/>
    </row>
    <row r="74" spans="9:11" ht="17.5" hidden="1" x14ac:dyDescent="0.35">
      <c r="I74" s="24"/>
      <c r="J74" s="24"/>
      <c r="K74" s="24"/>
    </row>
    <row r="75" spans="9:11" ht="24" hidden="1" customHeight="1" x14ac:dyDescent="0.35">
      <c r="I75" s="24"/>
      <c r="J75" s="24"/>
      <c r="K75" s="24"/>
    </row>
    <row r="76" spans="9:11" ht="17.5" hidden="1" x14ac:dyDescent="0.35">
      <c r="I76" s="24"/>
      <c r="J76" s="24"/>
      <c r="K76" s="24"/>
    </row>
    <row r="77" spans="9:11" ht="24" hidden="1" customHeight="1" x14ac:dyDescent="0.35">
      <c r="I77" s="24"/>
      <c r="J77" s="24"/>
      <c r="K77" s="24"/>
    </row>
    <row r="78" spans="9:11" ht="17.5" hidden="1" x14ac:dyDescent="0.35">
      <c r="I78" s="24"/>
      <c r="J78" s="24"/>
      <c r="K78" s="24"/>
    </row>
    <row r="79" spans="9:11" ht="17.5" hidden="1" x14ac:dyDescent="0.35">
      <c r="I79" s="24"/>
      <c r="J79" s="24"/>
      <c r="K79" s="24"/>
    </row>
    <row r="80" spans="9:11" ht="17.5" hidden="1" x14ac:dyDescent="0.35">
      <c r="I80" s="24"/>
      <c r="J80" s="24"/>
      <c r="K80" s="24"/>
    </row>
    <row r="81" spans="9:11" ht="17.5" hidden="1" x14ac:dyDescent="0.35">
      <c r="I81" s="24"/>
      <c r="J81" s="24"/>
      <c r="K81" s="24"/>
    </row>
    <row r="82" spans="9:11" ht="17.5" hidden="1" x14ac:dyDescent="0.35">
      <c r="I82" s="24"/>
      <c r="J82" s="24"/>
      <c r="K82" s="24"/>
    </row>
    <row r="83" spans="9:11" ht="17.5" hidden="1" x14ac:dyDescent="0.35">
      <c r="I83" s="24"/>
      <c r="J83" s="24"/>
      <c r="K83" s="24"/>
    </row>
    <row r="84" spans="9:11" ht="17.5" hidden="1" x14ac:dyDescent="0.35">
      <c r="I84" s="24"/>
      <c r="J84" s="24"/>
      <c r="K84" s="24"/>
    </row>
    <row r="85" spans="9:11" ht="17.5" hidden="1" x14ac:dyDescent="0.35">
      <c r="I85" s="24"/>
      <c r="J85" s="24"/>
      <c r="K85" s="24"/>
    </row>
    <row r="86" spans="9:11" ht="17.5" hidden="1" x14ac:dyDescent="0.35">
      <c r="I86" s="24"/>
      <c r="J86" s="24"/>
      <c r="K86" s="24"/>
    </row>
    <row r="87" spans="9:11" ht="17.5" hidden="1" x14ac:dyDescent="0.35">
      <c r="I87" s="24"/>
      <c r="J87" s="24"/>
      <c r="K87" s="24"/>
    </row>
    <row r="88" spans="9:11" ht="17.5" hidden="1" x14ac:dyDescent="0.35">
      <c r="I88" s="24"/>
      <c r="J88" s="24"/>
      <c r="K88" s="24"/>
    </row>
    <row r="89" spans="9:11" ht="17.5" hidden="1" x14ac:dyDescent="0.35">
      <c r="I89" s="24"/>
      <c r="J89" s="24"/>
      <c r="K89" s="24"/>
    </row>
    <row r="90" spans="9:11" ht="17.5" hidden="1" x14ac:dyDescent="0.35">
      <c r="I90" s="24"/>
      <c r="J90" s="24"/>
      <c r="K90" s="24"/>
    </row>
    <row r="91" spans="9:11" ht="17.5" hidden="1" x14ac:dyDescent="0.35">
      <c r="I91" s="24"/>
      <c r="J91" s="24"/>
      <c r="K91" s="24"/>
    </row>
    <row r="92" spans="9:11" ht="17.5" hidden="1" x14ac:dyDescent="0.35">
      <c r="I92" s="24"/>
      <c r="J92" s="24"/>
      <c r="K92" s="24"/>
    </row>
    <row r="93" spans="9:11" ht="17.5" hidden="1" x14ac:dyDescent="0.35">
      <c r="I93" s="24"/>
      <c r="J93" s="24"/>
      <c r="K93" s="24"/>
    </row>
    <row r="94" spans="9:11" ht="17.5" hidden="1" x14ac:dyDescent="0.35">
      <c r="I94" s="24"/>
      <c r="J94" s="24"/>
      <c r="K94" s="24"/>
    </row>
    <row r="95" spans="9:11" ht="17.5" hidden="1" x14ac:dyDescent="0.35">
      <c r="I95" s="24"/>
      <c r="J95" s="24"/>
      <c r="K95" s="24"/>
    </row>
    <row r="96" spans="9:11" ht="17.5" hidden="1" x14ac:dyDescent="0.35">
      <c r="I96" s="24"/>
      <c r="J96" s="24"/>
      <c r="K96" s="24"/>
    </row>
    <row r="97" spans="9:11" ht="17.5" hidden="1" x14ac:dyDescent="0.35">
      <c r="I97" s="24"/>
      <c r="J97" s="24"/>
      <c r="K97" s="24"/>
    </row>
    <row r="98" spans="9:11" ht="17.5" hidden="1" x14ac:dyDescent="0.35">
      <c r="I98" s="24"/>
      <c r="J98" s="24"/>
      <c r="K98" s="24"/>
    </row>
    <row r="99" spans="9:11" ht="17.5" hidden="1" x14ac:dyDescent="0.35">
      <c r="I99" s="24"/>
      <c r="J99" s="24"/>
      <c r="K99" s="24"/>
    </row>
    <row r="100" spans="9:11" ht="17.5" hidden="1" x14ac:dyDescent="0.35">
      <c r="I100" s="24"/>
      <c r="J100" s="24"/>
      <c r="K100" s="24"/>
    </row>
    <row r="101" spans="9:11" ht="17.5" hidden="1" x14ac:dyDescent="0.35">
      <c r="I101" s="24"/>
      <c r="J101" s="24"/>
      <c r="K101" s="24"/>
    </row>
    <row r="102" spans="9:11" ht="17.5" hidden="1" x14ac:dyDescent="0.35">
      <c r="I102" s="24"/>
      <c r="J102" s="24"/>
      <c r="K102" s="24"/>
    </row>
    <row r="103" spans="9:11" ht="17.5" hidden="1" x14ac:dyDescent="0.35">
      <c r="I103" s="24"/>
      <c r="J103" s="24"/>
      <c r="K103" s="24"/>
    </row>
    <row r="104" spans="9:11" ht="17.5" hidden="1" x14ac:dyDescent="0.35">
      <c r="I104" s="24"/>
      <c r="J104" s="24"/>
      <c r="K104" s="24"/>
    </row>
    <row r="105" spans="9:11" ht="17.5" hidden="1" x14ac:dyDescent="0.35">
      <c r="I105" s="24"/>
      <c r="J105" s="24"/>
      <c r="K105" s="24"/>
    </row>
    <row r="106" spans="9:11" ht="17.5" hidden="1" x14ac:dyDescent="0.35">
      <c r="I106" s="24"/>
      <c r="J106" s="24"/>
      <c r="K106" s="24"/>
    </row>
    <row r="107" spans="9:11" ht="17.5" hidden="1" x14ac:dyDescent="0.35">
      <c r="I107" s="24"/>
      <c r="J107" s="24"/>
      <c r="K107" s="24"/>
    </row>
    <row r="108" spans="9:11" ht="17.5" hidden="1" x14ac:dyDescent="0.35">
      <c r="I108" s="24"/>
      <c r="J108" s="24"/>
      <c r="K108" s="24"/>
    </row>
    <row r="109" spans="9:11" ht="17.5" hidden="1" x14ac:dyDescent="0.35">
      <c r="I109" s="24"/>
      <c r="J109" s="24"/>
      <c r="K109" s="24"/>
    </row>
    <row r="110" spans="9:11" ht="17.5" hidden="1" x14ac:dyDescent="0.35">
      <c r="I110" s="24"/>
      <c r="J110" s="24"/>
      <c r="K110" s="24"/>
    </row>
    <row r="111" spans="9:11" ht="17.5" hidden="1" x14ac:dyDescent="0.35">
      <c r="I111" s="24"/>
      <c r="J111" s="24"/>
      <c r="K111" s="24"/>
    </row>
    <row r="112" spans="9:11" ht="17.5" hidden="1" x14ac:dyDescent="0.35">
      <c r="I112" s="24"/>
      <c r="J112" s="24"/>
      <c r="K112" s="24"/>
    </row>
    <row r="113" spans="9:11" ht="17.5" hidden="1" x14ac:dyDescent="0.35">
      <c r="I113" s="24"/>
      <c r="J113" s="24"/>
      <c r="K113" s="24"/>
    </row>
    <row r="114" spans="9:11" ht="17.5" hidden="1" x14ac:dyDescent="0.35">
      <c r="I114" s="24"/>
      <c r="J114" s="24"/>
      <c r="K114" s="24"/>
    </row>
    <row r="115" spans="9:11" ht="17.5" hidden="1" x14ac:dyDescent="0.35">
      <c r="I115" s="24"/>
      <c r="J115" s="24"/>
      <c r="K115" s="24"/>
    </row>
    <row r="116" spans="9:11" ht="17.5" hidden="1" x14ac:dyDescent="0.35">
      <c r="I116" s="24"/>
      <c r="J116" s="24"/>
      <c r="K116" s="24"/>
    </row>
    <row r="117" spans="9:11" ht="17.5" hidden="1" x14ac:dyDescent="0.35">
      <c r="I117" s="24"/>
      <c r="J117" s="24"/>
      <c r="K117" s="24"/>
    </row>
    <row r="118" spans="9:11" ht="17.5" hidden="1" x14ac:dyDescent="0.35">
      <c r="I118" s="24"/>
      <c r="J118" s="24"/>
      <c r="K118" s="24"/>
    </row>
    <row r="119" spans="9:11" ht="17.5" hidden="1" x14ac:dyDescent="0.35">
      <c r="I119" s="24"/>
      <c r="J119" s="24"/>
      <c r="K119" s="24"/>
    </row>
    <row r="120" spans="9:11" ht="17.5" hidden="1" x14ac:dyDescent="0.35">
      <c r="I120" s="24"/>
      <c r="J120" s="24"/>
      <c r="K120" s="24"/>
    </row>
    <row r="121" spans="9:11" ht="17.5" hidden="1" x14ac:dyDescent="0.35">
      <c r="I121" s="24"/>
      <c r="J121" s="24"/>
      <c r="K121" s="24"/>
    </row>
    <row r="122" spans="9:11" ht="17.5" hidden="1" x14ac:dyDescent="0.35">
      <c r="I122" s="24"/>
      <c r="J122" s="24"/>
      <c r="K122" s="24"/>
    </row>
    <row r="123" spans="9:11" ht="17.5" hidden="1" x14ac:dyDescent="0.35">
      <c r="I123" s="24"/>
      <c r="J123" s="24"/>
      <c r="K123" s="24"/>
    </row>
    <row r="124" spans="9:11" ht="17.5" hidden="1" x14ac:dyDescent="0.35">
      <c r="I124" s="24"/>
      <c r="J124" s="24"/>
      <c r="K124" s="24"/>
    </row>
    <row r="125" spans="9:11" ht="17.5" hidden="1" x14ac:dyDescent="0.35">
      <c r="I125" s="24"/>
      <c r="J125" s="24"/>
      <c r="K125" s="24"/>
    </row>
    <row r="126" spans="9:11" ht="17.5" hidden="1" x14ac:dyDescent="0.35">
      <c r="I126" s="24"/>
      <c r="J126" s="24"/>
      <c r="K126" s="24"/>
    </row>
    <row r="127" spans="9:11" ht="17.5" hidden="1" x14ac:dyDescent="0.35">
      <c r="I127" s="24"/>
      <c r="J127" s="24"/>
      <c r="K127" s="24"/>
    </row>
    <row r="128" spans="9:11" ht="15.5" hidden="1" x14ac:dyDescent="0.35"/>
    <row r="129" ht="15.5" hidden="1" x14ac:dyDescent="0.35"/>
    <row r="130" ht="15.5" hidden="1" x14ac:dyDescent="0.35"/>
    <row r="131" ht="15.5" hidden="1" x14ac:dyDescent="0.35"/>
    <row r="132" ht="15.5" hidden="1" x14ac:dyDescent="0.35"/>
    <row r="133" ht="15.5" hidden="1" x14ac:dyDescent="0.35"/>
    <row r="134" ht="15.5" hidden="1" x14ac:dyDescent="0.35"/>
    <row r="135" ht="15.5" hidden="1" x14ac:dyDescent="0.35"/>
    <row r="136" ht="15.5" hidden="1" x14ac:dyDescent="0.35"/>
    <row r="137" ht="15.5" hidden="1" x14ac:dyDescent="0.35"/>
    <row r="138" ht="15.5" hidden="1" x14ac:dyDescent="0.35"/>
    <row r="139" ht="15.5" hidden="1" x14ac:dyDescent="0.35"/>
    <row r="140" ht="15.5" hidden="1" x14ac:dyDescent="0.35"/>
    <row r="141" ht="15.5" hidden="1" x14ac:dyDescent="0.35"/>
    <row r="142" ht="15.5" hidden="1" x14ac:dyDescent="0.35"/>
    <row r="143" ht="15.5" hidden="1" x14ac:dyDescent="0.35"/>
    <row r="144" ht="15.5" hidden="1" x14ac:dyDescent="0.35"/>
    <row r="145" ht="15.5" hidden="1" x14ac:dyDescent="0.35"/>
    <row r="146" ht="15.5" hidden="1" x14ac:dyDescent="0.35"/>
    <row r="147" ht="15.5" hidden="1" x14ac:dyDescent="0.35"/>
    <row r="148" ht="15.5" hidden="1" x14ac:dyDescent="0.35"/>
    <row r="149" ht="15.5" hidden="1" x14ac:dyDescent="0.35"/>
    <row r="150" ht="15.5" hidden="1" x14ac:dyDescent="0.35"/>
    <row r="151" ht="15.5" hidden="1" x14ac:dyDescent="0.35"/>
    <row r="152" ht="15.5" hidden="1" x14ac:dyDescent="0.35"/>
    <row r="153" ht="15.5" hidden="1" x14ac:dyDescent="0.35"/>
    <row r="154" ht="15.5" hidden="1" x14ac:dyDescent="0.35"/>
    <row r="155" ht="15.5" hidden="1" x14ac:dyDescent="0.35"/>
    <row r="156" ht="15.5" hidden="1" x14ac:dyDescent="0.35"/>
    <row r="157" ht="15.5" hidden="1" x14ac:dyDescent="0.35"/>
    <row r="158" ht="15.5" hidden="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docMetadata/LabelInfo.xml><?xml version="1.0" encoding="utf-8"?>
<clbl:labelList xmlns:clbl="http://schemas.microsoft.com/office/2020/mipLabelMetadata">
  <clbl:label id="{f0c28fc3-7798-4269-87f4-d58050cd53cb}" enabled="1" method="Privileged" siteId="{28b782fb-41e1-48ea-bfc3-ad7558ce713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2622</vt:i4>
      </vt:variant>
    </vt:vector>
  </HeadingPairs>
  <TitlesOfParts>
    <vt:vector size="2628" baseType="lpstr">
      <vt:lpstr>README</vt:lpstr>
      <vt:lpstr>User Input</vt:lpstr>
      <vt:lpstr>Assumptions</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2025-12-04T14:13:51Z</dcterms:created>
  <dcterms:modified xsi:type="dcterms:W3CDTF">2025-12-04T14:13:58Z</dcterms:modified>
  <cp:category/>
  <cp:contentStatus/>
</cp:coreProperties>
</file>